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ustomProperty11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ustomProperty12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13.bin" ContentType="application/vnd.openxmlformats-officedocument.spreadsheetml.customProperty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X229723\Desktop\"/>
    </mc:Choice>
  </mc:AlternateContent>
  <xr:revisionPtr revIDLastSave="0" documentId="13_ncr:1_{29C3F1D0-0FF6-4BF5-ABF1-868A484C3C38}" xr6:coauthVersionLast="46" xr6:coauthVersionMax="46" xr10:uidLastSave="{00000000-0000-0000-0000-000000000000}"/>
  <bookViews>
    <workbookView xWindow="-110" yWindow="-110" windowWidth="19420" windowHeight="10420" firstSheet="6" activeTab="8" xr2:uid="{00000000-000D-0000-FFFF-FFFF00000000}"/>
  </bookViews>
  <sheets>
    <sheet name="Forecast" sheetId="72" r:id="rId1"/>
    <sheet name="sell out" sheetId="93" r:id="rId2"/>
    <sheet name="Colocado" sheetId="84" r:id="rId3"/>
    <sheet name="Venda" sheetId="73" r:id="rId4"/>
    <sheet name="Stilamin" sheetId="20" r:id="rId5"/>
    <sheet name="Endo" sheetId="81" r:id="rId6"/>
    <sheet name="N&amp;I" sheetId="85" r:id="rId7"/>
    <sheet name="Oncologia" sheetId="86" r:id="rId8"/>
    <sheet name="Fertilidade" sheetId="88" r:id="rId9"/>
    <sheet name="Desvios" sheetId="95" r:id="rId10"/>
    <sheet name="Transferencias" sheetId="39" r:id="rId11"/>
    <sheet name="DRP+SS" sheetId="92" r:id="rId12"/>
    <sheet name="Baixa cobertura" sheetId="90" r:id="rId13"/>
    <sheet name="Write Off Fertilidade - 9 meses" sheetId="47" r:id="rId14"/>
    <sheet name="Destruição" sheetId="64" r:id="rId15"/>
    <sheet name="Write Off Fertilidade - atraso" sheetId="58" r:id="rId16"/>
    <sheet name="Fertilidade 9 meses WO COVID" sheetId="62" state="hidden" r:id="rId17"/>
    <sheet name="WO Fertilidade - 9 m WO Covid" sheetId="63" state="hidden" r:id="rId18"/>
    <sheet name="F2 vs Destruição c atraso de 1M" sheetId="59" state="hidden" r:id="rId19"/>
    <sheet name="TAMANHO MEDIO DE LOTE" sheetId="29" state="hidden" r:id="rId20"/>
  </sheets>
  <externalReferences>
    <externalReference r:id="rId21"/>
  </externalReferences>
  <definedNames>
    <definedName name="_xlnm._FilterDatabase" localSheetId="0" hidden="1">Forecast!$A$2:$O$28</definedName>
    <definedName name="_xlnm._FilterDatabase" localSheetId="1" hidden="1">'sell out'!$A$1:$U$22</definedName>
    <definedName name="_xlnm._FilterDatabase" localSheetId="3" hidden="1">Venda!$A$1:$M$26</definedName>
    <definedName name="SOP_Connection_Name">"SAP IBP PRD"</definedName>
    <definedName name="SOP_Favorite_Name">"K010-SFA-BIAS Report for BP"</definedName>
    <definedName name="SOP_Heading1" localSheetId="0">"Key Figure"</definedName>
    <definedName name="SOP_Heading2" localSheetId="0">"Business Line Descr"</definedName>
    <definedName name="SOP_Heading3" localSheetId="0">"Product Desc"</definedName>
    <definedName name="SOP_Heading4" localSheetId="0">"Product Code"</definedName>
    <definedName name="SOP_Heading5" localSheetId="0">"Rep Unit ID"</definedName>
    <definedName name="SOP_Planning_Area">"Y4SAPIBP1"</definedName>
    <definedName name="SOP_Planning_Scope">" "</definedName>
    <definedName name="SOP_Refresh_Timestamp" localSheetId="16">43200.5655439815</definedName>
    <definedName name="SOP_Refresh_Timestamp">44327.4736689815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2" l="1"/>
  <c r="F4" i="92"/>
  <c r="F5" i="92"/>
  <c r="F6" i="92"/>
  <c r="F7" i="92"/>
  <c r="F8" i="92"/>
  <c r="F9" i="92"/>
  <c r="F10" i="92"/>
  <c r="F11" i="92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" i="92"/>
  <c r="I144" i="88" l="1"/>
  <c r="V21" i="81"/>
  <c r="X51" i="86" l="1"/>
  <c r="W51" i="86"/>
  <c r="V51" i="86"/>
  <c r="V50" i="86" s="1"/>
  <c r="W52" i="86"/>
  <c r="C52" i="86"/>
  <c r="U51" i="86"/>
  <c r="U50" i="86" s="1"/>
  <c r="T51" i="86"/>
  <c r="T50" i="86" s="1"/>
  <c r="S51" i="86"/>
  <c r="S50" i="86" s="1"/>
  <c r="R51" i="86"/>
  <c r="C50" i="86"/>
  <c r="R49" i="86" s="1"/>
  <c r="I49" i="86"/>
  <c r="G49" i="86"/>
  <c r="H49" i="86" s="1"/>
  <c r="R50" i="86" l="1"/>
  <c r="C51" i="86"/>
  <c r="V133" i="88"/>
  <c r="I132" i="88"/>
  <c r="G132" i="88"/>
  <c r="H132" i="88" s="1"/>
  <c r="V121" i="88"/>
  <c r="W40" i="86"/>
  <c r="V40" i="86"/>
  <c r="V28" i="86"/>
  <c r="L6" i="86"/>
  <c r="X20" i="81" l="1"/>
  <c r="W20" i="81"/>
  <c r="V20" i="81"/>
  <c r="U20" i="81"/>
  <c r="Y20" i="81"/>
  <c r="Y27" i="86" l="1"/>
  <c r="Y8" i="86"/>
  <c r="Y32" i="85"/>
  <c r="W133" i="88"/>
  <c r="M145" i="88"/>
  <c r="W121" i="88"/>
  <c r="Y84" i="88"/>
  <c r="W73" i="88"/>
  <c r="U133" i="88" l="1"/>
  <c r="I131" i="88"/>
  <c r="G131" i="88"/>
  <c r="H131" i="88" s="1"/>
  <c r="I130" i="88"/>
  <c r="G130" i="88"/>
  <c r="H130" i="88" s="1"/>
  <c r="U121" i="88"/>
  <c r="I122" i="88"/>
  <c r="G122" i="88"/>
  <c r="H122" i="88" s="1"/>
  <c r="I121" i="88"/>
  <c r="G121" i="88"/>
  <c r="H121" i="88" s="1"/>
  <c r="I120" i="88"/>
  <c r="G120" i="88"/>
  <c r="H120" i="88" s="1"/>
  <c r="I119" i="88"/>
  <c r="G119" i="88"/>
  <c r="H119" i="88" s="1"/>
  <c r="I118" i="88"/>
  <c r="G118" i="88"/>
  <c r="H118" i="88" s="1"/>
  <c r="U73" i="88"/>
  <c r="V62" i="88"/>
  <c r="U62" i="88"/>
  <c r="I9" i="88"/>
  <c r="G9" i="88"/>
  <c r="H9" i="88" s="1"/>
  <c r="I8" i="88"/>
  <c r="G8" i="88"/>
  <c r="H8" i="88" s="1"/>
  <c r="U9" i="86"/>
  <c r="I23" i="81" l="1"/>
  <c r="G23" i="81"/>
  <c r="H23" i="81" s="1"/>
  <c r="I22" i="81"/>
  <c r="G22" i="81"/>
  <c r="H22" i="81" s="1"/>
  <c r="I21" i="81"/>
  <c r="G21" i="81"/>
  <c r="H21" i="81" s="1"/>
  <c r="I20" i="81"/>
  <c r="G20" i="81"/>
  <c r="H20" i="81" s="1"/>
  <c r="I19" i="81"/>
  <c r="G19" i="81"/>
  <c r="H19" i="81" s="1"/>
  <c r="I18" i="81"/>
  <c r="G18" i="81"/>
  <c r="H18" i="81" s="1"/>
  <c r="I83" i="88" l="1"/>
  <c r="G83" i="88"/>
  <c r="H83" i="88" s="1"/>
  <c r="I82" i="88"/>
  <c r="G82" i="88"/>
  <c r="H82" i="88" s="1"/>
  <c r="I61" i="88"/>
  <c r="G61" i="88"/>
  <c r="H61" i="88" s="1"/>
  <c r="I60" i="88"/>
  <c r="G60" i="88"/>
  <c r="H60" i="88" s="1"/>
  <c r="I58" i="88"/>
  <c r="G58" i="88"/>
  <c r="H58" i="88" s="1"/>
  <c r="I7" i="88"/>
  <c r="G7" i="88"/>
  <c r="H7" i="88" s="1"/>
  <c r="I6" i="88"/>
  <c r="G6" i="88"/>
  <c r="H6" i="88" s="1"/>
  <c r="I40" i="86"/>
  <c r="G40" i="86"/>
  <c r="H40" i="86" s="1"/>
  <c r="I39" i="86"/>
  <c r="G39" i="86"/>
  <c r="H39" i="86" s="1"/>
  <c r="I38" i="86"/>
  <c r="G38" i="86"/>
  <c r="H38" i="86" s="1"/>
  <c r="I29" i="86"/>
  <c r="G29" i="86"/>
  <c r="H29" i="86" s="1"/>
  <c r="I28" i="86"/>
  <c r="G28" i="86"/>
  <c r="H28" i="86" s="1"/>
  <c r="I27" i="86"/>
  <c r="G27" i="86"/>
  <c r="H27" i="86" s="1"/>
  <c r="I12" i="86"/>
  <c r="G12" i="86"/>
  <c r="H12" i="86" s="1"/>
  <c r="I11" i="86"/>
  <c r="G11" i="86"/>
  <c r="H11" i="86" s="1"/>
  <c r="I9" i="86"/>
  <c r="G9" i="86"/>
  <c r="H9" i="86" s="1"/>
  <c r="I8" i="86"/>
  <c r="G8" i="86"/>
  <c r="H8" i="86" s="1"/>
  <c r="I7" i="86"/>
  <c r="G7" i="86"/>
  <c r="H7" i="86" s="1"/>
  <c r="I6" i="86"/>
  <c r="G6" i="86"/>
  <c r="H6" i="86" s="1"/>
  <c r="I10" i="86"/>
  <c r="G10" i="86"/>
  <c r="H10" i="86" s="1"/>
  <c r="I32" i="85"/>
  <c r="G32" i="85"/>
  <c r="H32" i="85" s="1"/>
  <c r="I31" i="81"/>
  <c r="G31" i="81"/>
  <c r="H31" i="81" s="1"/>
  <c r="I30" i="81"/>
  <c r="G30" i="81"/>
  <c r="H30" i="81" s="1"/>
  <c r="I7" i="81"/>
  <c r="G7" i="81"/>
  <c r="H7" i="81" s="1"/>
  <c r="U9" i="88" l="1"/>
  <c r="W5" i="47"/>
  <c r="W6" i="47"/>
  <c r="W7" i="47"/>
  <c r="W8" i="47"/>
  <c r="W9" i="47"/>
  <c r="W10" i="47"/>
  <c r="W11" i="47"/>
  <c r="W12" i="47"/>
  <c r="W13" i="47"/>
  <c r="W14" i="47"/>
  <c r="W15" i="47"/>
  <c r="W16" i="47"/>
  <c r="W4" i="47"/>
  <c r="V108" i="88" l="1"/>
  <c r="W108" i="88"/>
  <c r="X108" i="88"/>
  <c r="Y108" i="88"/>
  <c r="Z108" i="88"/>
  <c r="AA108" i="88"/>
  <c r="U108" i="88"/>
  <c r="I107" i="88"/>
  <c r="G107" i="88"/>
  <c r="H107" i="88" s="1"/>
  <c r="I72" i="88" l="1"/>
  <c r="G72" i="88"/>
  <c r="H72" i="88" s="1"/>
  <c r="Y144" i="88" l="1"/>
  <c r="G147" i="88"/>
  <c r="H147" i="88" s="1"/>
  <c r="I147" i="88"/>
  <c r="Y8" i="88"/>
  <c r="W28" i="86"/>
  <c r="U145" i="88" l="1"/>
  <c r="U109" i="88" l="1"/>
  <c r="U37" i="88"/>
  <c r="U28" i="86"/>
  <c r="U9" i="85"/>
  <c r="S9" i="85" l="1"/>
  <c r="G145" i="88"/>
  <c r="H145" i="88" s="1"/>
  <c r="I145" i="88"/>
  <c r="U20" i="85"/>
  <c r="E16" i="39"/>
  <c r="C143" i="88"/>
  <c r="C131" i="88"/>
  <c r="R130" i="88" s="1"/>
  <c r="T132" i="88"/>
  <c r="T131" i="88" s="1"/>
  <c r="C19" i="81"/>
  <c r="W4" i="58"/>
  <c r="W5" i="58"/>
  <c r="W6" i="58"/>
  <c r="W7" i="58"/>
  <c r="W8" i="58"/>
  <c r="W9" i="58"/>
  <c r="W10" i="58"/>
  <c r="W11" i="58"/>
  <c r="W12" i="58"/>
  <c r="W13" i="58"/>
  <c r="W14" i="58"/>
  <c r="W15" i="58"/>
  <c r="W3" i="58"/>
  <c r="V33" i="58"/>
  <c r="V50" i="58" s="1"/>
  <c r="AS50" i="58" s="1"/>
  <c r="V32" i="58"/>
  <c r="V49" i="58" s="1"/>
  <c r="AS49" i="58" s="1"/>
  <c r="V31" i="58"/>
  <c r="V48" i="58" s="1"/>
  <c r="AS48" i="58" s="1"/>
  <c r="V30" i="58"/>
  <c r="V47" i="58" s="1"/>
  <c r="AS47" i="58" s="1"/>
  <c r="V29" i="58"/>
  <c r="V46" i="58" s="1"/>
  <c r="AS46" i="58" s="1"/>
  <c r="V28" i="58"/>
  <c r="AS28" i="58" s="1"/>
  <c r="V27" i="58"/>
  <c r="V44" i="58" s="1"/>
  <c r="AS44" i="58" s="1"/>
  <c r="V26" i="58"/>
  <c r="V43" i="58" s="1"/>
  <c r="AS43" i="58" s="1"/>
  <c r="V25" i="58"/>
  <c r="V42" i="58" s="1"/>
  <c r="AS42" i="58" s="1"/>
  <c r="V24" i="58"/>
  <c r="V41" i="58" s="1"/>
  <c r="AS41" i="58" s="1"/>
  <c r="V23" i="58"/>
  <c r="AS23" i="58" s="1"/>
  <c r="V22" i="58"/>
  <c r="V39" i="58" s="1"/>
  <c r="AS39" i="58" s="1"/>
  <c r="V21" i="58"/>
  <c r="AS21" i="58" s="1"/>
  <c r="AS15" i="58"/>
  <c r="AS14" i="58"/>
  <c r="AS13" i="58"/>
  <c r="AS12" i="58"/>
  <c r="AS11" i="58"/>
  <c r="AS10" i="58"/>
  <c r="AS9" i="58"/>
  <c r="AS8" i="58"/>
  <c r="AS7" i="58"/>
  <c r="AS6" i="58"/>
  <c r="AS5" i="58"/>
  <c r="AS4" i="58"/>
  <c r="AS3" i="58"/>
  <c r="AS16" i="47"/>
  <c r="AS15" i="47"/>
  <c r="AS14" i="47"/>
  <c r="AS13" i="47"/>
  <c r="AS12" i="47"/>
  <c r="AS11" i="47"/>
  <c r="AS10" i="47"/>
  <c r="AS9" i="47"/>
  <c r="AS8" i="47"/>
  <c r="AS7" i="47"/>
  <c r="AS6" i="47"/>
  <c r="AS5" i="47"/>
  <c r="AS4" i="47"/>
  <c r="N4" i="90"/>
  <c r="F4" i="90"/>
  <c r="J6" i="90"/>
  <c r="J5" i="90"/>
  <c r="J2" i="90"/>
  <c r="P3" i="90"/>
  <c r="P6" i="90"/>
  <c r="P2" i="90"/>
  <c r="I146" i="88"/>
  <c r="G146" i="88"/>
  <c r="H146" i="88" s="1"/>
  <c r="I34" i="88"/>
  <c r="G34" i="88"/>
  <c r="H34" i="88" s="1"/>
  <c r="F2" i="90"/>
  <c r="T20" i="81"/>
  <c r="T19" i="81" s="1"/>
  <c r="U19" i="81"/>
  <c r="U10" i="20"/>
  <c r="I59" i="88"/>
  <c r="G59" i="88"/>
  <c r="H59" i="88" s="1"/>
  <c r="I26" i="86"/>
  <c r="G26" i="86"/>
  <c r="H26" i="86" s="1"/>
  <c r="I25" i="86"/>
  <c r="G25" i="86"/>
  <c r="H25" i="86" s="1"/>
  <c r="I19" i="85"/>
  <c r="G19" i="85"/>
  <c r="H19" i="85" s="1"/>
  <c r="I7" i="85"/>
  <c r="G7" i="85"/>
  <c r="H7" i="85" s="1"/>
  <c r="I6" i="85"/>
  <c r="G6" i="85"/>
  <c r="H6" i="85" s="1"/>
  <c r="S9" i="88"/>
  <c r="AQ4" i="58"/>
  <c r="AR4" i="58"/>
  <c r="AQ5" i="58"/>
  <c r="AR5" i="58"/>
  <c r="AQ6" i="58"/>
  <c r="AR6" i="58"/>
  <c r="AQ7" i="58"/>
  <c r="AR7" i="58"/>
  <c r="AQ8" i="58"/>
  <c r="AR8" i="58"/>
  <c r="AQ9" i="58"/>
  <c r="AR9" i="58"/>
  <c r="AQ10" i="58"/>
  <c r="AR10" i="58"/>
  <c r="AQ11" i="58"/>
  <c r="AR11" i="58"/>
  <c r="AQ12" i="58"/>
  <c r="AR12" i="58"/>
  <c r="AQ13" i="58"/>
  <c r="AR13" i="58"/>
  <c r="AQ14" i="58"/>
  <c r="AR14" i="58"/>
  <c r="AQ15" i="58"/>
  <c r="AR15" i="58"/>
  <c r="AQ3" i="58"/>
  <c r="AR3" i="58"/>
  <c r="T22" i="58"/>
  <c r="T39" i="58" s="1"/>
  <c r="AQ39" i="58" s="1"/>
  <c r="U22" i="58"/>
  <c r="U39" i="58" s="1"/>
  <c r="AR39" i="58" s="1"/>
  <c r="T23" i="58"/>
  <c r="T40" i="58" s="1"/>
  <c r="AQ40" i="58" s="1"/>
  <c r="U23" i="58"/>
  <c r="U40" i="58" s="1"/>
  <c r="AR40" i="58" s="1"/>
  <c r="T24" i="58"/>
  <c r="T41" i="58" s="1"/>
  <c r="AQ41" i="58" s="1"/>
  <c r="U24" i="58"/>
  <c r="U41" i="58" s="1"/>
  <c r="AR41" i="58" s="1"/>
  <c r="T25" i="58"/>
  <c r="T42" i="58" s="1"/>
  <c r="AQ42" i="58" s="1"/>
  <c r="U25" i="58"/>
  <c r="U42" i="58" s="1"/>
  <c r="AR42" i="58" s="1"/>
  <c r="T26" i="58"/>
  <c r="T43" i="58" s="1"/>
  <c r="AQ43" i="58" s="1"/>
  <c r="U26" i="58"/>
  <c r="U43" i="58" s="1"/>
  <c r="AR43" i="58" s="1"/>
  <c r="T27" i="58"/>
  <c r="T44" i="58" s="1"/>
  <c r="AQ44" i="58" s="1"/>
  <c r="U27" i="58"/>
  <c r="U44" i="58" s="1"/>
  <c r="AR44" i="58" s="1"/>
  <c r="T28" i="58"/>
  <c r="T45" i="58" s="1"/>
  <c r="AQ45" i="58" s="1"/>
  <c r="U28" i="58"/>
  <c r="U45" i="58" s="1"/>
  <c r="AR45" i="58" s="1"/>
  <c r="T29" i="58"/>
  <c r="T46" i="58" s="1"/>
  <c r="AQ46" i="58" s="1"/>
  <c r="U29" i="58"/>
  <c r="U46" i="58" s="1"/>
  <c r="AR46" i="58" s="1"/>
  <c r="T30" i="58"/>
  <c r="T47" i="58" s="1"/>
  <c r="AQ47" i="58" s="1"/>
  <c r="U30" i="58"/>
  <c r="U47" i="58" s="1"/>
  <c r="AR47" i="58" s="1"/>
  <c r="T31" i="58"/>
  <c r="T48" i="58" s="1"/>
  <c r="AQ48" i="58" s="1"/>
  <c r="U31" i="58"/>
  <c r="U48" i="58" s="1"/>
  <c r="AR48" i="58" s="1"/>
  <c r="T32" i="58"/>
  <c r="T49" i="58" s="1"/>
  <c r="AQ49" i="58" s="1"/>
  <c r="U32" i="58"/>
  <c r="AR32" i="58" s="1"/>
  <c r="T33" i="58"/>
  <c r="T50" i="58" s="1"/>
  <c r="AQ50" i="58" s="1"/>
  <c r="U33" i="58"/>
  <c r="U50" i="58" s="1"/>
  <c r="AR50" i="58" s="1"/>
  <c r="T21" i="58"/>
  <c r="T38" i="58" s="1"/>
  <c r="AQ38" i="58" s="1"/>
  <c r="U21" i="58"/>
  <c r="U38" i="58" s="1"/>
  <c r="AR38" i="58" s="1"/>
  <c r="W17" i="47"/>
  <c r="AQ5" i="47"/>
  <c r="AR5" i="47"/>
  <c r="AQ6" i="47"/>
  <c r="AR6" i="47"/>
  <c r="AQ7" i="47"/>
  <c r="AR7" i="47"/>
  <c r="AQ8" i="47"/>
  <c r="AR8" i="47"/>
  <c r="AQ9" i="47"/>
  <c r="AR9" i="47"/>
  <c r="AQ10" i="47"/>
  <c r="AR10" i="47"/>
  <c r="AQ11" i="47"/>
  <c r="AR11" i="47"/>
  <c r="AQ12" i="47"/>
  <c r="AR12" i="47"/>
  <c r="AQ13" i="47"/>
  <c r="AR13" i="47"/>
  <c r="AQ14" i="47"/>
  <c r="AR14" i="47"/>
  <c r="AQ15" i="47"/>
  <c r="AR15" i="47"/>
  <c r="AQ16" i="47"/>
  <c r="AR16" i="47"/>
  <c r="AQ4" i="47"/>
  <c r="AR4" i="47"/>
  <c r="I95" i="88"/>
  <c r="G95" i="88"/>
  <c r="H95" i="88" s="1"/>
  <c r="I71" i="88"/>
  <c r="G71" i="88"/>
  <c r="H71" i="88" s="1"/>
  <c r="I70" i="88"/>
  <c r="G70" i="88"/>
  <c r="H70" i="88" s="1"/>
  <c r="R8" i="85"/>
  <c r="R7" i="85" s="1"/>
  <c r="S8" i="85"/>
  <c r="S7" i="85" s="1"/>
  <c r="T8" i="85"/>
  <c r="T7" i="85" s="1"/>
  <c r="S27" i="86"/>
  <c r="S85" i="88"/>
  <c r="S62" i="88"/>
  <c r="S121" i="88"/>
  <c r="I37" i="86"/>
  <c r="G37" i="86"/>
  <c r="H37" i="86" s="1"/>
  <c r="C8" i="20"/>
  <c r="C9" i="20" s="1"/>
  <c r="F20" i="64"/>
  <c r="J20" i="64"/>
  <c r="I43" i="85"/>
  <c r="G43" i="85"/>
  <c r="H43" i="85" s="1"/>
  <c r="I31" i="85"/>
  <c r="G31" i="85"/>
  <c r="H31" i="85" s="1"/>
  <c r="S33" i="85"/>
  <c r="R8" i="81"/>
  <c r="R9" i="81"/>
  <c r="R20" i="81"/>
  <c r="R21" i="81"/>
  <c r="R32" i="81"/>
  <c r="S20" i="85"/>
  <c r="S19" i="85" s="1"/>
  <c r="S15" i="85"/>
  <c r="S14" i="85" s="1"/>
  <c r="R24" i="85"/>
  <c r="AJ20" i="85"/>
  <c r="AI20" i="85"/>
  <c r="AH20" i="85"/>
  <c r="AG20" i="85"/>
  <c r="AF20" i="85"/>
  <c r="AE20" i="85"/>
  <c r="AD20" i="85"/>
  <c r="AC20" i="85"/>
  <c r="AB20" i="85"/>
  <c r="AA20" i="85"/>
  <c r="Z20" i="85"/>
  <c r="Y20" i="85"/>
  <c r="Y8" i="85"/>
  <c r="Z8" i="85"/>
  <c r="AA8" i="85"/>
  <c r="AB8" i="85"/>
  <c r="AC8" i="85"/>
  <c r="AD8" i="85"/>
  <c r="AE8" i="85"/>
  <c r="AF8" i="85"/>
  <c r="AG8" i="85"/>
  <c r="AH8" i="85"/>
  <c r="AI8" i="85"/>
  <c r="AJ8" i="85"/>
  <c r="R33" i="85"/>
  <c r="C33" i="81"/>
  <c r="C97" i="88"/>
  <c r="C95" i="88"/>
  <c r="R94" i="88" s="1"/>
  <c r="T72" i="88"/>
  <c r="T71" i="88" s="1"/>
  <c r="U72" i="88"/>
  <c r="U71" i="88" s="1"/>
  <c r="V72" i="88"/>
  <c r="W72" i="88"/>
  <c r="X72" i="88"/>
  <c r="AB9" i="20"/>
  <c r="Y9" i="20"/>
  <c r="Z9" i="20"/>
  <c r="AA9" i="20"/>
  <c r="I8" i="20"/>
  <c r="G8" i="20"/>
  <c r="H8" i="20" s="1"/>
  <c r="I6" i="81"/>
  <c r="R28" i="86"/>
  <c r="I30" i="85"/>
  <c r="I18" i="85"/>
  <c r="I143" i="88"/>
  <c r="I142" i="88"/>
  <c r="I106" i="88"/>
  <c r="I94" i="88"/>
  <c r="I46" i="88"/>
  <c r="I22" i="88"/>
  <c r="D24" i="64"/>
  <c r="G143" i="88"/>
  <c r="H143" i="88" s="1"/>
  <c r="C145" i="88"/>
  <c r="X144" i="88"/>
  <c r="W144" i="88"/>
  <c r="V144" i="88"/>
  <c r="U144" i="88"/>
  <c r="T144" i="88"/>
  <c r="S144" i="88"/>
  <c r="S143" i="88" s="1"/>
  <c r="R144" i="88"/>
  <c r="G142" i="88"/>
  <c r="H142" i="88" s="1"/>
  <c r="G144" i="88"/>
  <c r="H144" i="88" s="1"/>
  <c r="C133" i="88"/>
  <c r="X132" i="88"/>
  <c r="W132" i="88"/>
  <c r="V132" i="88"/>
  <c r="U132" i="88"/>
  <c r="U131" i="88" s="1"/>
  <c r="S132" i="88"/>
  <c r="S131" i="88" s="1"/>
  <c r="R132" i="88"/>
  <c r="C121" i="88"/>
  <c r="X120" i="88"/>
  <c r="W120" i="88"/>
  <c r="V120" i="88"/>
  <c r="U120" i="88"/>
  <c r="U119" i="88" s="1"/>
  <c r="T120" i="88"/>
  <c r="T119" i="88" s="1"/>
  <c r="S120" i="88"/>
  <c r="S119" i="88" s="1"/>
  <c r="R120" i="88"/>
  <c r="C119" i="88"/>
  <c r="R118" i="88" s="1"/>
  <c r="G106" i="88"/>
  <c r="H106" i="88" s="1"/>
  <c r="G94" i="88"/>
  <c r="H94" i="88" s="1"/>
  <c r="G46" i="88"/>
  <c r="H46" i="88" s="1"/>
  <c r="G22" i="88"/>
  <c r="H22" i="88" s="1"/>
  <c r="G30" i="85"/>
  <c r="H30" i="85" s="1"/>
  <c r="G18" i="85"/>
  <c r="H18" i="85" s="1"/>
  <c r="G6" i="81"/>
  <c r="H6" i="81" s="1"/>
  <c r="I7" i="20"/>
  <c r="C109" i="88"/>
  <c r="T108" i="88"/>
  <c r="T107" i="88" s="1"/>
  <c r="S108" i="88"/>
  <c r="S107" i="88" s="1"/>
  <c r="R108" i="88"/>
  <c r="C107" i="88"/>
  <c r="R106" i="88" s="1"/>
  <c r="X96" i="88"/>
  <c r="W96" i="88"/>
  <c r="V96" i="88"/>
  <c r="U96" i="88"/>
  <c r="U95" i="88" s="1"/>
  <c r="T96" i="88"/>
  <c r="T95" i="88" s="1"/>
  <c r="S96" i="88"/>
  <c r="R96" i="88"/>
  <c r="C85" i="88"/>
  <c r="X84" i="88"/>
  <c r="W84" i="88"/>
  <c r="V84" i="88"/>
  <c r="U84" i="88"/>
  <c r="U83" i="88" s="1"/>
  <c r="T84" i="88"/>
  <c r="T83" i="88" s="1"/>
  <c r="S84" i="88"/>
  <c r="S83" i="88" s="1"/>
  <c r="R84" i="88"/>
  <c r="C83" i="88"/>
  <c r="R82" i="88" s="1"/>
  <c r="C73" i="88"/>
  <c r="S72" i="88"/>
  <c r="S71" i="88" s="1"/>
  <c r="R72" i="88"/>
  <c r="C71" i="88"/>
  <c r="R70" i="88" s="1"/>
  <c r="C61" i="88"/>
  <c r="X61" i="88"/>
  <c r="X58" i="88" s="1"/>
  <c r="W61" i="88"/>
  <c r="W58" i="88" s="1"/>
  <c r="V61" i="88"/>
  <c r="V58" i="88" s="1"/>
  <c r="U61" i="88"/>
  <c r="U60" i="88" s="1"/>
  <c r="T61" i="88"/>
  <c r="T60" i="88" s="1"/>
  <c r="S61" i="88"/>
  <c r="S60" i="88" s="1"/>
  <c r="R61" i="88"/>
  <c r="C59" i="88"/>
  <c r="R59" i="88" s="1"/>
  <c r="C49" i="88"/>
  <c r="X48" i="88"/>
  <c r="W48" i="88"/>
  <c r="V48" i="88"/>
  <c r="U48" i="88"/>
  <c r="T48" i="88"/>
  <c r="S48" i="88"/>
  <c r="S47" i="88" s="1"/>
  <c r="R48" i="88"/>
  <c r="C47" i="88"/>
  <c r="R46" i="88" s="1"/>
  <c r="C37" i="88"/>
  <c r="X36" i="88"/>
  <c r="W36" i="88"/>
  <c r="V36" i="88"/>
  <c r="U36" i="88"/>
  <c r="U35" i="88" s="1"/>
  <c r="T36" i="88"/>
  <c r="T35" i="88" s="1"/>
  <c r="S36" i="88"/>
  <c r="S35" i="88" s="1"/>
  <c r="R36" i="88"/>
  <c r="C35" i="88"/>
  <c r="R34" i="88" s="1"/>
  <c r="C25" i="88"/>
  <c r="X24" i="88"/>
  <c r="W24" i="88"/>
  <c r="V24" i="88"/>
  <c r="U24" i="88"/>
  <c r="T24" i="88"/>
  <c r="S24" i="88"/>
  <c r="R24" i="88"/>
  <c r="C23" i="88"/>
  <c r="R22" i="88" s="1"/>
  <c r="C9" i="88"/>
  <c r="X8" i="88"/>
  <c r="W8" i="88"/>
  <c r="V8" i="88"/>
  <c r="U8" i="88"/>
  <c r="U7" i="88" s="1"/>
  <c r="T8" i="88"/>
  <c r="T7" i="88" s="1"/>
  <c r="S8" i="88"/>
  <c r="S7" i="88" s="1"/>
  <c r="R8" i="88"/>
  <c r="C7" i="88"/>
  <c r="R6" i="88" s="1"/>
  <c r="B2" i="88"/>
  <c r="C40" i="86"/>
  <c r="X39" i="86"/>
  <c r="W39" i="86"/>
  <c r="V39" i="86"/>
  <c r="U39" i="86"/>
  <c r="U38" i="86" s="1"/>
  <c r="T39" i="86"/>
  <c r="T38" i="86" s="1"/>
  <c r="S39" i="86"/>
  <c r="S38" i="86" s="1"/>
  <c r="R39" i="86"/>
  <c r="C38" i="86"/>
  <c r="R37" i="86" s="1"/>
  <c r="C28" i="86"/>
  <c r="X27" i="86"/>
  <c r="W27" i="86"/>
  <c r="V27" i="86"/>
  <c r="U27" i="86"/>
  <c r="U26" i="86" s="1"/>
  <c r="T27" i="86"/>
  <c r="T26" i="86" s="1"/>
  <c r="R27" i="86"/>
  <c r="C26" i="86"/>
  <c r="R25" i="86" s="1"/>
  <c r="C9" i="86"/>
  <c r="X8" i="86"/>
  <c r="W8" i="86"/>
  <c r="V8" i="86"/>
  <c r="U8" i="86"/>
  <c r="U7" i="86" s="1"/>
  <c r="T8" i="86"/>
  <c r="T7" i="86" s="1"/>
  <c r="S8" i="86"/>
  <c r="S7" i="86" s="1"/>
  <c r="R8" i="86"/>
  <c r="C7" i="86"/>
  <c r="R6" i="86" s="1"/>
  <c r="B2" i="86"/>
  <c r="C45" i="85"/>
  <c r="X44" i="85"/>
  <c r="W44" i="85"/>
  <c r="V44" i="85"/>
  <c r="U44" i="85"/>
  <c r="U43" i="85" s="1"/>
  <c r="T44" i="85"/>
  <c r="T43" i="85" s="1"/>
  <c r="S44" i="85"/>
  <c r="S43" i="85" s="1"/>
  <c r="R44" i="85"/>
  <c r="C43" i="85"/>
  <c r="R42" i="85" s="1"/>
  <c r="C33" i="85"/>
  <c r="X32" i="85"/>
  <c r="W32" i="85"/>
  <c r="V32" i="85"/>
  <c r="U32" i="85"/>
  <c r="U31" i="85" s="1"/>
  <c r="T32" i="85"/>
  <c r="T31" i="85" s="1"/>
  <c r="S32" i="85"/>
  <c r="S31" i="85" s="1"/>
  <c r="R32" i="85"/>
  <c r="C31" i="85"/>
  <c r="R30" i="85" s="1"/>
  <c r="C21" i="85"/>
  <c r="X20" i="85"/>
  <c r="W20" i="85"/>
  <c r="V20" i="85"/>
  <c r="T20" i="85"/>
  <c r="R20" i="85"/>
  <c r="C19" i="85"/>
  <c r="R18" i="85" s="1"/>
  <c r="C9" i="85"/>
  <c r="X8" i="85"/>
  <c r="W8" i="85"/>
  <c r="V8" i="85"/>
  <c r="U8" i="85"/>
  <c r="U7" i="85" s="1"/>
  <c r="C7" i="85"/>
  <c r="B2" i="85"/>
  <c r="X32" i="81"/>
  <c r="W32" i="81"/>
  <c r="V32" i="81"/>
  <c r="U32" i="81"/>
  <c r="U31" i="81" s="1"/>
  <c r="T32" i="81"/>
  <c r="T31" i="81" s="1"/>
  <c r="S32" i="81"/>
  <c r="S31" i="81" s="1"/>
  <c r="C31" i="81"/>
  <c r="R30" i="81" s="1"/>
  <c r="R18" i="81"/>
  <c r="R19" i="81" s="1"/>
  <c r="C7" i="81"/>
  <c r="C21" i="81"/>
  <c r="C20" i="81" s="1"/>
  <c r="S20" i="81"/>
  <c r="S19" i="81" s="1"/>
  <c r="C9" i="81"/>
  <c r="S95" i="88"/>
  <c r="S26" i="86"/>
  <c r="U143" i="88"/>
  <c r="U107" i="88"/>
  <c r="U19" i="85"/>
  <c r="X8" i="81"/>
  <c r="W8" i="81"/>
  <c r="V8" i="81"/>
  <c r="U8" i="81"/>
  <c r="U7" i="81" s="1"/>
  <c r="T8" i="81"/>
  <c r="T7" i="81" s="1"/>
  <c r="S8" i="81"/>
  <c r="S7" i="81" s="1"/>
  <c r="B2" i="81"/>
  <c r="B2" i="20"/>
  <c r="X9" i="20"/>
  <c r="W9" i="20"/>
  <c r="V9" i="20"/>
  <c r="U9" i="20"/>
  <c r="U8" i="20" s="1"/>
  <c r="T9" i="20"/>
  <c r="T8" i="20" s="1"/>
  <c r="S9" i="20"/>
  <c r="S8" i="20" s="1"/>
  <c r="R9" i="20"/>
  <c r="R8" i="20" s="1"/>
  <c r="AN14" i="47"/>
  <c r="AN12" i="47"/>
  <c r="AN11" i="47"/>
  <c r="J19" i="64"/>
  <c r="F19" i="64"/>
  <c r="AL3" i="58"/>
  <c r="AM3" i="58"/>
  <c r="AN3" i="58"/>
  <c r="AO3" i="58"/>
  <c r="AP3" i="58"/>
  <c r="AL4" i="58"/>
  <c r="AM4" i="58"/>
  <c r="AN4" i="58"/>
  <c r="AO4" i="58"/>
  <c r="AP4" i="58"/>
  <c r="AL5" i="58"/>
  <c r="AM5" i="58"/>
  <c r="AN5" i="58"/>
  <c r="AO5" i="58"/>
  <c r="AP5" i="58"/>
  <c r="AL6" i="58"/>
  <c r="AM6" i="58"/>
  <c r="AN6" i="58"/>
  <c r="AO6" i="58"/>
  <c r="AP6" i="58"/>
  <c r="AL7" i="58"/>
  <c r="AM7" i="58"/>
  <c r="AN7" i="58"/>
  <c r="AO7" i="58"/>
  <c r="AP7" i="58"/>
  <c r="AL8" i="58"/>
  <c r="AM8" i="58"/>
  <c r="AN8" i="58"/>
  <c r="AO8" i="58"/>
  <c r="AP8" i="58"/>
  <c r="AL9" i="58"/>
  <c r="AM9" i="58"/>
  <c r="AN9" i="58"/>
  <c r="AO9" i="58"/>
  <c r="AP9" i="58"/>
  <c r="AL10" i="58"/>
  <c r="AM10" i="58"/>
  <c r="AN10" i="58"/>
  <c r="AO10" i="58"/>
  <c r="AP10" i="58"/>
  <c r="AL11" i="58"/>
  <c r="AM11" i="58"/>
  <c r="AN11" i="58"/>
  <c r="AO11" i="58"/>
  <c r="AP11" i="58"/>
  <c r="AL12" i="58"/>
  <c r="AM12" i="58"/>
  <c r="AN12" i="58"/>
  <c r="AO12" i="58"/>
  <c r="AP12" i="58"/>
  <c r="AL13" i="58"/>
  <c r="AM13" i="58"/>
  <c r="AN13" i="58"/>
  <c r="AO13" i="58"/>
  <c r="AP13" i="58"/>
  <c r="AL14" i="58"/>
  <c r="AM14" i="58"/>
  <c r="AN14" i="58"/>
  <c r="AO14" i="58"/>
  <c r="AP14" i="58"/>
  <c r="AL15" i="58"/>
  <c r="AM15" i="58"/>
  <c r="AN15" i="58"/>
  <c r="AO15" i="58"/>
  <c r="AP15" i="58"/>
  <c r="N22" i="58"/>
  <c r="N39" i="58" s="1"/>
  <c r="AK39" i="58" s="1"/>
  <c r="O22" i="58"/>
  <c r="AL22" i="58" s="1"/>
  <c r="P22" i="58"/>
  <c r="P39" i="58" s="1"/>
  <c r="Q22" i="58"/>
  <c r="Q39" i="58" s="1"/>
  <c r="AN39" i="58" s="1"/>
  <c r="R22" i="58"/>
  <c r="AO22" i="58" s="1"/>
  <c r="S22" i="58"/>
  <c r="N23" i="58"/>
  <c r="N40" i="58" s="1"/>
  <c r="AK40" i="58" s="1"/>
  <c r="O23" i="58"/>
  <c r="AL23" i="58" s="1"/>
  <c r="P23" i="58"/>
  <c r="P40" i="58" s="1"/>
  <c r="AM40" i="58" s="1"/>
  <c r="Q23" i="58"/>
  <c r="AN23" i="58" s="1"/>
  <c r="R23" i="58"/>
  <c r="AO23" i="58" s="1"/>
  <c r="S23" i="58"/>
  <c r="S40" i="58" s="1"/>
  <c r="AP40" i="58" s="1"/>
  <c r="N24" i="58"/>
  <c r="N41" i="58" s="1"/>
  <c r="AK41" i="58" s="1"/>
  <c r="O24" i="58"/>
  <c r="O41" i="58" s="1"/>
  <c r="AL41" i="58" s="1"/>
  <c r="P24" i="58"/>
  <c r="AM24" i="58" s="1"/>
  <c r="Q24" i="58"/>
  <c r="AN24" i="58" s="1"/>
  <c r="R24" i="58"/>
  <c r="R41" i="58" s="1"/>
  <c r="AO41" i="58" s="1"/>
  <c r="S24" i="58"/>
  <c r="N25" i="58"/>
  <c r="AK25" i="58" s="1"/>
  <c r="O25" i="58"/>
  <c r="O42" i="58" s="1"/>
  <c r="AL42" i="58" s="1"/>
  <c r="P25" i="58"/>
  <c r="AM25" i="58" s="1"/>
  <c r="Q25" i="58"/>
  <c r="R25" i="58"/>
  <c r="R42" i="58" s="1"/>
  <c r="AO42" i="58" s="1"/>
  <c r="S25" i="58"/>
  <c r="S42" i="58" s="1"/>
  <c r="AP42" i="58" s="1"/>
  <c r="N26" i="58"/>
  <c r="N43" i="58" s="1"/>
  <c r="AK43" i="58" s="1"/>
  <c r="O26" i="58"/>
  <c r="AL26" i="58" s="1"/>
  <c r="P26" i="58"/>
  <c r="P43" i="58" s="1"/>
  <c r="AM43" i="58" s="1"/>
  <c r="Q26" i="58"/>
  <c r="AN26" i="58" s="1"/>
  <c r="R26" i="58"/>
  <c r="R43" i="58" s="1"/>
  <c r="AO43" i="58" s="1"/>
  <c r="S26" i="58"/>
  <c r="AP26" i="58" s="1"/>
  <c r="N27" i="58"/>
  <c r="N44" i="58" s="1"/>
  <c r="AK44" i="58" s="1"/>
  <c r="O27" i="58"/>
  <c r="O44" i="58" s="1"/>
  <c r="AL44" i="58" s="1"/>
  <c r="P27" i="58"/>
  <c r="P44" i="58" s="1"/>
  <c r="AM44" i="58" s="1"/>
  <c r="Q27" i="58"/>
  <c r="AN27" i="58" s="1"/>
  <c r="R27" i="58"/>
  <c r="AO27" i="58" s="1"/>
  <c r="S27" i="58"/>
  <c r="S44" i="58" s="1"/>
  <c r="AP44" i="58" s="1"/>
  <c r="N28" i="58"/>
  <c r="AK28" i="58" s="1"/>
  <c r="O28" i="58"/>
  <c r="P28" i="58"/>
  <c r="AM28" i="58" s="1"/>
  <c r="Q28" i="58"/>
  <c r="Q45" i="58" s="1"/>
  <c r="AN45" i="58" s="1"/>
  <c r="R28" i="58"/>
  <c r="R45" i="58" s="1"/>
  <c r="AO45" i="58" s="1"/>
  <c r="S28" i="58"/>
  <c r="S45" i="58" s="1"/>
  <c r="AP45" i="58" s="1"/>
  <c r="N29" i="58"/>
  <c r="AK29" i="58" s="1"/>
  <c r="O29" i="58"/>
  <c r="AL29" i="58" s="1"/>
  <c r="P29" i="58"/>
  <c r="AM29" i="58" s="1"/>
  <c r="Q29" i="58"/>
  <c r="Q46" i="58" s="1"/>
  <c r="AN46" i="58" s="1"/>
  <c r="R29" i="58"/>
  <c r="R46" i="58" s="1"/>
  <c r="AO46" i="58" s="1"/>
  <c r="S29" i="58"/>
  <c r="AP29" i="58" s="1"/>
  <c r="N30" i="58"/>
  <c r="N47" i="58" s="1"/>
  <c r="AK47" i="58" s="1"/>
  <c r="O30" i="58"/>
  <c r="AL30" i="58" s="1"/>
  <c r="P30" i="58"/>
  <c r="P47" i="58" s="1"/>
  <c r="AM47" i="58" s="1"/>
  <c r="Q30" i="58"/>
  <c r="Q47" i="58" s="1"/>
  <c r="AN47" i="58" s="1"/>
  <c r="R30" i="58"/>
  <c r="S30" i="58"/>
  <c r="AP30" i="58" s="1"/>
  <c r="N31" i="58"/>
  <c r="N48" i="58" s="1"/>
  <c r="AK48" i="58" s="1"/>
  <c r="O31" i="58"/>
  <c r="O48" i="58" s="1"/>
  <c r="AL48" i="58" s="1"/>
  <c r="P31" i="58"/>
  <c r="P48" i="58" s="1"/>
  <c r="AM48" i="58" s="1"/>
  <c r="Q31" i="58"/>
  <c r="AN31" i="58" s="1"/>
  <c r="R31" i="58"/>
  <c r="AO31" i="58" s="1"/>
  <c r="S31" i="58"/>
  <c r="S48" i="58" s="1"/>
  <c r="AP48" i="58" s="1"/>
  <c r="N32" i="58"/>
  <c r="AK32" i="58" s="1"/>
  <c r="O32" i="58"/>
  <c r="O49" i="58" s="1"/>
  <c r="AL49" i="58" s="1"/>
  <c r="P32" i="58"/>
  <c r="AM32" i="58" s="1"/>
  <c r="Q32" i="58"/>
  <c r="AN32" i="58" s="1"/>
  <c r="R32" i="58"/>
  <c r="R49" i="58" s="1"/>
  <c r="AO49" i="58" s="1"/>
  <c r="S32" i="58"/>
  <c r="S49" i="58" s="1"/>
  <c r="AP49" i="58" s="1"/>
  <c r="N33" i="58"/>
  <c r="N50" i="58" s="1"/>
  <c r="AK50" i="58" s="1"/>
  <c r="O33" i="58"/>
  <c r="AL33" i="58" s="1"/>
  <c r="P33" i="58"/>
  <c r="Q33" i="58"/>
  <c r="Q50" i="58" s="1"/>
  <c r="AN50" i="58" s="1"/>
  <c r="R33" i="58"/>
  <c r="R50" i="58" s="1"/>
  <c r="AO50" i="58" s="1"/>
  <c r="S33" i="58"/>
  <c r="AP33" i="58" s="1"/>
  <c r="O21" i="58"/>
  <c r="AL21" i="58" s="1"/>
  <c r="P21" i="58"/>
  <c r="AM21" i="58" s="1"/>
  <c r="Q21" i="58"/>
  <c r="Q38" i="58" s="1"/>
  <c r="AN38" i="58" s="1"/>
  <c r="R21" i="58"/>
  <c r="AO21" i="58" s="1"/>
  <c r="S21" i="58"/>
  <c r="AP21" i="58" s="1"/>
  <c r="N21" i="58"/>
  <c r="AO4" i="47"/>
  <c r="AP4" i="47"/>
  <c r="AO5" i="47"/>
  <c r="AP5" i="47"/>
  <c r="AO6" i="47"/>
  <c r="AP6" i="47"/>
  <c r="AO7" i="47"/>
  <c r="AP7" i="47"/>
  <c r="AO8" i="47"/>
  <c r="AP8" i="47"/>
  <c r="AO9" i="47"/>
  <c r="AP9" i="47"/>
  <c r="AO10" i="47"/>
  <c r="AP10" i="47"/>
  <c r="AO11" i="47"/>
  <c r="AP11" i="47"/>
  <c r="AO12" i="47"/>
  <c r="AP12" i="47"/>
  <c r="AO13" i="47"/>
  <c r="AP13" i="47"/>
  <c r="AO14" i="47"/>
  <c r="AP14" i="47"/>
  <c r="AO15" i="47"/>
  <c r="AP15" i="47"/>
  <c r="AO16" i="47"/>
  <c r="AP16" i="47"/>
  <c r="AL4" i="47"/>
  <c r="AM4" i="47"/>
  <c r="AN4" i="47"/>
  <c r="AL5" i="47"/>
  <c r="AM5" i="47"/>
  <c r="AN5" i="47"/>
  <c r="AL6" i="47"/>
  <c r="AM6" i="47"/>
  <c r="AN6" i="47"/>
  <c r="AL7" i="47"/>
  <c r="AM7" i="47"/>
  <c r="AN7" i="47"/>
  <c r="AL8" i="47"/>
  <c r="AM8" i="47"/>
  <c r="AN8" i="47"/>
  <c r="AL9" i="47"/>
  <c r="AM9" i="47"/>
  <c r="AN9" i="47"/>
  <c r="AL10" i="47"/>
  <c r="AM10" i="47"/>
  <c r="AN10" i="47"/>
  <c r="AL11" i="47"/>
  <c r="AM11" i="47"/>
  <c r="AL12" i="47"/>
  <c r="AM12" i="47"/>
  <c r="AL13" i="47"/>
  <c r="AM13" i="47"/>
  <c r="AL14" i="47"/>
  <c r="AM14" i="47"/>
  <c r="AL15" i="47"/>
  <c r="AM15" i="47"/>
  <c r="AN15" i="47"/>
  <c r="AL16" i="47"/>
  <c r="AM16" i="47"/>
  <c r="AN16" i="47"/>
  <c r="Q43" i="58"/>
  <c r="AN43" i="58" s="1"/>
  <c r="AO44" i="58"/>
  <c r="J18" i="64"/>
  <c r="F18" i="64"/>
  <c r="J17" i="64"/>
  <c r="F17" i="64"/>
  <c r="J16" i="64"/>
  <c r="F16" i="64"/>
  <c r="J15" i="64"/>
  <c r="F15" i="64"/>
  <c r="J14" i="64"/>
  <c r="F14" i="64"/>
  <c r="J13" i="64"/>
  <c r="F13" i="64"/>
  <c r="J12" i="64"/>
  <c r="F12" i="64"/>
  <c r="J11" i="64"/>
  <c r="F11" i="64"/>
  <c r="AH33" i="58"/>
  <c r="AG33" i="58"/>
  <c r="AF33" i="58"/>
  <c r="AE33" i="58"/>
  <c r="AD33" i="58"/>
  <c r="AC33" i="58"/>
  <c r="AB33" i="58"/>
  <c r="AA33" i="58"/>
  <c r="Z33" i="58"/>
  <c r="AH32" i="58"/>
  <c r="AG32" i="58"/>
  <c r="AF32" i="58"/>
  <c r="AE32" i="58"/>
  <c r="AD32" i="58"/>
  <c r="AC32" i="58"/>
  <c r="AB32" i="58"/>
  <c r="AA32" i="58"/>
  <c r="Z32" i="58"/>
  <c r="AH31" i="58"/>
  <c r="AG31" i="58"/>
  <c r="AF31" i="58"/>
  <c r="AE31" i="58"/>
  <c r="AD31" i="58"/>
  <c r="AC31" i="58"/>
  <c r="AB31" i="58"/>
  <c r="AA31" i="58"/>
  <c r="Z31" i="58"/>
  <c r="AH30" i="58"/>
  <c r="AG30" i="58"/>
  <c r="AF30" i="58"/>
  <c r="AE30" i="58"/>
  <c r="AD30" i="58"/>
  <c r="AC30" i="58"/>
  <c r="AB30" i="58"/>
  <c r="AA30" i="58"/>
  <c r="Z30" i="58"/>
  <c r="AH29" i="58"/>
  <c r="AG29" i="58"/>
  <c r="AF29" i="58"/>
  <c r="AE29" i="58"/>
  <c r="AD29" i="58"/>
  <c r="AC29" i="58"/>
  <c r="AB29" i="58"/>
  <c r="AA29" i="58"/>
  <c r="Z29" i="58"/>
  <c r="AH28" i="58"/>
  <c r="AG28" i="58"/>
  <c r="AF28" i="58"/>
  <c r="AE28" i="58"/>
  <c r="AD28" i="58"/>
  <c r="AC28" i="58"/>
  <c r="AB28" i="58"/>
  <c r="AA28" i="58"/>
  <c r="Z28" i="58"/>
  <c r="AH27" i="58"/>
  <c r="AG27" i="58"/>
  <c r="AF27" i="58"/>
  <c r="AE27" i="58"/>
  <c r="AD27" i="58"/>
  <c r="AC27" i="58"/>
  <c r="AB27" i="58"/>
  <c r="AA27" i="58"/>
  <c r="Z27" i="58"/>
  <c r="AH26" i="58"/>
  <c r="AG26" i="58"/>
  <c r="AF26" i="58"/>
  <c r="AE26" i="58"/>
  <c r="AD26" i="58"/>
  <c r="AC26" i="58"/>
  <c r="AB26" i="58"/>
  <c r="AA26" i="58"/>
  <c r="Z26" i="58"/>
  <c r="AH25" i="58"/>
  <c r="AG25" i="58"/>
  <c r="AF25" i="58"/>
  <c r="AE25" i="58"/>
  <c r="AD25" i="58"/>
  <c r="AC25" i="58"/>
  <c r="AB25" i="58"/>
  <c r="AA25" i="58"/>
  <c r="Z25" i="58"/>
  <c r="AH24" i="58"/>
  <c r="AG24" i="58"/>
  <c r="AF24" i="58"/>
  <c r="AE24" i="58"/>
  <c r="AD24" i="58"/>
  <c r="AC24" i="58"/>
  <c r="AB24" i="58"/>
  <c r="AA24" i="58"/>
  <c r="Z24" i="58"/>
  <c r="AH23" i="58"/>
  <c r="AG23" i="58"/>
  <c r="AF23" i="58"/>
  <c r="AE23" i="58"/>
  <c r="AD23" i="58"/>
  <c r="AC23" i="58"/>
  <c r="AB23" i="58"/>
  <c r="AA23" i="58"/>
  <c r="Z23" i="58"/>
  <c r="AH22" i="58"/>
  <c r="AG22" i="58"/>
  <c r="AF22" i="58"/>
  <c r="AE22" i="58"/>
  <c r="AD22" i="58"/>
  <c r="AC22" i="58"/>
  <c r="AB22" i="58"/>
  <c r="AA22" i="58"/>
  <c r="Z22" i="58"/>
  <c r="AH21" i="58"/>
  <c r="AG21" i="58"/>
  <c r="AF21" i="58"/>
  <c r="AE21" i="58"/>
  <c r="AD21" i="58"/>
  <c r="AC21" i="58"/>
  <c r="AB21" i="58"/>
  <c r="AA21" i="58"/>
  <c r="Z21" i="58"/>
  <c r="M33" i="58"/>
  <c r="M32" i="58"/>
  <c r="M49" i="58" s="1"/>
  <c r="AJ49" i="58" s="1"/>
  <c r="M31" i="58"/>
  <c r="AJ31" i="58" s="1"/>
  <c r="M30" i="58"/>
  <c r="AJ30" i="58" s="1"/>
  <c r="M29" i="58"/>
  <c r="AJ29" i="58" s="1"/>
  <c r="M28" i="58"/>
  <c r="AJ28" i="58" s="1"/>
  <c r="M27" i="58"/>
  <c r="AJ27" i="58" s="1"/>
  <c r="M26" i="58"/>
  <c r="AJ26" i="58" s="1"/>
  <c r="M25" i="58"/>
  <c r="M24" i="58"/>
  <c r="AJ24" i="58" s="1"/>
  <c r="M23" i="58"/>
  <c r="AJ23" i="58" s="1"/>
  <c r="M22" i="58"/>
  <c r="AJ22" i="58" s="1"/>
  <c r="M21" i="58"/>
  <c r="AJ21" i="58" s="1"/>
  <c r="L33" i="58"/>
  <c r="L50" i="58" s="1"/>
  <c r="L32" i="58"/>
  <c r="AI32" i="58" s="1"/>
  <c r="L31" i="58"/>
  <c r="L48" i="58" s="1"/>
  <c r="AI48" i="58" s="1"/>
  <c r="L30" i="58"/>
  <c r="L29" i="58"/>
  <c r="AI29" i="58" s="1"/>
  <c r="L28" i="58"/>
  <c r="AI28" i="58" s="1"/>
  <c r="L27" i="58"/>
  <c r="AI27" i="58" s="1"/>
  <c r="L26" i="58"/>
  <c r="L43" i="58" s="1"/>
  <c r="AI43" i="58" s="1"/>
  <c r="L25" i="58"/>
  <c r="L42" i="58" s="1"/>
  <c r="AI42" i="58" s="1"/>
  <c r="L24" i="58"/>
  <c r="AI24" i="58" s="1"/>
  <c r="L23" i="58"/>
  <c r="AI23" i="58" s="1"/>
  <c r="L22" i="58"/>
  <c r="L39" i="58" s="1"/>
  <c r="AI39" i="58" s="1"/>
  <c r="L21" i="58"/>
  <c r="L38" i="58" s="1"/>
  <c r="AI38" i="58" s="1"/>
  <c r="X22" i="20"/>
  <c r="I10" i="64"/>
  <c r="J10" i="64" s="1"/>
  <c r="I9" i="64"/>
  <c r="J9" i="64" s="1"/>
  <c r="I8" i="64"/>
  <c r="J8" i="64" s="1"/>
  <c r="F10" i="64"/>
  <c r="F9" i="64"/>
  <c r="F8" i="64"/>
  <c r="F6" i="64"/>
  <c r="F5" i="64"/>
  <c r="F4" i="64"/>
  <c r="F3" i="64"/>
  <c r="F7" i="64"/>
  <c r="I7" i="64"/>
  <c r="J7" i="64" s="1"/>
  <c r="I6" i="64"/>
  <c r="J6" i="64" s="1"/>
  <c r="I5" i="64"/>
  <c r="J5" i="64" s="1"/>
  <c r="I4" i="64"/>
  <c r="J4" i="64" s="1"/>
  <c r="I3" i="64"/>
  <c r="J3" i="64" s="1"/>
  <c r="X21" i="20"/>
  <c r="G7" i="20"/>
  <c r="H7" i="20" s="1"/>
  <c r="K50" i="58"/>
  <c r="AH50" i="58" s="1"/>
  <c r="J50" i="58"/>
  <c r="AG50" i="58" s="1"/>
  <c r="I50" i="58"/>
  <c r="AF50" i="58" s="1"/>
  <c r="H50" i="58"/>
  <c r="AE50" i="58" s="1"/>
  <c r="G50" i="58"/>
  <c r="AD50" i="58" s="1"/>
  <c r="F50" i="58"/>
  <c r="AC50" i="58" s="1"/>
  <c r="E50" i="58"/>
  <c r="AB50" i="58" s="1"/>
  <c r="D50" i="58"/>
  <c r="AA50" i="58" s="1"/>
  <c r="C50" i="58"/>
  <c r="Z50" i="58" s="1"/>
  <c r="K49" i="58"/>
  <c r="AH49" i="58" s="1"/>
  <c r="J49" i="58"/>
  <c r="AG49" i="58" s="1"/>
  <c r="I49" i="58"/>
  <c r="AF49" i="58" s="1"/>
  <c r="H49" i="58"/>
  <c r="AE49" i="58" s="1"/>
  <c r="G49" i="58"/>
  <c r="AD49" i="58" s="1"/>
  <c r="F49" i="58"/>
  <c r="AC49" i="58" s="1"/>
  <c r="E49" i="58"/>
  <c r="AB49" i="58" s="1"/>
  <c r="D49" i="58"/>
  <c r="AA49" i="58" s="1"/>
  <c r="C49" i="58"/>
  <c r="Z49" i="58" s="1"/>
  <c r="K48" i="58"/>
  <c r="AH48" i="58" s="1"/>
  <c r="J48" i="58"/>
  <c r="AG48" i="58" s="1"/>
  <c r="I48" i="58"/>
  <c r="AF48" i="58" s="1"/>
  <c r="H48" i="58"/>
  <c r="AE48" i="58" s="1"/>
  <c r="G48" i="58"/>
  <c r="AD48" i="58" s="1"/>
  <c r="F48" i="58"/>
  <c r="AC48" i="58" s="1"/>
  <c r="E48" i="58"/>
  <c r="AB48" i="58" s="1"/>
  <c r="D48" i="58"/>
  <c r="AA48" i="58" s="1"/>
  <c r="C48" i="58"/>
  <c r="Z48" i="58" s="1"/>
  <c r="K47" i="58"/>
  <c r="AH47" i="58" s="1"/>
  <c r="J47" i="58"/>
  <c r="AG47" i="58" s="1"/>
  <c r="I47" i="58"/>
  <c r="AF47" i="58" s="1"/>
  <c r="H47" i="58"/>
  <c r="AE47" i="58" s="1"/>
  <c r="G47" i="58"/>
  <c r="AD47" i="58" s="1"/>
  <c r="F47" i="58"/>
  <c r="AC47" i="58" s="1"/>
  <c r="E47" i="58"/>
  <c r="AB47" i="58" s="1"/>
  <c r="D47" i="58"/>
  <c r="AA47" i="58" s="1"/>
  <c r="C47" i="58"/>
  <c r="Z47" i="58" s="1"/>
  <c r="K46" i="58"/>
  <c r="AH46" i="58" s="1"/>
  <c r="J46" i="58"/>
  <c r="AG46" i="58" s="1"/>
  <c r="I46" i="58"/>
  <c r="AF46" i="58" s="1"/>
  <c r="H46" i="58"/>
  <c r="AE46" i="58" s="1"/>
  <c r="G46" i="58"/>
  <c r="AD46" i="58" s="1"/>
  <c r="F46" i="58"/>
  <c r="AC46" i="58" s="1"/>
  <c r="E46" i="58"/>
  <c r="AB46" i="58" s="1"/>
  <c r="D46" i="58"/>
  <c r="AA46" i="58" s="1"/>
  <c r="C46" i="58"/>
  <c r="Z46" i="58" s="1"/>
  <c r="K45" i="58"/>
  <c r="AH45" i="58" s="1"/>
  <c r="J45" i="58"/>
  <c r="AG45" i="58" s="1"/>
  <c r="I45" i="58"/>
  <c r="AF45" i="58" s="1"/>
  <c r="H45" i="58"/>
  <c r="AE45" i="58" s="1"/>
  <c r="G45" i="58"/>
  <c r="AD45" i="58" s="1"/>
  <c r="F45" i="58"/>
  <c r="AC45" i="58" s="1"/>
  <c r="E45" i="58"/>
  <c r="AB45" i="58" s="1"/>
  <c r="D45" i="58"/>
  <c r="AA45" i="58" s="1"/>
  <c r="C45" i="58"/>
  <c r="Z45" i="58" s="1"/>
  <c r="K44" i="58"/>
  <c r="AH44" i="58" s="1"/>
  <c r="J44" i="58"/>
  <c r="AG44" i="58" s="1"/>
  <c r="I44" i="58"/>
  <c r="AF44" i="58" s="1"/>
  <c r="H44" i="58"/>
  <c r="AE44" i="58" s="1"/>
  <c r="G44" i="58"/>
  <c r="AD44" i="58" s="1"/>
  <c r="F44" i="58"/>
  <c r="AC44" i="58" s="1"/>
  <c r="E44" i="58"/>
  <c r="AB44" i="58" s="1"/>
  <c r="D44" i="58"/>
  <c r="AA44" i="58" s="1"/>
  <c r="C44" i="58"/>
  <c r="Z44" i="58" s="1"/>
  <c r="K43" i="58"/>
  <c r="AH43" i="58" s="1"/>
  <c r="J43" i="58"/>
  <c r="AG43" i="58" s="1"/>
  <c r="I43" i="58"/>
  <c r="AF43" i="58" s="1"/>
  <c r="H43" i="58"/>
  <c r="AE43" i="58" s="1"/>
  <c r="G43" i="58"/>
  <c r="AD43" i="58" s="1"/>
  <c r="F43" i="58"/>
  <c r="AC43" i="58" s="1"/>
  <c r="E43" i="58"/>
  <c r="AB43" i="58" s="1"/>
  <c r="D43" i="58"/>
  <c r="AA43" i="58" s="1"/>
  <c r="C43" i="58"/>
  <c r="Z43" i="58" s="1"/>
  <c r="K42" i="58"/>
  <c r="AH42" i="58" s="1"/>
  <c r="J42" i="58"/>
  <c r="AG42" i="58" s="1"/>
  <c r="I42" i="58"/>
  <c r="AF42" i="58" s="1"/>
  <c r="H42" i="58"/>
  <c r="AE42" i="58" s="1"/>
  <c r="G42" i="58"/>
  <c r="AD42" i="58" s="1"/>
  <c r="F42" i="58"/>
  <c r="AC42" i="58" s="1"/>
  <c r="E42" i="58"/>
  <c r="AB42" i="58" s="1"/>
  <c r="D42" i="58"/>
  <c r="AA42" i="58" s="1"/>
  <c r="C42" i="58"/>
  <c r="Z42" i="58" s="1"/>
  <c r="K41" i="58"/>
  <c r="AH41" i="58" s="1"/>
  <c r="J41" i="58"/>
  <c r="AG41" i="58" s="1"/>
  <c r="I41" i="58"/>
  <c r="AF41" i="58" s="1"/>
  <c r="H41" i="58"/>
  <c r="AE41" i="58" s="1"/>
  <c r="G41" i="58"/>
  <c r="AD41" i="58" s="1"/>
  <c r="F41" i="58"/>
  <c r="AC41" i="58" s="1"/>
  <c r="E41" i="58"/>
  <c r="AB41" i="58" s="1"/>
  <c r="D41" i="58"/>
  <c r="AA41" i="58" s="1"/>
  <c r="C41" i="58"/>
  <c r="Z41" i="58" s="1"/>
  <c r="K40" i="58"/>
  <c r="AH40" i="58" s="1"/>
  <c r="J40" i="58"/>
  <c r="AG40" i="58" s="1"/>
  <c r="I40" i="58"/>
  <c r="AF40" i="58" s="1"/>
  <c r="H40" i="58"/>
  <c r="AE40" i="58" s="1"/>
  <c r="G40" i="58"/>
  <c r="AD40" i="58" s="1"/>
  <c r="F40" i="58"/>
  <c r="AC40" i="58" s="1"/>
  <c r="E40" i="58"/>
  <c r="AB40" i="58" s="1"/>
  <c r="D40" i="58"/>
  <c r="AA40" i="58" s="1"/>
  <c r="C40" i="58"/>
  <c r="Z40" i="58" s="1"/>
  <c r="K39" i="58"/>
  <c r="AH39" i="58" s="1"/>
  <c r="J39" i="58"/>
  <c r="AG39" i="58" s="1"/>
  <c r="I39" i="58"/>
  <c r="AF39" i="58" s="1"/>
  <c r="H39" i="58"/>
  <c r="AE39" i="58" s="1"/>
  <c r="G39" i="58"/>
  <c r="AD39" i="58" s="1"/>
  <c r="F39" i="58"/>
  <c r="AC39" i="58" s="1"/>
  <c r="E39" i="58"/>
  <c r="AB39" i="58" s="1"/>
  <c r="D39" i="58"/>
  <c r="AA39" i="58" s="1"/>
  <c r="C39" i="58"/>
  <c r="Z39" i="58" s="1"/>
  <c r="K38" i="58"/>
  <c r="AH38" i="58" s="1"/>
  <c r="J38" i="58"/>
  <c r="AG38" i="58" s="1"/>
  <c r="I38" i="58"/>
  <c r="AF38" i="58" s="1"/>
  <c r="H38" i="58"/>
  <c r="AE38" i="58" s="1"/>
  <c r="G38" i="58"/>
  <c r="AD38" i="58" s="1"/>
  <c r="F38" i="58"/>
  <c r="AC38" i="58" s="1"/>
  <c r="E38" i="58"/>
  <c r="AB38" i="58" s="1"/>
  <c r="D38" i="58"/>
  <c r="AA38" i="58" s="1"/>
  <c r="C38" i="58"/>
  <c r="Z38" i="58" s="1"/>
  <c r="AK218" i="62"/>
  <c r="AJ218" i="62"/>
  <c r="AI218" i="62"/>
  <c r="AH218" i="62"/>
  <c r="AG218" i="62"/>
  <c r="AF218" i="62"/>
  <c r="AE218" i="62"/>
  <c r="AD218" i="62"/>
  <c r="AC218" i="62"/>
  <c r="AB218" i="62"/>
  <c r="AA218" i="62"/>
  <c r="AK216" i="62"/>
  <c r="AJ216" i="62"/>
  <c r="AI216" i="62"/>
  <c r="AH216" i="62"/>
  <c r="AG216" i="62"/>
  <c r="AF216" i="62"/>
  <c r="AF219" i="62" s="1"/>
  <c r="AE216" i="62"/>
  <c r="AD216" i="62"/>
  <c r="AC216" i="62"/>
  <c r="AB216" i="62"/>
  <c r="AA216" i="62"/>
  <c r="AA219" i="62" s="1"/>
  <c r="AL212" i="62"/>
  <c r="AM212" i="62" s="1"/>
  <c r="AN212" i="62" s="1"/>
  <c r="AO212" i="62" s="1"/>
  <c r="AP212" i="62" s="1"/>
  <c r="AQ212" i="62" s="1"/>
  <c r="AG203" i="62"/>
  <c r="AF203" i="62"/>
  <c r="AE203" i="62"/>
  <c r="AD203" i="62"/>
  <c r="AC203" i="62"/>
  <c r="AB203" i="62"/>
  <c r="AA203" i="62"/>
  <c r="AA201" i="62"/>
  <c r="AA204" i="62" s="1"/>
  <c r="AB201" i="62"/>
  <c r="AK201" i="62"/>
  <c r="AJ201" i="62"/>
  <c r="AI201" i="62"/>
  <c r="AH201" i="62"/>
  <c r="AG201" i="62"/>
  <c r="AF201" i="62"/>
  <c r="AE201" i="62"/>
  <c r="AD201" i="62"/>
  <c r="AC201" i="62"/>
  <c r="AL197" i="62"/>
  <c r="AM197" i="62" s="1"/>
  <c r="AN197" i="62" s="1"/>
  <c r="AO197" i="62" s="1"/>
  <c r="AP197" i="62" s="1"/>
  <c r="AQ197" i="62" s="1"/>
  <c r="AK186" i="62"/>
  <c r="AJ186" i="62"/>
  <c r="AI186" i="62"/>
  <c r="AH186" i="62"/>
  <c r="AG186" i="62"/>
  <c r="AF186" i="62"/>
  <c r="AE186" i="62"/>
  <c r="AD186" i="62"/>
  <c r="AC186" i="62"/>
  <c r="AB186" i="62"/>
  <c r="AA186" i="62"/>
  <c r="AE184" i="62"/>
  <c r="AD184" i="62"/>
  <c r="AC184" i="62"/>
  <c r="AC187" i="62" s="1"/>
  <c r="AC188" i="62" s="1"/>
  <c r="AC189" i="62" s="1"/>
  <c r="AC190" i="62" s="1"/>
  <c r="AK184" i="62"/>
  <c r="AJ184" i="62"/>
  <c r="AI184" i="62"/>
  <c r="AH184" i="62"/>
  <c r="AG184" i="62"/>
  <c r="AF184" i="62"/>
  <c r="AL180" i="62"/>
  <c r="AK167" i="62"/>
  <c r="AJ167" i="62"/>
  <c r="AI167" i="62"/>
  <c r="AH167" i="62"/>
  <c r="AG167" i="62"/>
  <c r="AF167" i="62"/>
  <c r="AE167" i="62"/>
  <c r="AD167" i="62"/>
  <c r="AC167" i="62"/>
  <c r="AB167" i="62"/>
  <c r="AA167" i="62"/>
  <c r="AD165" i="62"/>
  <c r="AC165" i="62"/>
  <c r="AB165" i="62"/>
  <c r="AK165" i="62"/>
  <c r="AJ165" i="62"/>
  <c r="AI165" i="62"/>
  <c r="AH165" i="62"/>
  <c r="AG165" i="62"/>
  <c r="AF165" i="62"/>
  <c r="AE165" i="62"/>
  <c r="AA165" i="62"/>
  <c r="AA168" i="62" s="1"/>
  <c r="AB168" i="62" s="1"/>
  <c r="AB169" i="62" s="1"/>
  <c r="AB170" i="62" s="1"/>
  <c r="AL161" i="62"/>
  <c r="AM161" i="62" s="1"/>
  <c r="AN161" i="62" s="1"/>
  <c r="AO161" i="62" s="1"/>
  <c r="AP161" i="62" s="1"/>
  <c r="AQ161" i="62" s="1"/>
  <c r="AJ151" i="62"/>
  <c r="AI151" i="62"/>
  <c r="AH151" i="62"/>
  <c r="AG151" i="62"/>
  <c r="AF151" i="62"/>
  <c r="AE151" i="62"/>
  <c r="AD151" i="62"/>
  <c r="AC151" i="62"/>
  <c r="AB151" i="62"/>
  <c r="AA151" i="62"/>
  <c r="AB152" i="62"/>
  <c r="AE149" i="62"/>
  <c r="AD149" i="62"/>
  <c r="AC149" i="62"/>
  <c r="AK149" i="62"/>
  <c r="AJ149" i="62"/>
  <c r="AI149" i="62"/>
  <c r="AH149" i="62"/>
  <c r="AG149" i="62"/>
  <c r="AF149" i="62"/>
  <c r="AA149" i="62"/>
  <c r="AA152" i="62" s="1"/>
  <c r="AL145" i="62"/>
  <c r="AM145" i="62" s="1"/>
  <c r="AN145" i="62" s="1"/>
  <c r="AO145" i="62" s="1"/>
  <c r="AP145" i="62" s="1"/>
  <c r="AQ145" i="62" s="1"/>
  <c r="AK134" i="62"/>
  <c r="AJ134" i="62"/>
  <c r="AI134" i="62"/>
  <c r="AH134" i="62"/>
  <c r="AG134" i="62"/>
  <c r="AF134" i="62"/>
  <c r="AE134" i="62"/>
  <c r="AD134" i="62"/>
  <c r="AC134" i="62"/>
  <c r="AB134" i="62"/>
  <c r="AA134" i="62"/>
  <c r="AE133" i="62"/>
  <c r="AD133" i="62"/>
  <c r="AC133" i="62"/>
  <c r="AK133" i="62"/>
  <c r="AJ133" i="62"/>
  <c r="AI133" i="62"/>
  <c r="AH133" i="62"/>
  <c r="AG133" i="62"/>
  <c r="AF133" i="62"/>
  <c r="AA133" i="62"/>
  <c r="AA135" i="62" s="1"/>
  <c r="AA136" i="62" s="1"/>
  <c r="AB135" i="62" s="1"/>
  <c r="AL129" i="62"/>
  <c r="AM129" i="62" s="1"/>
  <c r="AK118" i="62"/>
  <c r="AJ118" i="62"/>
  <c r="AI118" i="62"/>
  <c r="AH118" i="62"/>
  <c r="AG118" i="62"/>
  <c r="AF118" i="62"/>
  <c r="AE118" i="62"/>
  <c r="AD118" i="62"/>
  <c r="AC118" i="62"/>
  <c r="AB118" i="62"/>
  <c r="AA118" i="62"/>
  <c r="AA116" i="62"/>
  <c r="AA119" i="62" s="1"/>
  <c r="AB119" i="62" s="1"/>
  <c r="AK116" i="62"/>
  <c r="AJ116" i="62"/>
  <c r="AI116" i="62"/>
  <c r="AH116" i="62"/>
  <c r="AG116" i="62"/>
  <c r="AF116" i="62"/>
  <c r="AE116" i="62"/>
  <c r="AD116" i="62"/>
  <c r="AC116" i="62"/>
  <c r="AL112" i="62"/>
  <c r="AM112" i="62" s="1"/>
  <c r="AN112" i="62" s="1"/>
  <c r="AO112" i="62" s="1"/>
  <c r="AP112" i="62" s="1"/>
  <c r="AQ112" i="62" s="1"/>
  <c r="AL95" i="62"/>
  <c r="AM95" i="62" s="1"/>
  <c r="AN95" i="62" s="1"/>
  <c r="AO95" i="62" s="1"/>
  <c r="AP95" i="62" s="1"/>
  <c r="AQ95" i="62" s="1"/>
  <c r="AK101" i="62"/>
  <c r="AJ101" i="62"/>
  <c r="AI101" i="62"/>
  <c r="AH101" i="62"/>
  <c r="AG101" i="62"/>
  <c r="AF101" i="62"/>
  <c r="AE101" i="62"/>
  <c r="AD101" i="62"/>
  <c r="AC101" i="62"/>
  <c r="AB101" i="62"/>
  <c r="AA101" i="62"/>
  <c r="AA99" i="62"/>
  <c r="AA102" i="62" s="1"/>
  <c r="AK99" i="62"/>
  <c r="AJ99" i="62"/>
  <c r="AI99" i="62"/>
  <c r="AH99" i="62"/>
  <c r="AG99" i="62"/>
  <c r="AF99" i="62"/>
  <c r="AE99" i="62"/>
  <c r="AD99" i="62"/>
  <c r="AD102" i="62" s="1"/>
  <c r="AC99" i="62"/>
  <c r="AC102" i="62" s="1"/>
  <c r="AK80" i="62"/>
  <c r="AJ80" i="62"/>
  <c r="AI80" i="62"/>
  <c r="AH80" i="62"/>
  <c r="AG80" i="62"/>
  <c r="AF80" i="62"/>
  <c r="AE80" i="62"/>
  <c r="AD80" i="62"/>
  <c r="AC80" i="62"/>
  <c r="AK78" i="62"/>
  <c r="AJ78" i="62"/>
  <c r="AI78" i="62"/>
  <c r="AH78" i="62"/>
  <c r="AG78" i="62"/>
  <c r="AF78" i="62"/>
  <c r="AE78" i="62"/>
  <c r="AD78" i="62"/>
  <c r="AC78" i="62"/>
  <c r="AC81" i="62" s="1"/>
  <c r="AC82" i="62" s="1"/>
  <c r="AC83" i="62" s="1"/>
  <c r="AK62" i="62"/>
  <c r="AJ62" i="62"/>
  <c r="AI62" i="62"/>
  <c r="AH62" i="62"/>
  <c r="AG62" i="62"/>
  <c r="AF62" i="62"/>
  <c r="AE62" i="62"/>
  <c r="AD62" i="62"/>
  <c r="AC62" i="62"/>
  <c r="AB62" i="62"/>
  <c r="AA62" i="62"/>
  <c r="AA65" i="62" s="1"/>
  <c r="AA66" i="62" s="1"/>
  <c r="AA67" i="62" s="1"/>
  <c r="AK31" i="62"/>
  <c r="AJ31" i="62"/>
  <c r="AI31" i="62"/>
  <c r="AH31" i="62"/>
  <c r="AG31" i="62"/>
  <c r="AF31" i="62"/>
  <c r="AE31" i="62"/>
  <c r="AD31" i="62"/>
  <c r="AC31" i="62"/>
  <c r="AB31" i="62"/>
  <c r="AA31" i="62"/>
  <c r="AK9" i="62"/>
  <c r="AJ9" i="62"/>
  <c r="AI9" i="62"/>
  <c r="AH9" i="62"/>
  <c r="AG9" i="62"/>
  <c r="AF9" i="62"/>
  <c r="AE9" i="62"/>
  <c r="AD9" i="62"/>
  <c r="AC9" i="62"/>
  <c r="AB9" i="62"/>
  <c r="AA9" i="62"/>
  <c r="AD13" i="62"/>
  <c r="AK7" i="62"/>
  <c r="AJ7" i="62"/>
  <c r="AI7" i="62"/>
  <c r="AH7" i="62"/>
  <c r="AG7" i="62"/>
  <c r="AF7" i="62"/>
  <c r="AE7" i="62"/>
  <c r="AD7" i="62"/>
  <c r="AC7" i="62"/>
  <c r="AC10" i="62" s="1"/>
  <c r="AC11" i="62" s="1"/>
  <c r="AB7" i="62"/>
  <c r="AA7" i="62"/>
  <c r="AA10" i="62" s="1"/>
  <c r="AA11" i="62" s="1"/>
  <c r="AC15" i="63"/>
  <c r="AB15" i="63"/>
  <c r="AA15" i="63"/>
  <c r="Z15" i="63"/>
  <c r="Y15" i="63"/>
  <c r="X15" i="63"/>
  <c r="W15" i="63"/>
  <c r="V15" i="63"/>
  <c r="U15" i="63"/>
  <c r="T15" i="63"/>
  <c r="S15" i="63"/>
  <c r="R15" i="63"/>
  <c r="O15" i="63"/>
  <c r="AC14" i="63"/>
  <c r="AB14" i="63"/>
  <c r="AA14" i="63"/>
  <c r="Z14" i="63"/>
  <c r="Y14" i="63"/>
  <c r="X14" i="63"/>
  <c r="W14" i="63"/>
  <c r="V14" i="63"/>
  <c r="U14" i="63"/>
  <c r="T14" i="63"/>
  <c r="S14" i="63"/>
  <c r="R14" i="63"/>
  <c r="O14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O13" i="63"/>
  <c r="AC12" i="63"/>
  <c r="AB12" i="63"/>
  <c r="AA12" i="63"/>
  <c r="Z12" i="63"/>
  <c r="Y12" i="63"/>
  <c r="X12" i="63"/>
  <c r="W12" i="63"/>
  <c r="V12" i="63"/>
  <c r="U12" i="63"/>
  <c r="T12" i="63"/>
  <c r="S12" i="63"/>
  <c r="R12" i="63"/>
  <c r="O12" i="63"/>
  <c r="AC11" i="63"/>
  <c r="AB11" i="63"/>
  <c r="AA11" i="63"/>
  <c r="Z11" i="63"/>
  <c r="Y11" i="63"/>
  <c r="X11" i="63"/>
  <c r="W11" i="63"/>
  <c r="V11" i="63"/>
  <c r="U11" i="63"/>
  <c r="T11" i="63"/>
  <c r="S11" i="63"/>
  <c r="R11" i="63"/>
  <c r="O11" i="63"/>
  <c r="AC10" i="63"/>
  <c r="AB10" i="63"/>
  <c r="AA10" i="63"/>
  <c r="Z10" i="63"/>
  <c r="Y10" i="63"/>
  <c r="X10" i="63"/>
  <c r="W10" i="63"/>
  <c r="V10" i="63"/>
  <c r="U10" i="63"/>
  <c r="T10" i="63"/>
  <c r="S10" i="63"/>
  <c r="R10" i="63"/>
  <c r="O10" i="63"/>
  <c r="AC9" i="63"/>
  <c r="AB9" i="63"/>
  <c r="AA9" i="63"/>
  <c r="Z9" i="63"/>
  <c r="Y9" i="63"/>
  <c r="X9" i="63"/>
  <c r="W9" i="63"/>
  <c r="V9" i="63"/>
  <c r="U9" i="63"/>
  <c r="T9" i="63"/>
  <c r="S9" i="63"/>
  <c r="R9" i="63"/>
  <c r="O9" i="63"/>
  <c r="AC8" i="63"/>
  <c r="AB8" i="63"/>
  <c r="AA8" i="63"/>
  <c r="Z8" i="63"/>
  <c r="Y8" i="63"/>
  <c r="X8" i="63"/>
  <c r="W8" i="63"/>
  <c r="V8" i="63"/>
  <c r="U8" i="63"/>
  <c r="T8" i="63"/>
  <c r="S8" i="63"/>
  <c r="R8" i="63"/>
  <c r="O8" i="63"/>
  <c r="AC7" i="63"/>
  <c r="AB7" i="63"/>
  <c r="AA7" i="63"/>
  <c r="Z7" i="63"/>
  <c r="Y7" i="63"/>
  <c r="X7" i="63"/>
  <c r="W7" i="63"/>
  <c r="V7" i="63"/>
  <c r="U7" i="63"/>
  <c r="T7" i="63"/>
  <c r="S7" i="63"/>
  <c r="R7" i="63"/>
  <c r="O7" i="63"/>
  <c r="AC6" i="63"/>
  <c r="AB6" i="63"/>
  <c r="AA6" i="63"/>
  <c r="Z6" i="63"/>
  <c r="Y6" i="63"/>
  <c r="X6" i="63"/>
  <c r="W6" i="63"/>
  <c r="V6" i="63"/>
  <c r="U6" i="63"/>
  <c r="T6" i="63"/>
  <c r="S6" i="63"/>
  <c r="R6" i="63"/>
  <c r="O6" i="63"/>
  <c r="AC5" i="63"/>
  <c r="AB5" i="63"/>
  <c r="AA5" i="63"/>
  <c r="Z5" i="63"/>
  <c r="Y5" i="63"/>
  <c r="X5" i="63"/>
  <c r="W5" i="63"/>
  <c r="V5" i="63"/>
  <c r="U5" i="63"/>
  <c r="T5" i="63"/>
  <c r="S5" i="63"/>
  <c r="R5" i="63"/>
  <c r="O5" i="63"/>
  <c r="AC4" i="63"/>
  <c r="AB4" i="63"/>
  <c r="AA4" i="63"/>
  <c r="Z4" i="63"/>
  <c r="Y4" i="63"/>
  <c r="X4" i="63"/>
  <c r="W4" i="63"/>
  <c r="V4" i="63"/>
  <c r="U4" i="63"/>
  <c r="T4" i="63"/>
  <c r="S4" i="63"/>
  <c r="R4" i="63"/>
  <c r="O4" i="63"/>
  <c r="AC3" i="63"/>
  <c r="AB3" i="63"/>
  <c r="AA3" i="63"/>
  <c r="Z3" i="63"/>
  <c r="Y3" i="63"/>
  <c r="X3" i="63"/>
  <c r="W3" i="63"/>
  <c r="V3" i="63"/>
  <c r="U3" i="63"/>
  <c r="T3" i="63"/>
  <c r="S3" i="63"/>
  <c r="R3" i="63"/>
  <c r="O3" i="63"/>
  <c r="H220" i="62"/>
  <c r="I220" i="62" s="1"/>
  <c r="H219" i="62"/>
  <c r="I219" i="62" s="1"/>
  <c r="M218" i="62"/>
  <c r="M219" i="62" s="1"/>
  <c r="H218" i="62"/>
  <c r="I218" i="62" s="1"/>
  <c r="H217" i="62"/>
  <c r="I217" i="62" s="1"/>
  <c r="H216" i="62"/>
  <c r="I216" i="62" s="1"/>
  <c r="H215" i="62"/>
  <c r="I215" i="62" s="1"/>
  <c r="M203" i="62"/>
  <c r="M204" i="62" s="1"/>
  <c r="H203" i="62"/>
  <c r="I203" i="62" s="1"/>
  <c r="H202" i="62"/>
  <c r="I202" i="62" s="1"/>
  <c r="H201" i="62"/>
  <c r="I201" i="62" s="1"/>
  <c r="H200" i="62"/>
  <c r="I200" i="62" s="1"/>
  <c r="H191" i="62"/>
  <c r="I191" i="62" s="1"/>
  <c r="H190" i="62"/>
  <c r="I190" i="62" s="1"/>
  <c r="H189" i="62"/>
  <c r="I189" i="62" s="1"/>
  <c r="H188" i="62"/>
  <c r="I188" i="62" s="1"/>
  <c r="H187" i="62"/>
  <c r="I187" i="62" s="1"/>
  <c r="M186" i="62"/>
  <c r="M187" i="62" s="1"/>
  <c r="H186" i="62"/>
  <c r="I186" i="62" s="1"/>
  <c r="H185" i="62"/>
  <c r="I185" i="62" s="1"/>
  <c r="H184" i="62"/>
  <c r="I184" i="62" s="1"/>
  <c r="H183" i="62"/>
  <c r="I183" i="62" s="1"/>
  <c r="N180" i="62"/>
  <c r="O180" i="62" s="1"/>
  <c r="O179" i="62" s="1"/>
  <c r="O178" i="62" s="1"/>
  <c r="O175" i="62"/>
  <c r="H169" i="62"/>
  <c r="I169" i="62" s="1"/>
  <c r="H168" i="62"/>
  <c r="I168" i="62" s="1"/>
  <c r="M167" i="62"/>
  <c r="M171" i="62" s="1"/>
  <c r="N167" i="62" s="1"/>
  <c r="H167" i="62"/>
  <c r="I167" i="62" s="1"/>
  <c r="H166" i="62"/>
  <c r="I166" i="62" s="1"/>
  <c r="H165" i="62"/>
  <c r="I165" i="62" s="1"/>
  <c r="H164" i="62"/>
  <c r="I164" i="62" s="1"/>
  <c r="O161" i="62"/>
  <c r="P161" i="62" s="1"/>
  <c r="Q161" i="62" s="1"/>
  <c r="R161" i="62" s="1"/>
  <c r="R160" i="62" s="1"/>
  <c r="S161" i="62" s="1"/>
  <c r="H153" i="62"/>
  <c r="I153" i="62" s="1"/>
  <c r="H152" i="62"/>
  <c r="I152" i="62" s="1"/>
  <c r="M151" i="62"/>
  <c r="M152" i="62" s="1"/>
  <c r="H151" i="62"/>
  <c r="I151" i="62" s="1"/>
  <c r="H150" i="62"/>
  <c r="I150" i="62" s="1"/>
  <c r="H148" i="62"/>
  <c r="I148" i="62" s="1"/>
  <c r="N145" i="62"/>
  <c r="M135" i="62"/>
  <c r="M136" i="62" s="1"/>
  <c r="H135" i="62"/>
  <c r="I135" i="62" s="1"/>
  <c r="H134" i="62"/>
  <c r="I134" i="62" s="1"/>
  <c r="H133" i="62"/>
  <c r="I133" i="62" s="1"/>
  <c r="H132" i="62"/>
  <c r="I132" i="62" s="1"/>
  <c r="O129" i="62"/>
  <c r="P129" i="62" s="1"/>
  <c r="Q129" i="62" s="1"/>
  <c r="R129" i="62" s="1"/>
  <c r="S129" i="62" s="1"/>
  <c r="N129" i="62"/>
  <c r="H120" i="62"/>
  <c r="I120" i="62" s="1"/>
  <c r="H119" i="62"/>
  <c r="I119" i="62" s="1"/>
  <c r="M118" i="62"/>
  <c r="H118" i="62"/>
  <c r="I118" i="62" s="1"/>
  <c r="H117" i="62"/>
  <c r="I117" i="62" s="1"/>
  <c r="H116" i="62"/>
  <c r="I116" i="62" s="1"/>
  <c r="H115" i="62"/>
  <c r="I115" i="62" s="1"/>
  <c r="N112" i="62"/>
  <c r="H103" i="62"/>
  <c r="I103" i="62" s="1"/>
  <c r="H102" i="62"/>
  <c r="I102" i="62" s="1"/>
  <c r="M101" i="62"/>
  <c r="M102" i="62" s="1"/>
  <c r="H101" i="62"/>
  <c r="I101" i="62" s="1"/>
  <c r="H100" i="62"/>
  <c r="I100" i="62" s="1"/>
  <c r="H99" i="62"/>
  <c r="I99" i="62" s="1"/>
  <c r="H98" i="62"/>
  <c r="I98" i="62" s="1"/>
  <c r="H90" i="62"/>
  <c r="I90" i="62" s="1"/>
  <c r="H89" i="62"/>
  <c r="I89" i="62" s="1"/>
  <c r="H88" i="62"/>
  <c r="I88" i="62" s="1"/>
  <c r="P87" i="62"/>
  <c r="P88" i="62" s="1"/>
  <c r="Q87" i="62" s="1"/>
  <c r="Q88" i="62" s="1"/>
  <c r="R88" i="62" s="1"/>
  <c r="S88" i="62" s="1"/>
  <c r="H87" i="62"/>
  <c r="I87" i="62" s="1"/>
  <c r="H86" i="62"/>
  <c r="I86" i="62" s="1"/>
  <c r="H85" i="62"/>
  <c r="I85" i="62" s="1"/>
  <c r="H84" i="62"/>
  <c r="I84" i="62" s="1"/>
  <c r="H83" i="62"/>
  <c r="I83" i="62" s="1"/>
  <c r="H82" i="62"/>
  <c r="I82" i="62" s="1"/>
  <c r="H81" i="62"/>
  <c r="I81" i="62" s="1"/>
  <c r="M80" i="62"/>
  <c r="M81" i="62" s="1"/>
  <c r="H80" i="62"/>
  <c r="I80" i="62" s="1"/>
  <c r="H79" i="62"/>
  <c r="I79" i="62" s="1"/>
  <c r="H78" i="62"/>
  <c r="I78" i="62" s="1"/>
  <c r="H77" i="62"/>
  <c r="I77" i="62" s="1"/>
  <c r="O74" i="62"/>
  <c r="M64" i="62"/>
  <c r="M65" i="62" s="1"/>
  <c r="H64" i="62"/>
  <c r="I64" i="62" s="1"/>
  <c r="H63" i="62"/>
  <c r="I63" i="62" s="1"/>
  <c r="H62" i="62"/>
  <c r="I62" i="62" s="1"/>
  <c r="H61" i="62"/>
  <c r="I61" i="62" s="1"/>
  <c r="M48" i="62"/>
  <c r="M49" i="62" s="1"/>
  <c r="H47" i="62"/>
  <c r="I47" i="62" s="1"/>
  <c r="H46" i="62"/>
  <c r="I46" i="62" s="1"/>
  <c r="H45" i="62"/>
  <c r="I45" i="62" s="1"/>
  <c r="M33" i="62"/>
  <c r="M34" i="62" s="1"/>
  <c r="H31" i="62"/>
  <c r="I31" i="62" s="1"/>
  <c r="H30" i="62"/>
  <c r="I30" i="62" s="1"/>
  <c r="F24" i="62"/>
  <c r="H20" i="62"/>
  <c r="I20" i="62" s="1"/>
  <c r="H19" i="62"/>
  <c r="I19" i="62" s="1"/>
  <c r="H18" i="62"/>
  <c r="I18" i="62" s="1"/>
  <c r="H17" i="62"/>
  <c r="I17" i="62" s="1"/>
  <c r="N16" i="62"/>
  <c r="N17" i="62" s="1"/>
  <c r="O17" i="62" s="1"/>
  <c r="P16" i="62" s="1"/>
  <c r="P17" i="62" s="1"/>
  <c r="Q17" i="62" s="1"/>
  <c r="R16" i="62" s="1"/>
  <c r="R17" i="62" s="1"/>
  <c r="H16" i="62"/>
  <c r="I16" i="62" s="1"/>
  <c r="H15" i="62"/>
  <c r="I15" i="62" s="1"/>
  <c r="H14" i="62"/>
  <c r="I14" i="62" s="1"/>
  <c r="H13" i="62"/>
  <c r="I13" i="62" s="1"/>
  <c r="H12" i="62"/>
  <c r="I12" i="62" s="1"/>
  <c r="H11" i="62"/>
  <c r="I11" i="62" s="1"/>
  <c r="H10" i="62"/>
  <c r="I10" i="62" s="1"/>
  <c r="M9" i="62"/>
  <c r="M13" i="62" s="1"/>
  <c r="H9" i="62"/>
  <c r="I9" i="62" s="1"/>
  <c r="H8" i="62"/>
  <c r="I8" i="62" s="1"/>
  <c r="H7" i="62"/>
  <c r="I7" i="62" s="1"/>
  <c r="H6" i="62"/>
  <c r="I6" i="62" s="1"/>
  <c r="K49" i="59"/>
  <c r="J49" i="59"/>
  <c r="I49" i="59"/>
  <c r="H49" i="59"/>
  <c r="G49" i="59"/>
  <c r="F49" i="59"/>
  <c r="E49" i="59"/>
  <c r="D49" i="59"/>
  <c r="C49" i="59"/>
  <c r="K48" i="59"/>
  <c r="J48" i="59"/>
  <c r="I48" i="59"/>
  <c r="H48" i="59"/>
  <c r="G48" i="59"/>
  <c r="F48" i="59"/>
  <c r="E48" i="59"/>
  <c r="D48" i="59"/>
  <c r="C48" i="59"/>
  <c r="K47" i="59"/>
  <c r="J47" i="59"/>
  <c r="I47" i="59"/>
  <c r="H47" i="59"/>
  <c r="G47" i="59"/>
  <c r="F47" i="59"/>
  <c r="E47" i="59"/>
  <c r="D47" i="59"/>
  <c r="C47" i="59"/>
  <c r="K46" i="59"/>
  <c r="J46" i="59"/>
  <c r="I46" i="59"/>
  <c r="H46" i="59"/>
  <c r="G46" i="59"/>
  <c r="F46" i="59"/>
  <c r="E46" i="59"/>
  <c r="D46" i="59"/>
  <c r="C46" i="59"/>
  <c r="K45" i="59"/>
  <c r="J45" i="59"/>
  <c r="I45" i="59"/>
  <c r="H45" i="59"/>
  <c r="G45" i="59"/>
  <c r="F45" i="59"/>
  <c r="E45" i="59"/>
  <c r="D45" i="59"/>
  <c r="C45" i="59"/>
  <c r="K44" i="59"/>
  <c r="J44" i="59"/>
  <c r="I44" i="59"/>
  <c r="H44" i="59"/>
  <c r="G44" i="59"/>
  <c r="F44" i="59"/>
  <c r="E44" i="59"/>
  <c r="D44" i="59"/>
  <c r="C44" i="59"/>
  <c r="K43" i="59"/>
  <c r="J43" i="59"/>
  <c r="I43" i="59"/>
  <c r="H43" i="59"/>
  <c r="G43" i="59"/>
  <c r="F43" i="59"/>
  <c r="E43" i="59"/>
  <c r="D43" i="59"/>
  <c r="C43" i="59"/>
  <c r="K42" i="59"/>
  <c r="J42" i="59"/>
  <c r="I42" i="59"/>
  <c r="H42" i="59"/>
  <c r="G42" i="59"/>
  <c r="F42" i="59"/>
  <c r="E42" i="59"/>
  <c r="D42" i="59"/>
  <c r="C42" i="59"/>
  <c r="K41" i="59"/>
  <c r="J41" i="59"/>
  <c r="I41" i="59"/>
  <c r="H41" i="59"/>
  <c r="G41" i="59"/>
  <c r="F41" i="59"/>
  <c r="E41" i="59"/>
  <c r="D41" i="59"/>
  <c r="C41" i="59"/>
  <c r="K40" i="59"/>
  <c r="J40" i="59"/>
  <c r="I40" i="59"/>
  <c r="H40" i="59"/>
  <c r="G40" i="59"/>
  <c r="F40" i="59"/>
  <c r="E40" i="59"/>
  <c r="D40" i="59"/>
  <c r="C40" i="59"/>
  <c r="K39" i="59"/>
  <c r="J39" i="59"/>
  <c r="I39" i="59"/>
  <c r="H39" i="59"/>
  <c r="G39" i="59"/>
  <c r="F39" i="59"/>
  <c r="E39" i="59"/>
  <c r="D39" i="59"/>
  <c r="C39" i="59"/>
  <c r="K38" i="59"/>
  <c r="J38" i="59"/>
  <c r="I38" i="59"/>
  <c r="H38" i="59"/>
  <c r="G38" i="59"/>
  <c r="F38" i="59"/>
  <c r="E38" i="59"/>
  <c r="D38" i="59"/>
  <c r="C38" i="59"/>
  <c r="K37" i="59"/>
  <c r="J37" i="59"/>
  <c r="I37" i="59"/>
  <c r="H37" i="59"/>
  <c r="G37" i="59"/>
  <c r="F37" i="59"/>
  <c r="E37" i="59"/>
  <c r="D37" i="59"/>
  <c r="C37" i="59"/>
  <c r="L15" i="59"/>
  <c r="L14" i="59"/>
  <c r="L13" i="59"/>
  <c r="L12" i="59"/>
  <c r="L11" i="59"/>
  <c r="L10" i="59"/>
  <c r="L9" i="59"/>
  <c r="L8" i="59"/>
  <c r="L7" i="59"/>
  <c r="L6" i="59"/>
  <c r="L5" i="59"/>
  <c r="L4" i="59"/>
  <c r="L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AK15" i="58"/>
  <c r="AJ15" i="58"/>
  <c r="AI15" i="58"/>
  <c r="AH15" i="58"/>
  <c r="AG15" i="58"/>
  <c r="AF15" i="58"/>
  <c r="AE15" i="58"/>
  <c r="AD15" i="58"/>
  <c r="AC15" i="58"/>
  <c r="AB15" i="58"/>
  <c r="AA15" i="58"/>
  <c r="Z15" i="58"/>
  <c r="AK14" i="58"/>
  <c r="AJ14" i="58"/>
  <c r="AI14" i="58"/>
  <c r="AH14" i="58"/>
  <c r="AG14" i="58"/>
  <c r="AF14" i="58"/>
  <c r="AE14" i="58"/>
  <c r="AD14" i="58"/>
  <c r="AC14" i="58"/>
  <c r="AB14" i="58"/>
  <c r="AA14" i="58"/>
  <c r="Z14" i="58"/>
  <c r="AK13" i="58"/>
  <c r="AJ13" i="58"/>
  <c r="AI13" i="58"/>
  <c r="AH13" i="58"/>
  <c r="AG13" i="58"/>
  <c r="AF13" i="58"/>
  <c r="AE13" i="58"/>
  <c r="AD13" i="58"/>
  <c r="AC13" i="58"/>
  <c r="AB13" i="58"/>
  <c r="AA13" i="58"/>
  <c r="Z13" i="58"/>
  <c r="AK12" i="58"/>
  <c r="AJ12" i="58"/>
  <c r="AI12" i="58"/>
  <c r="AH12" i="58"/>
  <c r="AG12" i="58"/>
  <c r="AF12" i="58"/>
  <c r="AE12" i="58"/>
  <c r="AD12" i="58"/>
  <c r="AC12" i="58"/>
  <c r="AB12" i="58"/>
  <c r="AA12" i="58"/>
  <c r="Z12" i="58"/>
  <c r="AK11" i="58"/>
  <c r="AJ11" i="58"/>
  <c r="AI11" i="58"/>
  <c r="AH11" i="58"/>
  <c r="AG11" i="58"/>
  <c r="AF11" i="58"/>
  <c r="AE11" i="58"/>
  <c r="AD11" i="58"/>
  <c r="AC11" i="58"/>
  <c r="AB11" i="58"/>
  <c r="AA11" i="58"/>
  <c r="Z11" i="58"/>
  <c r="AK10" i="58"/>
  <c r="AJ10" i="58"/>
  <c r="AI10" i="58"/>
  <c r="AH10" i="58"/>
  <c r="AG10" i="58"/>
  <c r="AF10" i="58"/>
  <c r="AE10" i="58"/>
  <c r="AD10" i="58"/>
  <c r="AC10" i="58"/>
  <c r="AB10" i="58"/>
  <c r="AA10" i="58"/>
  <c r="Z10" i="58"/>
  <c r="AK9" i="58"/>
  <c r="AJ9" i="58"/>
  <c r="AI9" i="58"/>
  <c r="AH9" i="58"/>
  <c r="AG9" i="58"/>
  <c r="AF9" i="58"/>
  <c r="AE9" i="58"/>
  <c r="AD9" i="58"/>
  <c r="AC9" i="58"/>
  <c r="AB9" i="58"/>
  <c r="AA9" i="58"/>
  <c r="Z9" i="58"/>
  <c r="AK8" i="58"/>
  <c r="AJ8" i="58"/>
  <c r="AI8" i="58"/>
  <c r="AH8" i="58"/>
  <c r="AG8" i="58"/>
  <c r="AF8" i="58"/>
  <c r="AE8" i="58"/>
  <c r="AD8" i="58"/>
  <c r="AC8" i="58"/>
  <c r="AB8" i="58"/>
  <c r="AA8" i="58"/>
  <c r="Z8" i="58"/>
  <c r="AK7" i="58"/>
  <c r="AJ7" i="58"/>
  <c r="AI7" i="58"/>
  <c r="AH7" i="58"/>
  <c r="AG7" i="58"/>
  <c r="AF7" i="58"/>
  <c r="AE7" i="58"/>
  <c r="AD7" i="58"/>
  <c r="AC7" i="58"/>
  <c r="AB7" i="58"/>
  <c r="AA7" i="58"/>
  <c r="Z7" i="58"/>
  <c r="AK6" i="58"/>
  <c r="AJ6" i="58"/>
  <c r="AI6" i="58"/>
  <c r="AH6" i="58"/>
  <c r="AG6" i="58"/>
  <c r="AF6" i="58"/>
  <c r="AE6" i="58"/>
  <c r="AD6" i="58"/>
  <c r="AC6" i="58"/>
  <c r="AB6" i="58"/>
  <c r="AA6" i="58"/>
  <c r="Z6" i="58"/>
  <c r="AK5" i="58"/>
  <c r="AJ5" i="58"/>
  <c r="AI5" i="58"/>
  <c r="AH5" i="58"/>
  <c r="AG5" i="58"/>
  <c r="AF5" i="58"/>
  <c r="AE5" i="58"/>
  <c r="AD5" i="58"/>
  <c r="AC5" i="58"/>
  <c r="AB5" i="58"/>
  <c r="AA5" i="58"/>
  <c r="Z5" i="58"/>
  <c r="AK4" i="58"/>
  <c r="AJ4" i="58"/>
  <c r="AI4" i="58"/>
  <c r="AH4" i="58"/>
  <c r="AG4" i="58"/>
  <c r="AF4" i="58"/>
  <c r="AE4" i="58"/>
  <c r="AD4" i="58"/>
  <c r="AC4" i="58"/>
  <c r="AB4" i="58"/>
  <c r="AA4" i="58"/>
  <c r="Z4" i="58"/>
  <c r="AK3" i="58"/>
  <c r="AJ3" i="58"/>
  <c r="AI3" i="58"/>
  <c r="AH3" i="58"/>
  <c r="AG3" i="58"/>
  <c r="AF3" i="58"/>
  <c r="AE3" i="58"/>
  <c r="AD3" i="58"/>
  <c r="AC3" i="58"/>
  <c r="AB3" i="58"/>
  <c r="AA3" i="58"/>
  <c r="Z3" i="58"/>
  <c r="AK16" i="47"/>
  <c r="AJ16" i="47"/>
  <c r="AI16" i="47"/>
  <c r="AH16" i="47"/>
  <c r="AG16" i="47"/>
  <c r="AK15" i="47"/>
  <c r="AJ15" i="47"/>
  <c r="AI15" i="47"/>
  <c r="AH15" i="47"/>
  <c r="AG15" i="47"/>
  <c r="AK14" i="47"/>
  <c r="AJ14" i="47"/>
  <c r="AI14" i="47"/>
  <c r="AH14" i="47"/>
  <c r="AG14" i="47"/>
  <c r="AK13" i="47"/>
  <c r="AJ13" i="47"/>
  <c r="AI13" i="47"/>
  <c r="AH13" i="47"/>
  <c r="AG13" i="47"/>
  <c r="AK12" i="47"/>
  <c r="AJ12" i="47"/>
  <c r="AI12" i="47"/>
  <c r="AH12" i="47"/>
  <c r="AG12" i="47"/>
  <c r="AK11" i="47"/>
  <c r="AJ11" i="47"/>
  <c r="AI11" i="47"/>
  <c r="AH11" i="47"/>
  <c r="AG11" i="47"/>
  <c r="AK10" i="47"/>
  <c r="AJ10" i="47"/>
  <c r="AI10" i="47"/>
  <c r="AH10" i="47"/>
  <c r="AG10" i="47"/>
  <c r="AK9" i="47"/>
  <c r="AJ9" i="47"/>
  <c r="AI9" i="47"/>
  <c r="AH9" i="47"/>
  <c r="AG9" i="47"/>
  <c r="AK8" i="47"/>
  <c r="AJ8" i="47"/>
  <c r="AI8" i="47"/>
  <c r="AH8" i="47"/>
  <c r="AG8" i="47"/>
  <c r="AK7" i="47"/>
  <c r="AJ7" i="47"/>
  <c r="AI7" i="47"/>
  <c r="AH7" i="47"/>
  <c r="AG7" i="47"/>
  <c r="AK6" i="47"/>
  <c r="AJ6" i="47"/>
  <c r="AI6" i="47"/>
  <c r="AH6" i="47"/>
  <c r="AG6" i="47"/>
  <c r="AK5" i="47"/>
  <c r="AJ5" i="47"/>
  <c r="AI5" i="47"/>
  <c r="AH5" i="47"/>
  <c r="AG5" i="47"/>
  <c r="AK4" i="47"/>
  <c r="AJ4" i="47"/>
  <c r="AI4" i="47"/>
  <c r="AH4" i="47"/>
  <c r="AG4" i="47"/>
  <c r="AF16" i="47"/>
  <c r="AE16" i="47"/>
  <c r="AD16" i="47"/>
  <c r="AC16" i="47"/>
  <c r="AB16" i="47"/>
  <c r="AA16" i="47"/>
  <c r="Z16" i="47"/>
  <c r="AF15" i="47"/>
  <c r="AE15" i="47"/>
  <c r="AD15" i="47"/>
  <c r="AC15" i="47"/>
  <c r="AB15" i="47"/>
  <c r="AA15" i="47"/>
  <c r="Z15" i="47"/>
  <c r="AF14" i="47"/>
  <c r="AE14" i="47"/>
  <c r="AD14" i="47"/>
  <c r="AC14" i="47"/>
  <c r="AB14" i="47"/>
  <c r="AA14" i="47"/>
  <c r="Z14" i="47"/>
  <c r="AF13" i="47"/>
  <c r="AE13" i="47"/>
  <c r="AD13" i="47"/>
  <c r="AC13" i="47"/>
  <c r="AB13" i="47"/>
  <c r="AA13" i="47"/>
  <c r="Z13" i="47"/>
  <c r="AF12" i="47"/>
  <c r="AE12" i="47"/>
  <c r="AD12" i="47"/>
  <c r="AC12" i="47"/>
  <c r="AB12" i="47"/>
  <c r="AA12" i="47"/>
  <c r="Z12" i="47"/>
  <c r="AF11" i="47"/>
  <c r="AE11" i="47"/>
  <c r="AD11" i="47"/>
  <c r="AC11" i="47"/>
  <c r="AB11" i="47"/>
  <c r="AA11" i="47"/>
  <c r="Z11" i="47"/>
  <c r="AF10" i="47"/>
  <c r="AE10" i="47"/>
  <c r="AD10" i="47"/>
  <c r="AC10" i="47"/>
  <c r="AB10" i="47"/>
  <c r="AA10" i="47"/>
  <c r="Z10" i="47"/>
  <c r="AF9" i="47"/>
  <c r="AE9" i="47"/>
  <c r="AD9" i="47"/>
  <c r="AC9" i="47"/>
  <c r="AB9" i="47"/>
  <c r="AA9" i="47"/>
  <c r="Z9" i="47"/>
  <c r="AF8" i="47"/>
  <c r="AE8" i="47"/>
  <c r="AD8" i="47"/>
  <c r="AC8" i="47"/>
  <c r="AB8" i="47"/>
  <c r="AA8" i="47"/>
  <c r="Z8" i="47"/>
  <c r="AF7" i="47"/>
  <c r="AE7" i="47"/>
  <c r="AD7" i="47"/>
  <c r="AC7" i="47"/>
  <c r="AB7" i="47"/>
  <c r="AA7" i="47"/>
  <c r="Z7" i="47"/>
  <c r="AF6" i="47"/>
  <c r="AE6" i="47"/>
  <c r="AD6" i="47"/>
  <c r="AC6" i="47"/>
  <c r="AB6" i="47"/>
  <c r="AA6" i="47"/>
  <c r="Z6" i="47"/>
  <c r="AF5" i="47"/>
  <c r="AE5" i="47"/>
  <c r="AD5" i="47"/>
  <c r="AC5" i="47"/>
  <c r="AB5" i="47"/>
  <c r="AA5" i="47"/>
  <c r="Z5" i="47"/>
  <c r="AF4" i="47"/>
  <c r="AE4" i="47"/>
  <c r="AD4" i="47"/>
  <c r="AC4" i="47"/>
  <c r="AB4" i="47"/>
  <c r="AA4" i="47"/>
  <c r="Z4" i="47"/>
  <c r="P5" i="90"/>
  <c r="P4" i="90"/>
  <c r="AD10" i="62" l="1"/>
  <c r="AD11" i="62" s="1"/>
  <c r="AD12" i="62" s="1"/>
  <c r="AD14" i="62" s="1"/>
  <c r="V150" i="88"/>
  <c r="AS30" i="58"/>
  <c r="R107" i="88"/>
  <c r="V53" i="86"/>
  <c r="U53" i="86"/>
  <c r="U54" i="86" s="1"/>
  <c r="T53" i="86"/>
  <c r="T54" i="86" s="1"/>
  <c r="S53" i="86"/>
  <c r="S54" i="86" s="1"/>
  <c r="R53" i="86"/>
  <c r="R54" i="86" s="1"/>
  <c r="AE102" i="62"/>
  <c r="C39" i="86"/>
  <c r="V5" i="20"/>
  <c r="V149" i="88"/>
  <c r="AQ23" i="58"/>
  <c r="AQ25" i="58"/>
  <c r="AQ21" i="58"/>
  <c r="AS32" i="58"/>
  <c r="V10" i="86"/>
  <c r="N42" i="58"/>
  <c r="AF102" i="62"/>
  <c r="AF103" i="62" s="1"/>
  <c r="AG102" i="62" s="1"/>
  <c r="AH102" i="62" s="1"/>
  <c r="AI102" i="62" s="1"/>
  <c r="AJ102" i="62" s="1"/>
  <c r="AJ103" i="62" s="1"/>
  <c r="AK102" i="62" s="1"/>
  <c r="P38" i="58"/>
  <c r="AM38" i="58" s="1"/>
  <c r="M38" i="58"/>
  <c r="AK26" i="58"/>
  <c r="S149" i="88"/>
  <c r="Q49" i="58"/>
  <c r="AN49" i="58" s="1"/>
  <c r="AD14" i="63"/>
  <c r="AD10" i="63"/>
  <c r="AB10" i="62"/>
  <c r="R7" i="88"/>
  <c r="W16" i="58"/>
  <c r="AB204" i="62"/>
  <c r="AE10" i="62"/>
  <c r="AE11" i="62" s="1"/>
  <c r="AF10" i="62" s="1"/>
  <c r="AF11" i="62" s="1"/>
  <c r="AF12" i="62" s="1"/>
  <c r="AG10" i="62" s="1"/>
  <c r="AH10" i="62" s="1"/>
  <c r="AI10" i="62" s="1"/>
  <c r="AI11" i="62" s="1"/>
  <c r="AJ10" i="62" s="1"/>
  <c r="AK10" i="62" s="1"/>
  <c r="AK11" i="62" s="1"/>
  <c r="AK12" i="62" s="1"/>
  <c r="R31" i="81"/>
  <c r="AB219" i="62"/>
  <c r="AC219" i="62" s="1"/>
  <c r="AC220" i="62" s="1"/>
  <c r="L37" i="59"/>
  <c r="AD15" i="63"/>
  <c r="AC168" i="62"/>
  <c r="AD168" i="62" s="1"/>
  <c r="AD169" i="62" s="1"/>
  <c r="AD170" i="62" s="1"/>
  <c r="AE168" i="62" s="1"/>
  <c r="AE169" i="62" s="1"/>
  <c r="AF168" i="62" s="1"/>
  <c r="AG168" i="62" s="1"/>
  <c r="C120" i="88"/>
  <c r="L41" i="58"/>
  <c r="AI41" i="58" s="1"/>
  <c r="L49" i="58"/>
  <c r="AI49" i="58" s="1"/>
  <c r="R19" i="85"/>
  <c r="R43" i="85"/>
  <c r="R23" i="88"/>
  <c r="R83" i="88"/>
  <c r="C36" i="88"/>
  <c r="AD3" i="63"/>
  <c r="O43" i="58"/>
  <c r="AL43" i="58" s="1"/>
  <c r="M155" i="62"/>
  <c r="N151" i="62" s="1"/>
  <c r="N155" i="62" s="1"/>
  <c r="AD187" i="62"/>
  <c r="AE187" i="62" s="1"/>
  <c r="AE188" i="62" s="1"/>
  <c r="AE189" i="62" s="1"/>
  <c r="AF187" i="62" s="1"/>
  <c r="AF188" i="62" s="1"/>
  <c r="AG187" i="62" s="1"/>
  <c r="AG188" i="62" s="1"/>
  <c r="AH187" i="62" s="1"/>
  <c r="AI187" i="62" s="1"/>
  <c r="AI188" i="62" s="1"/>
  <c r="N49" i="58"/>
  <c r="AK49" i="58" s="1"/>
  <c r="C48" i="88"/>
  <c r="T10" i="85"/>
  <c r="T11" i="85" s="1"/>
  <c r="AQ17" i="47"/>
  <c r="L49" i="59"/>
  <c r="AD219" i="62"/>
  <c r="AE219" i="62" s="1"/>
  <c r="AT4" i="58"/>
  <c r="M10" i="62"/>
  <c r="AD7" i="63"/>
  <c r="AK31" i="58"/>
  <c r="P41" i="58"/>
  <c r="AM41" i="58" s="1"/>
  <c r="O39" i="58"/>
  <c r="AL39" i="58" s="1"/>
  <c r="T11" i="20"/>
  <c r="T12" i="20" s="1"/>
  <c r="C8" i="86"/>
  <c r="AR29" i="58"/>
  <c r="C24" i="88"/>
  <c r="AK17" i="47"/>
  <c r="AK30" i="58"/>
  <c r="M44" i="58"/>
  <c r="AJ44" i="58" s="1"/>
  <c r="AM31" i="58"/>
  <c r="V38" i="58"/>
  <c r="AS38" i="58" s="1"/>
  <c r="L41" i="59"/>
  <c r="AC204" i="62"/>
  <c r="AD204" i="62" s="1"/>
  <c r="AD205" i="62" s="1"/>
  <c r="AD206" i="62" s="1"/>
  <c r="AE204" i="62" s="1"/>
  <c r="AE205" i="62" s="1"/>
  <c r="AF204" i="62" s="1"/>
  <c r="L42" i="59"/>
  <c r="AD4" i="63"/>
  <c r="AT4" i="47"/>
  <c r="AO25" i="58"/>
  <c r="AL24" i="58"/>
  <c r="L33" i="59"/>
  <c r="L39" i="59"/>
  <c r="L44" i="59"/>
  <c r="L47" i="59"/>
  <c r="AC135" i="62"/>
  <c r="AD135" i="62" s="1"/>
  <c r="AE135" i="62" s="1"/>
  <c r="AF135" i="62" s="1"/>
  <c r="AF136" i="62" s="1"/>
  <c r="AG135" i="62" s="1"/>
  <c r="AH135" i="62" s="1"/>
  <c r="AI135" i="62" s="1"/>
  <c r="AP17" i="47"/>
  <c r="AD13" i="63"/>
  <c r="AL25" i="58"/>
  <c r="AD8" i="63"/>
  <c r="L45" i="59"/>
  <c r="O16" i="63"/>
  <c r="AK33" i="58"/>
  <c r="Q44" i="58"/>
  <c r="AN44" i="58" s="1"/>
  <c r="R48" i="58"/>
  <c r="AO48" i="58" s="1"/>
  <c r="C44" i="85"/>
  <c r="AQ27" i="58"/>
  <c r="AT6" i="58"/>
  <c r="AT14" i="58"/>
  <c r="AD9" i="63"/>
  <c r="AQ31" i="58"/>
  <c r="AT8" i="58"/>
  <c r="AD12" i="63"/>
  <c r="M46" i="58"/>
  <c r="AJ46" i="58" s="1"/>
  <c r="C32" i="85"/>
  <c r="N46" i="58"/>
  <c r="AK46" i="58" s="1"/>
  <c r="M68" i="62"/>
  <c r="M69" i="62" s="1"/>
  <c r="AD6" i="63"/>
  <c r="AC119" i="62"/>
  <c r="AD119" i="62" s="1"/>
  <c r="AE119" i="62" s="1"/>
  <c r="AE120" i="62" s="1"/>
  <c r="AE121" i="62" s="1"/>
  <c r="AF119" i="62" s="1"/>
  <c r="AG119" i="62" s="1"/>
  <c r="AH119" i="62" s="1"/>
  <c r="AI119" i="62" s="1"/>
  <c r="AT5" i="47"/>
  <c r="AT5" i="58"/>
  <c r="AT11" i="58"/>
  <c r="AT15" i="58"/>
  <c r="O46" i="58"/>
  <c r="AL46" i="58" s="1"/>
  <c r="AI17" i="47"/>
  <c r="AG17" i="47"/>
  <c r="M139" i="62"/>
  <c r="N135" i="62" s="1"/>
  <c r="M84" i="62"/>
  <c r="M85" i="62" s="1"/>
  <c r="AD81" i="62"/>
  <c r="AD82" i="62" s="1"/>
  <c r="AK22" i="58"/>
  <c r="AP28" i="58"/>
  <c r="AO28" i="58"/>
  <c r="AO24" i="58"/>
  <c r="R7" i="86"/>
  <c r="R35" i="88"/>
  <c r="L146" i="88"/>
  <c r="AR23" i="58"/>
  <c r="AS27" i="58"/>
  <c r="L43" i="59"/>
  <c r="L46" i="59"/>
  <c r="C132" i="88"/>
  <c r="AD11" i="63"/>
  <c r="L16" i="59"/>
  <c r="M222" i="62"/>
  <c r="M223" i="62" s="1"/>
  <c r="AT13" i="47"/>
  <c r="AH17" i="47"/>
  <c r="AT3" i="58"/>
  <c r="AT7" i="58"/>
  <c r="AT9" i="58"/>
  <c r="AT10" i="58"/>
  <c r="AT13" i="58"/>
  <c r="M52" i="62"/>
  <c r="M53" i="62" s="1"/>
  <c r="AL134" i="62"/>
  <c r="AM26" i="58"/>
  <c r="AJ17" i="47"/>
  <c r="M168" i="62"/>
  <c r="AC152" i="62"/>
  <c r="AD152" i="62" s="1"/>
  <c r="AE152" i="62" s="1"/>
  <c r="AE153" i="62" s="1"/>
  <c r="AF152" i="62" s="1"/>
  <c r="AG152" i="62" s="1"/>
  <c r="AG153" i="62" s="1"/>
  <c r="AH152" i="62" s="1"/>
  <c r="AH153" i="62" s="1"/>
  <c r="AM27" i="58"/>
  <c r="AL27" i="58"/>
  <c r="AP32" i="58"/>
  <c r="T143" i="88"/>
  <c r="R38" i="86"/>
  <c r="AR27" i="58"/>
  <c r="AR17" i="47"/>
  <c r="AG219" i="62"/>
  <c r="AH219" i="62" s="1"/>
  <c r="AI219" i="62" s="1"/>
  <c r="AJ219" i="62" s="1"/>
  <c r="AM22" i="58"/>
  <c r="Q40" i="58"/>
  <c r="AN40" i="58" s="1"/>
  <c r="AM17" i="47"/>
  <c r="C96" i="88"/>
  <c r="R71" i="88"/>
  <c r="AQ33" i="58"/>
  <c r="AS17" i="47"/>
  <c r="C8" i="88"/>
  <c r="AT12" i="47"/>
  <c r="N9" i="62"/>
  <c r="M14" i="62"/>
  <c r="AN129" i="62"/>
  <c r="AO129" i="62" s="1"/>
  <c r="AP129" i="62" s="1"/>
  <c r="AQ129" i="62" s="1"/>
  <c r="AM134" i="62"/>
  <c r="N152" i="62"/>
  <c r="AT10" i="47"/>
  <c r="N80" i="62"/>
  <c r="O45" i="58"/>
  <c r="AL45" i="58" s="1"/>
  <c r="AL28" i="58"/>
  <c r="Q42" i="58"/>
  <c r="AN42" i="58" s="1"/>
  <c r="AN25" i="58"/>
  <c r="AP22" i="58"/>
  <c r="S39" i="58"/>
  <c r="AP39" i="58" s="1"/>
  <c r="R31" i="85"/>
  <c r="AT11" i="47"/>
  <c r="AT9" i="47"/>
  <c r="L38" i="59"/>
  <c r="M119" i="62"/>
  <c r="M122" i="62"/>
  <c r="AO17" i="47"/>
  <c r="AM33" i="58"/>
  <c r="P50" i="58"/>
  <c r="AM50" i="58" s="1"/>
  <c r="AO30" i="58"/>
  <c r="R47" i="58"/>
  <c r="AO47" i="58" s="1"/>
  <c r="C8" i="81"/>
  <c r="R6" i="81"/>
  <c r="R7" i="81" s="1"/>
  <c r="AT8" i="47"/>
  <c r="AT16" i="47"/>
  <c r="AT12" i="58"/>
  <c r="N168" i="62"/>
  <c r="N171" i="62"/>
  <c r="AL17" i="47"/>
  <c r="AT7" i="47"/>
  <c r="AT15" i="47"/>
  <c r="L40" i="59"/>
  <c r="L48" i="59"/>
  <c r="AE81" i="62"/>
  <c r="AF81" i="62" s="1"/>
  <c r="AF82" i="62" s="1"/>
  <c r="AF83" i="62" s="1"/>
  <c r="AG81" i="62" s="1"/>
  <c r="AG82" i="62" s="1"/>
  <c r="AH81" i="62" s="1"/>
  <c r="AH82" i="62" s="1"/>
  <c r="AI81" i="62" s="1"/>
  <c r="AJ81" i="62" s="1"/>
  <c r="AJ82" i="62" s="1"/>
  <c r="AJ83" i="62" s="1"/>
  <c r="AK81" i="62" s="1"/>
  <c r="S43" i="58"/>
  <c r="AP43" i="58" s="1"/>
  <c r="AT6" i="47"/>
  <c r="AT14" i="47"/>
  <c r="N48" i="62"/>
  <c r="AD5" i="63"/>
  <c r="AL186" i="62"/>
  <c r="AM180" i="62"/>
  <c r="AN180" i="62" s="1"/>
  <c r="AO180" i="62" s="1"/>
  <c r="AP180" i="62" s="1"/>
  <c r="AQ180" i="62" s="1"/>
  <c r="AJ25" i="58"/>
  <c r="M42" i="58"/>
  <c r="AJ42" i="58" s="1"/>
  <c r="AJ33" i="58"/>
  <c r="M50" i="58"/>
  <c r="AJ50" i="58" s="1"/>
  <c r="AQ30" i="58"/>
  <c r="R131" i="88"/>
  <c r="R142" i="88"/>
  <c r="R143" i="88" s="1"/>
  <c r="M190" i="62"/>
  <c r="M43" i="58"/>
  <c r="AJ43" i="58" s="1"/>
  <c r="AK23" i="58"/>
  <c r="P45" i="58"/>
  <c r="AM45" i="58" s="1"/>
  <c r="C144" i="88"/>
  <c r="C8" i="85"/>
  <c r="S41" i="86"/>
  <c r="S42" i="86" s="1"/>
  <c r="AR26" i="58"/>
  <c r="AR31" i="58"/>
  <c r="M207" i="62"/>
  <c r="Q41" i="58"/>
  <c r="AN41" i="58" s="1"/>
  <c r="AP23" i="58"/>
  <c r="AL31" i="58"/>
  <c r="AM23" i="58"/>
  <c r="AN17" i="47"/>
  <c r="C84" i="88"/>
  <c r="AR30" i="58"/>
  <c r="AS25" i="58"/>
  <c r="V24" i="85"/>
  <c r="N218" i="62"/>
  <c r="M48" i="58"/>
  <c r="AJ48" i="58" s="1"/>
  <c r="AK27" i="58"/>
  <c r="S50" i="58"/>
  <c r="AP50" i="58" s="1"/>
  <c r="S46" i="58"/>
  <c r="AP46" i="58" s="1"/>
  <c r="AR21" i="58"/>
  <c r="AS31" i="58"/>
  <c r="M105" i="62"/>
  <c r="M37" i="62"/>
  <c r="R26" i="86"/>
  <c r="R47" i="88"/>
  <c r="AR25" i="58"/>
  <c r="M172" i="62"/>
  <c r="S47" i="58"/>
  <c r="AP47" i="58" s="1"/>
  <c r="AO29" i="58"/>
  <c r="C72" i="88"/>
  <c r="R60" i="88"/>
  <c r="R95" i="88"/>
  <c r="R119" i="88"/>
  <c r="AQ22" i="58"/>
  <c r="C27" i="86"/>
  <c r="C60" i="88"/>
  <c r="C32" i="81"/>
  <c r="C20" i="85"/>
  <c r="C108" i="88"/>
  <c r="M47" i="58"/>
  <c r="AJ47" i="58" s="1"/>
  <c r="P46" i="58"/>
  <c r="AM46" i="58" s="1"/>
  <c r="L44" i="58"/>
  <c r="W31" i="58"/>
  <c r="R38" i="58"/>
  <c r="AO38" i="58" s="1"/>
  <c r="M41" i="58"/>
  <c r="AJ41" i="58" s="1"/>
  <c r="W25" i="58"/>
  <c r="AP31" i="58"/>
  <c r="M39" i="58"/>
  <c r="AJ39" i="58" s="1"/>
  <c r="AQ24" i="58"/>
  <c r="N45" i="58"/>
  <c r="AK45" i="58" s="1"/>
  <c r="P42" i="58"/>
  <c r="AM42" i="58" s="1"/>
  <c r="AN30" i="58"/>
  <c r="W30" i="58"/>
  <c r="O47" i="58"/>
  <c r="AL47" i="58" s="1"/>
  <c r="AI21" i="58"/>
  <c r="AI31" i="58"/>
  <c r="L46" i="58"/>
  <c r="AI46" i="58" s="1"/>
  <c r="W27" i="58"/>
  <c r="M40" i="58"/>
  <c r="AJ40" i="58" s="1"/>
  <c r="L34" i="58"/>
  <c r="R39" i="58"/>
  <c r="AO39" i="58" s="1"/>
  <c r="AL32" i="58"/>
  <c r="AN21" i="58"/>
  <c r="AQ29" i="58"/>
  <c r="AR22" i="58"/>
  <c r="W22" i="58"/>
  <c r="AK24" i="58"/>
  <c r="AM30" i="58"/>
  <c r="AN28" i="58"/>
  <c r="AO26" i="58"/>
  <c r="AP25" i="58"/>
  <c r="L47" i="58"/>
  <c r="AI47" i="58" s="1"/>
  <c r="AI25" i="58"/>
  <c r="W32" i="58"/>
  <c r="W24" i="58"/>
  <c r="AI30" i="58"/>
  <c r="AN29" i="58"/>
  <c r="AQ26" i="58"/>
  <c r="W26" i="58"/>
  <c r="N34" i="58"/>
  <c r="AI26" i="58"/>
  <c r="W29" i="58"/>
  <c r="AM39" i="58"/>
  <c r="AI50" i="58"/>
  <c r="J24" i="64"/>
  <c r="L40" i="58"/>
  <c r="W28" i="58"/>
  <c r="AK21" i="58"/>
  <c r="M34" i="58"/>
  <c r="AI33" i="58"/>
  <c r="P49" i="58"/>
  <c r="AM49" i="58" s="1"/>
  <c r="AO32" i="58"/>
  <c r="Q48" i="58"/>
  <c r="AN48" i="58" s="1"/>
  <c r="AR33" i="58"/>
  <c r="AQ28" i="58"/>
  <c r="V45" i="58"/>
  <c r="AS45" i="58" s="1"/>
  <c r="AS26" i="58"/>
  <c r="AK42" i="58"/>
  <c r="L45" i="58"/>
  <c r="AI22" i="58"/>
  <c r="S38" i="58"/>
  <c r="AP38" i="58" s="1"/>
  <c r="AP24" i="58"/>
  <c r="AQ32" i="58"/>
  <c r="AS33" i="58"/>
  <c r="AS24" i="58"/>
  <c r="AS29" i="58"/>
  <c r="W33" i="58"/>
  <c r="O38" i="58"/>
  <c r="AL38" i="58" s="1"/>
  <c r="AN22" i="58"/>
  <c r="AN33" i="58"/>
  <c r="AR24" i="58"/>
  <c r="AJ38" i="58"/>
  <c r="M45" i="58"/>
  <c r="AJ45" i="58" s="1"/>
  <c r="W23" i="58"/>
  <c r="AJ32" i="58"/>
  <c r="AO33" i="58"/>
  <c r="R40" i="58"/>
  <c r="AO40" i="58" s="1"/>
  <c r="AP27" i="58"/>
  <c r="O50" i="58"/>
  <c r="AL50" i="58" s="1"/>
  <c r="S41" i="58"/>
  <c r="AP41" i="58" s="1"/>
  <c r="O40" i="58"/>
  <c r="AL40" i="58" s="1"/>
  <c r="AR28" i="58"/>
  <c r="U49" i="58"/>
  <c r="AR49" i="58" s="1"/>
  <c r="V40" i="58"/>
  <c r="AS40" i="58" s="1"/>
  <c r="AS22" i="58"/>
  <c r="N38" i="58"/>
  <c r="AK38" i="58" s="1"/>
  <c r="W21" i="58"/>
  <c r="T122" i="88"/>
  <c r="T123" i="88" s="1"/>
  <c r="S34" i="85"/>
  <c r="S35" i="85" s="1"/>
  <c r="S29" i="86"/>
  <c r="S30" i="86" s="1"/>
  <c r="S86" i="88"/>
  <c r="S87" i="88" s="1"/>
  <c r="S74" i="88"/>
  <c r="S75" i="88" s="1"/>
  <c r="R74" i="88"/>
  <c r="R75" i="88" s="1"/>
  <c r="T10" i="88"/>
  <c r="T11" i="88" s="1"/>
  <c r="S22" i="85"/>
  <c r="S23" i="85" s="1"/>
  <c r="S122" i="88"/>
  <c r="S123" i="88" s="1"/>
  <c r="R110" i="88"/>
  <c r="R111" i="88" s="1"/>
  <c r="U46" i="85"/>
  <c r="U47" i="85" s="1"/>
  <c r="R38" i="88"/>
  <c r="R39" i="88" s="1"/>
  <c r="T34" i="85"/>
  <c r="T35" i="85" s="1"/>
  <c r="R34" i="85"/>
  <c r="R35" i="85" s="1"/>
  <c r="T46" i="85"/>
  <c r="T47" i="85" s="1"/>
  <c r="R22" i="85"/>
  <c r="R23" i="85" s="1"/>
  <c r="R10" i="85"/>
  <c r="R11" i="85" s="1"/>
  <c r="S46" i="85"/>
  <c r="S47" i="85" s="1"/>
  <c r="U22" i="85"/>
  <c r="S10" i="85"/>
  <c r="S11" i="85" s="1"/>
  <c r="U10" i="85"/>
  <c r="T98" i="88"/>
  <c r="T99" i="88" s="1"/>
  <c r="S10" i="88"/>
  <c r="S11" i="88" s="1"/>
  <c r="R134" i="88"/>
  <c r="R135" i="88" s="1"/>
  <c r="R98" i="88"/>
  <c r="R99" i="88" s="1"/>
  <c r="R63" i="88"/>
  <c r="R64" i="88" s="1"/>
  <c r="R58" i="88" s="1"/>
  <c r="U146" i="88"/>
  <c r="U98" i="88"/>
  <c r="U86" i="88"/>
  <c r="T86" i="88"/>
  <c r="T87" i="88" s="1"/>
  <c r="S110" i="88"/>
  <c r="S111" i="88" s="1"/>
  <c r="T74" i="88"/>
  <c r="T75" i="88" s="1"/>
  <c r="R50" i="88"/>
  <c r="R51" i="88" s="1"/>
  <c r="U134" i="88"/>
  <c r="T63" i="88"/>
  <c r="T64" i="88" s="1"/>
  <c r="T58" i="88" s="1"/>
  <c r="R122" i="88"/>
  <c r="R123" i="88" s="1"/>
  <c r="R86" i="88"/>
  <c r="R87" i="88" s="1"/>
  <c r="S98" i="88"/>
  <c r="S99" i="88" s="1"/>
  <c r="U74" i="88"/>
  <c r="T146" i="88"/>
  <c r="T147" i="88" s="1"/>
  <c r="T38" i="88"/>
  <c r="T39" i="88" s="1"/>
  <c r="S63" i="88"/>
  <c r="S64" i="88" s="1"/>
  <c r="S58" i="88" s="1"/>
  <c r="R10" i="88"/>
  <c r="R11" i="88" s="1"/>
  <c r="U122" i="88"/>
  <c r="U63" i="88"/>
  <c r="U10" i="88"/>
  <c r="U34" i="85"/>
  <c r="T110" i="88"/>
  <c r="T111" i="88" s="1"/>
  <c r="T10" i="81"/>
  <c r="T11" i="81" s="1"/>
  <c r="U34" i="81"/>
  <c r="T22" i="81"/>
  <c r="T23" i="81" s="1"/>
  <c r="U10" i="81"/>
  <c r="R34" i="81"/>
  <c r="R35" i="81" s="1"/>
  <c r="S34" i="81"/>
  <c r="S35" i="81" s="1"/>
  <c r="T34" i="81"/>
  <c r="T35" i="81" s="1"/>
  <c r="U22" i="81"/>
  <c r="S22" i="81"/>
  <c r="S23" i="81" s="1"/>
  <c r="R22" i="81"/>
  <c r="R23" i="81" s="1"/>
  <c r="T41" i="86"/>
  <c r="T42" i="86" s="1"/>
  <c r="U29" i="86"/>
  <c r="T29" i="86"/>
  <c r="T30" i="86" s="1"/>
  <c r="S10" i="86"/>
  <c r="S11" i="86" s="1"/>
  <c r="T10" i="86"/>
  <c r="T11" i="86" s="1"/>
  <c r="U41" i="86"/>
  <c r="R10" i="86"/>
  <c r="R11" i="86" s="1"/>
  <c r="U10" i="86"/>
  <c r="U11" i="20"/>
  <c r="S10" i="81"/>
  <c r="S11" i="81" s="1"/>
  <c r="U110" i="88"/>
  <c r="R41" i="86"/>
  <c r="R42" i="86" s="1"/>
  <c r="R26" i="88"/>
  <c r="S146" i="88"/>
  <c r="S147" i="88" s="1"/>
  <c r="T134" i="88"/>
  <c r="T135" i="88" s="1"/>
  <c r="U38" i="88"/>
  <c r="S134" i="88"/>
  <c r="S135" i="88" s="1"/>
  <c r="R29" i="86"/>
  <c r="R30" i="86" s="1"/>
  <c r="S50" i="88"/>
  <c r="S11" i="20"/>
  <c r="S12" i="20" s="1"/>
  <c r="R11" i="20"/>
  <c r="R12" i="20" s="1"/>
  <c r="R46" i="85"/>
  <c r="R47" i="85" s="1"/>
  <c r="S38" i="88"/>
  <c r="S39" i="88" s="1"/>
  <c r="V54" i="86" l="1"/>
  <c r="W49" i="86"/>
  <c r="AT43" i="58"/>
  <c r="N64" i="62"/>
  <c r="M156" i="62"/>
  <c r="W43" i="58"/>
  <c r="R146" i="88"/>
  <c r="R147" i="88" s="1"/>
  <c r="AD16" i="63"/>
  <c r="AD20" i="63" s="1"/>
  <c r="AT23" i="58"/>
  <c r="W44" i="58"/>
  <c r="AT48" i="58"/>
  <c r="AT31" i="58"/>
  <c r="AT17" i="47"/>
  <c r="M140" i="62"/>
  <c r="L50" i="59"/>
  <c r="AT16" i="58"/>
  <c r="AI44" i="58"/>
  <c r="AT44" i="58" s="1"/>
  <c r="AT27" i="58"/>
  <c r="AT46" i="58"/>
  <c r="V151" i="88"/>
  <c r="W23" i="20"/>
  <c r="X23" i="20" s="1"/>
  <c r="N172" i="62"/>
  <c r="O167" i="62"/>
  <c r="N84" i="62"/>
  <c r="N81" i="62"/>
  <c r="N13" i="62"/>
  <c r="N10" i="62"/>
  <c r="N139" i="62"/>
  <c r="N136" i="62"/>
  <c r="M38" i="62"/>
  <c r="N33" i="62"/>
  <c r="N222" i="62"/>
  <c r="N219" i="62"/>
  <c r="N65" i="62"/>
  <c r="N68" i="62"/>
  <c r="AT25" i="58"/>
  <c r="M106" i="62"/>
  <c r="N101" i="62"/>
  <c r="R10" i="81"/>
  <c r="R11" i="81" s="1"/>
  <c r="AT29" i="58"/>
  <c r="AT42" i="58"/>
  <c r="AT47" i="58"/>
  <c r="N203" i="62"/>
  <c r="M208" i="62"/>
  <c r="N52" i="62"/>
  <c r="N49" i="62"/>
  <c r="N186" i="62"/>
  <c r="M191" i="62"/>
  <c r="W42" i="58"/>
  <c r="M123" i="62"/>
  <c r="N118" i="62"/>
  <c r="N156" i="62"/>
  <c r="O151" i="62"/>
  <c r="V43" i="85"/>
  <c r="W39" i="58"/>
  <c r="AT41" i="58"/>
  <c r="AT39" i="58"/>
  <c r="AT30" i="58"/>
  <c r="W47" i="58"/>
  <c r="W50" i="58"/>
  <c r="AT28" i="58"/>
  <c r="W46" i="58"/>
  <c r="AT38" i="58"/>
  <c r="AT26" i="58"/>
  <c r="W34" i="58"/>
  <c r="W41" i="58"/>
  <c r="AT24" i="58"/>
  <c r="AT21" i="58"/>
  <c r="AT32" i="58"/>
  <c r="AT49" i="58"/>
  <c r="W49" i="58"/>
  <c r="AT33" i="58"/>
  <c r="W38" i="58"/>
  <c r="AT22" i="58"/>
  <c r="W40" i="58"/>
  <c r="AI40" i="58"/>
  <c r="AT40" i="58" s="1"/>
  <c r="AI45" i="58"/>
  <c r="AT45" i="58" s="1"/>
  <c r="W45" i="58"/>
  <c r="W48" i="58"/>
  <c r="AT50" i="58"/>
  <c r="T18" i="85"/>
  <c r="T19" i="85" s="1"/>
  <c r="U35" i="81"/>
  <c r="U123" i="88"/>
  <c r="U30" i="86"/>
  <c r="U39" i="88"/>
  <c r="U42" i="86"/>
  <c r="U75" i="88"/>
  <c r="U23" i="81"/>
  <c r="U87" i="88"/>
  <c r="U23" i="85"/>
  <c r="U11" i="86"/>
  <c r="U12" i="20"/>
  <c r="U35" i="85"/>
  <c r="U135" i="88"/>
  <c r="U99" i="88"/>
  <c r="U64" i="88"/>
  <c r="U58" i="88" s="1"/>
  <c r="U11" i="85"/>
  <c r="U11" i="81"/>
  <c r="U147" i="88"/>
  <c r="U111" i="88"/>
  <c r="S22" i="88"/>
  <c r="R27" i="88"/>
  <c r="T46" i="88"/>
  <c r="S51" i="88"/>
  <c r="U11" i="88"/>
  <c r="W50" i="86" l="1"/>
  <c r="W53" i="86"/>
  <c r="AD26" i="63"/>
  <c r="O152" i="62"/>
  <c r="O155" i="62"/>
  <c r="N53" i="62"/>
  <c r="O48" i="62"/>
  <c r="N34" i="62"/>
  <c r="N37" i="62"/>
  <c r="N140" i="62"/>
  <c r="O135" i="62"/>
  <c r="N187" i="62"/>
  <c r="N190" i="62"/>
  <c r="N119" i="62"/>
  <c r="N122" i="62"/>
  <c r="N207" i="62"/>
  <c r="N204" i="62"/>
  <c r="N69" i="62"/>
  <c r="O64" i="62"/>
  <c r="O9" i="62"/>
  <c r="N14" i="62"/>
  <c r="O171" i="62"/>
  <c r="O168" i="62"/>
  <c r="N102" i="62"/>
  <c r="N105" i="62"/>
  <c r="N223" i="62"/>
  <c r="O218" i="62"/>
  <c r="O80" i="62"/>
  <c r="N85" i="62"/>
  <c r="V46" i="85"/>
  <c r="V47" i="85" s="1"/>
  <c r="AT34" i="58"/>
  <c r="AT51" i="58"/>
  <c r="W51" i="58"/>
  <c r="T22" i="85"/>
  <c r="T23" i="85" s="1"/>
  <c r="V35" i="88"/>
  <c r="V38" i="88"/>
  <c r="V19" i="81"/>
  <c r="V22" i="81"/>
  <c r="V26" i="86"/>
  <c r="V29" i="86"/>
  <c r="V60" i="88"/>
  <c r="V63" i="88"/>
  <c r="V7" i="88"/>
  <c r="V10" i="88"/>
  <c r="V95" i="88"/>
  <c r="V98" i="88"/>
  <c r="V7" i="86"/>
  <c r="V71" i="88"/>
  <c r="V74" i="88"/>
  <c r="V119" i="88"/>
  <c r="V122" i="88"/>
  <c r="V83" i="88"/>
  <c r="V86" i="88"/>
  <c r="V8" i="20"/>
  <c r="V11" i="20"/>
  <c r="T47" i="88"/>
  <c r="T50" i="88"/>
  <c r="V7" i="81"/>
  <c r="V10" i="81"/>
  <c r="V131" i="88"/>
  <c r="V134" i="88"/>
  <c r="V19" i="85"/>
  <c r="V22" i="85"/>
  <c r="V107" i="88"/>
  <c r="V110" i="88"/>
  <c r="V143" i="88"/>
  <c r="V146" i="88"/>
  <c r="W142" i="88" s="1"/>
  <c r="V38" i="86"/>
  <c r="V41" i="86"/>
  <c r="S23" i="88"/>
  <c r="S26" i="88"/>
  <c r="V7" i="85"/>
  <c r="V10" i="85"/>
  <c r="V31" i="85"/>
  <c r="V34" i="85"/>
  <c r="V31" i="81"/>
  <c r="V34" i="81"/>
  <c r="W54" i="86" l="1"/>
  <c r="X49" i="86"/>
  <c r="O136" i="62"/>
  <c r="O139" i="62"/>
  <c r="N106" i="62"/>
  <c r="O101" i="62"/>
  <c r="N38" i="62"/>
  <c r="O33" i="62"/>
  <c r="N208" i="62"/>
  <c r="O203" i="62"/>
  <c r="O68" i="62"/>
  <c r="O65" i="62"/>
  <c r="O118" i="62"/>
  <c r="N123" i="62"/>
  <c r="O49" i="62"/>
  <c r="O52" i="62"/>
  <c r="O172" i="62"/>
  <c r="P167" i="62"/>
  <c r="O222" i="62"/>
  <c r="O219" i="62"/>
  <c r="N191" i="62"/>
  <c r="O186" i="62"/>
  <c r="P151" i="62"/>
  <c r="O156" i="62"/>
  <c r="O81" i="62"/>
  <c r="O84" i="62"/>
  <c r="O10" i="62"/>
  <c r="O13" i="62"/>
  <c r="W42" i="85"/>
  <c r="W43" i="85" s="1"/>
  <c r="V12" i="20"/>
  <c r="W7" i="20"/>
  <c r="W6" i="86"/>
  <c r="W10" i="86" s="1"/>
  <c r="V11" i="86"/>
  <c r="V99" i="88"/>
  <c r="W94" i="88"/>
  <c r="V23" i="81"/>
  <c r="W18" i="81"/>
  <c r="V30" i="86"/>
  <c r="W25" i="86"/>
  <c r="V35" i="81"/>
  <c r="W30" i="81"/>
  <c r="V135" i="88"/>
  <c r="W130" i="88"/>
  <c r="V147" i="88"/>
  <c r="V11" i="81"/>
  <c r="W6" i="81"/>
  <c r="V123" i="88"/>
  <c r="W118" i="88"/>
  <c r="V11" i="88"/>
  <c r="W6" i="88"/>
  <c r="W34" i="88"/>
  <c r="V39" i="88"/>
  <c r="V42" i="86"/>
  <c r="W37" i="86"/>
  <c r="S27" i="88"/>
  <c r="T22" i="88"/>
  <c r="V87" i="88"/>
  <c r="W82" i="88"/>
  <c r="V11" i="85"/>
  <c r="W6" i="85"/>
  <c r="T51" i="88"/>
  <c r="U46" i="88"/>
  <c r="W59" i="88"/>
  <c r="V64" i="88"/>
  <c r="W18" i="85"/>
  <c r="V23" i="85"/>
  <c r="W30" i="85"/>
  <c r="V35" i="85"/>
  <c r="V111" i="88"/>
  <c r="W106" i="88"/>
  <c r="V75" i="88"/>
  <c r="W70" i="88"/>
  <c r="X50" i="86" l="1"/>
  <c r="X53" i="86"/>
  <c r="X54" i="86" s="1"/>
  <c r="P171" i="62"/>
  <c r="P168" i="62"/>
  <c r="O53" i="62"/>
  <c r="P48" i="62"/>
  <c r="O37" i="62"/>
  <c r="O34" i="62"/>
  <c r="P155" i="62"/>
  <c r="P152" i="62"/>
  <c r="O190" i="62"/>
  <c r="O187" i="62"/>
  <c r="O102" i="62"/>
  <c r="O105" i="62"/>
  <c r="O119" i="62"/>
  <c r="O122" i="62"/>
  <c r="O207" i="62"/>
  <c r="O204" i="62"/>
  <c r="O14" i="62"/>
  <c r="P9" i="62"/>
  <c r="O140" i="62"/>
  <c r="P135" i="62"/>
  <c r="O85" i="62"/>
  <c r="P80" i="62"/>
  <c r="P218" i="62"/>
  <c r="O223" i="62"/>
  <c r="O69" i="62"/>
  <c r="P64" i="62"/>
  <c r="W46" i="85"/>
  <c r="W47" i="85" s="1"/>
  <c r="W10" i="88"/>
  <c r="W7" i="88"/>
  <c r="W131" i="88"/>
  <c r="W134" i="88"/>
  <c r="W95" i="88"/>
  <c r="W98" i="88"/>
  <c r="W7" i="85"/>
  <c r="W10" i="85"/>
  <c r="W35" i="88"/>
  <c r="W38" i="88"/>
  <c r="W19" i="85"/>
  <c r="W22" i="85"/>
  <c r="W83" i="88"/>
  <c r="W86" i="88"/>
  <c r="T23" i="88"/>
  <c r="T26" i="88"/>
  <c r="W119" i="88"/>
  <c r="W122" i="88"/>
  <c r="W31" i="81"/>
  <c r="W34" i="81"/>
  <c r="W7" i="86"/>
  <c r="W19" i="81"/>
  <c r="W22" i="81"/>
  <c r="W71" i="88"/>
  <c r="W74" i="88"/>
  <c r="W107" i="88"/>
  <c r="W110" i="88"/>
  <c r="W60" i="88"/>
  <c r="W63" i="88"/>
  <c r="U47" i="88"/>
  <c r="U50" i="88"/>
  <c r="W38" i="86"/>
  <c r="W41" i="86"/>
  <c r="W7" i="81"/>
  <c r="W10" i="81"/>
  <c r="W26" i="86"/>
  <c r="W29" i="86"/>
  <c r="W8" i="20"/>
  <c r="W11" i="20"/>
  <c r="W143" i="88"/>
  <c r="W146" i="88"/>
  <c r="X142" i="88" s="1"/>
  <c r="W31" i="85"/>
  <c r="W34" i="85"/>
  <c r="P84" i="62" l="1"/>
  <c r="P81" i="62"/>
  <c r="P118" i="62"/>
  <c r="O123" i="62"/>
  <c r="O38" i="62"/>
  <c r="P33" i="62"/>
  <c r="P222" i="62"/>
  <c r="P219" i="62"/>
  <c r="P136" i="62"/>
  <c r="P139" i="62"/>
  <c r="O106" i="62"/>
  <c r="P101" i="62"/>
  <c r="P52" i="62"/>
  <c r="P49" i="62"/>
  <c r="P156" i="62"/>
  <c r="Q151" i="62"/>
  <c r="P203" i="62"/>
  <c r="O208" i="62"/>
  <c r="P68" i="62"/>
  <c r="P65" i="62"/>
  <c r="P10" i="62"/>
  <c r="P13" i="62"/>
  <c r="O191" i="62"/>
  <c r="P186" i="62"/>
  <c r="P172" i="62"/>
  <c r="Q167" i="62"/>
  <c r="X42" i="85"/>
  <c r="X43" i="85" s="1"/>
  <c r="W87" i="88"/>
  <c r="X82" i="88"/>
  <c r="W111" i="88"/>
  <c r="X106" i="88"/>
  <c r="X30" i="81"/>
  <c r="W35" i="81"/>
  <c r="W23" i="85"/>
  <c r="X18" i="85"/>
  <c r="W135" i="88"/>
  <c r="X130" i="88"/>
  <c r="W64" i="88"/>
  <c r="X59" i="88"/>
  <c r="X94" i="88"/>
  <c r="W99" i="88"/>
  <c r="W147" i="88"/>
  <c r="W75" i="88"/>
  <c r="X70" i="88"/>
  <c r="W123" i="88"/>
  <c r="X118" i="88"/>
  <c r="X34" i="88"/>
  <c r="W39" i="88"/>
  <c r="W11" i="81"/>
  <c r="X6" i="81"/>
  <c r="W42" i="86"/>
  <c r="X37" i="86"/>
  <c r="W11" i="88"/>
  <c r="X6" i="88"/>
  <c r="X25" i="86"/>
  <c r="W30" i="86"/>
  <c r="W35" i="85"/>
  <c r="X30" i="85"/>
  <c r="X7" i="20"/>
  <c r="W12" i="20"/>
  <c r="V46" i="88"/>
  <c r="U51" i="88"/>
  <c r="W23" i="81"/>
  <c r="X18" i="81"/>
  <c r="T27" i="88"/>
  <c r="U22" i="88"/>
  <c r="W11" i="85"/>
  <c r="X6" i="85"/>
  <c r="X6" i="86"/>
  <c r="X10" i="86" s="1"/>
  <c r="Y6" i="86" s="1"/>
  <c r="W11" i="86"/>
  <c r="Y7" i="86" l="1"/>
  <c r="Y10" i="86"/>
  <c r="Y11" i="86" s="1"/>
  <c r="Q155" i="62"/>
  <c r="Q152" i="62"/>
  <c r="Q9" i="62"/>
  <c r="P14" i="62"/>
  <c r="P34" i="62"/>
  <c r="P37" i="62"/>
  <c r="Q218" i="62"/>
  <c r="P223" i="62"/>
  <c r="P53" i="62"/>
  <c r="Q48" i="62"/>
  <c r="P102" i="62"/>
  <c r="P105" i="62"/>
  <c r="P187" i="62"/>
  <c r="P190" i="62"/>
  <c r="Q64" i="62"/>
  <c r="P69" i="62"/>
  <c r="P122" i="62"/>
  <c r="P119" i="62"/>
  <c r="Q168" i="62"/>
  <c r="Q171" i="62"/>
  <c r="P140" i="62"/>
  <c r="Q135" i="62"/>
  <c r="P204" i="62"/>
  <c r="P207" i="62"/>
  <c r="P85" i="62"/>
  <c r="Q80" i="62"/>
  <c r="X46" i="85"/>
  <c r="X47" i="85" s="1"/>
  <c r="U23" i="88"/>
  <c r="U26" i="88"/>
  <c r="X31" i="85"/>
  <c r="X34" i="85"/>
  <c r="X7" i="81"/>
  <c r="X10" i="81"/>
  <c r="X11" i="81" s="1"/>
  <c r="X143" i="88"/>
  <c r="X146" i="88"/>
  <c r="Y142" i="88" s="1"/>
  <c r="X19" i="85"/>
  <c r="X22" i="85"/>
  <c r="X7" i="86"/>
  <c r="X11" i="86"/>
  <c r="X26" i="86"/>
  <c r="X29" i="86"/>
  <c r="X35" i="88"/>
  <c r="X38" i="88"/>
  <c r="X39" i="88" s="1"/>
  <c r="X95" i="88"/>
  <c r="X98" i="88"/>
  <c r="X99" i="88" s="1"/>
  <c r="X31" i="81"/>
  <c r="X34" i="81"/>
  <c r="X35" i="81" s="1"/>
  <c r="X7" i="88"/>
  <c r="X10" i="88"/>
  <c r="X119" i="88"/>
  <c r="X122" i="88"/>
  <c r="X123" i="88" s="1"/>
  <c r="X63" i="88"/>
  <c r="X64" i="88" s="1"/>
  <c r="X60" i="88"/>
  <c r="X107" i="88"/>
  <c r="X110" i="88"/>
  <c r="X19" i="81"/>
  <c r="X22" i="81"/>
  <c r="Y18" i="81" s="1"/>
  <c r="V47" i="88"/>
  <c r="V50" i="88"/>
  <c r="X7" i="85"/>
  <c r="X10" i="85"/>
  <c r="X38" i="86"/>
  <c r="X41" i="86"/>
  <c r="X42" i="86" s="1"/>
  <c r="X71" i="88"/>
  <c r="X74" i="88"/>
  <c r="X75" i="88" s="1"/>
  <c r="X131" i="88"/>
  <c r="X134" i="88"/>
  <c r="X135" i="88" s="1"/>
  <c r="X83" i="88"/>
  <c r="X86" i="88"/>
  <c r="X8" i="20"/>
  <c r="X11" i="20"/>
  <c r="Y19" i="81" l="1"/>
  <c r="Y22" i="81"/>
  <c r="Y23" i="81" s="1"/>
  <c r="Y25" i="86"/>
  <c r="Y30" i="85"/>
  <c r="Y82" i="88"/>
  <c r="Q219" i="62"/>
  <c r="Q222" i="62"/>
  <c r="Q136" i="62"/>
  <c r="Q139" i="62"/>
  <c r="P191" i="62"/>
  <c r="Q186" i="62"/>
  <c r="P38" i="62"/>
  <c r="Q33" i="62"/>
  <c r="Q172" i="62"/>
  <c r="R167" i="62"/>
  <c r="P106" i="62"/>
  <c r="Q101" i="62"/>
  <c r="Q13" i="62"/>
  <c r="Q10" i="62"/>
  <c r="Q81" i="62"/>
  <c r="Q84" i="62"/>
  <c r="Q52" i="62"/>
  <c r="Q49" i="62"/>
  <c r="Q203" i="62"/>
  <c r="P208" i="62"/>
  <c r="Q68" i="62"/>
  <c r="Q65" i="62"/>
  <c r="P123" i="62"/>
  <c r="Q118" i="62"/>
  <c r="R151" i="62"/>
  <c r="Q156" i="62"/>
  <c r="Y106" i="88"/>
  <c r="Y6" i="88"/>
  <c r="W46" i="88"/>
  <c r="V51" i="88"/>
  <c r="Y7" i="20"/>
  <c r="X12" i="20" s="1"/>
  <c r="Y18" i="85"/>
  <c r="U27" i="88"/>
  <c r="V22" i="88"/>
  <c r="Y6" i="85"/>
  <c r="X11" i="85" s="1"/>
  <c r="Y26" i="86" l="1"/>
  <c r="Y29" i="86"/>
  <c r="Y30" i="86" s="1"/>
  <c r="X30" i="86"/>
  <c r="Y31" i="85"/>
  <c r="Y34" i="85"/>
  <c r="Y35" i="85" s="1"/>
  <c r="X35" i="85"/>
  <c r="Y83" i="88"/>
  <c r="Y86" i="88"/>
  <c r="Y87" i="88" s="1"/>
  <c r="X87" i="88"/>
  <c r="Q187" i="62"/>
  <c r="Q190" i="62"/>
  <c r="Q37" i="62"/>
  <c r="Q34" i="62"/>
  <c r="R64" i="62"/>
  <c r="Q69" i="62"/>
  <c r="Q14" i="62"/>
  <c r="R9" i="62"/>
  <c r="Q105" i="62"/>
  <c r="Q102" i="62"/>
  <c r="Q140" i="62"/>
  <c r="R135" i="62"/>
  <c r="R80" i="62"/>
  <c r="Q85" i="62"/>
  <c r="Q204" i="62"/>
  <c r="Q207" i="62"/>
  <c r="Q122" i="62"/>
  <c r="Q119" i="62"/>
  <c r="R168" i="62"/>
  <c r="R171" i="62"/>
  <c r="Q223" i="62"/>
  <c r="R218" i="62"/>
  <c r="R155" i="62"/>
  <c r="R152" i="62"/>
  <c r="Q53" i="62"/>
  <c r="R48" i="62"/>
  <c r="Y107" i="88"/>
  <c r="Y110" i="88"/>
  <c r="X111" i="88"/>
  <c r="Y143" i="88"/>
  <c r="Y146" i="88"/>
  <c r="Y147" i="88" s="1"/>
  <c r="X147" i="88"/>
  <c r="Y7" i="88"/>
  <c r="Y10" i="88"/>
  <c r="Y11" i="88" s="1"/>
  <c r="X11" i="88"/>
  <c r="X23" i="81"/>
  <c r="Y19" i="85"/>
  <c r="Y22" i="85"/>
  <c r="X23" i="85"/>
  <c r="Y8" i="20"/>
  <c r="Y11" i="20"/>
  <c r="V23" i="88"/>
  <c r="V26" i="88"/>
  <c r="Y7" i="85"/>
  <c r="Y10" i="85"/>
  <c r="W47" i="88"/>
  <c r="W50" i="88"/>
  <c r="Q208" i="62" l="1"/>
  <c r="R203" i="62"/>
  <c r="R84" i="62"/>
  <c r="R81" i="62"/>
  <c r="R68" i="62"/>
  <c r="R65" i="62"/>
  <c r="R172" i="62"/>
  <c r="S167" i="62"/>
  <c r="R139" i="62"/>
  <c r="R136" i="62"/>
  <c r="R13" i="62"/>
  <c r="R10" i="62"/>
  <c r="R156" i="62"/>
  <c r="S151" i="62"/>
  <c r="Q38" i="62"/>
  <c r="R33" i="62"/>
  <c r="R222" i="62"/>
  <c r="R219" i="62"/>
  <c r="R52" i="62"/>
  <c r="R49" i="62"/>
  <c r="Q191" i="62"/>
  <c r="R186" i="62"/>
  <c r="Q123" i="62"/>
  <c r="R118" i="62"/>
  <c r="Q106" i="62"/>
  <c r="R101" i="62"/>
  <c r="Z106" i="88"/>
  <c r="Y111" i="88"/>
  <c r="W51" i="88"/>
  <c r="X46" i="88"/>
  <c r="Y12" i="20"/>
  <c r="Z7" i="20"/>
  <c r="Z18" i="85"/>
  <c r="Y23" i="85" s="1"/>
  <c r="V27" i="88"/>
  <c r="W22" i="88"/>
  <c r="Z6" i="85"/>
  <c r="R190" i="62" l="1"/>
  <c r="R187" i="62"/>
  <c r="S171" i="62"/>
  <c r="S172" i="62" s="1"/>
  <c r="S168" i="62"/>
  <c r="R69" i="62"/>
  <c r="S64" i="62"/>
  <c r="R119" i="62"/>
  <c r="R122" i="62"/>
  <c r="R53" i="62"/>
  <c r="S48" i="62"/>
  <c r="R14" i="62"/>
  <c r="S9" i="62"/>
  <c r="R85" i="62"/>
  <c r="S80" i="62"/>
  <c r="R37" i="62"/>
  <c r="R34" i="62"/>
  <c r="S155" i="62"/>
  <c r="S156" i="62" s="1"/>
  <c r="S152" i="62"/>
  <c r="R102" i="62"/>
  <c r="R105" i="62"/>
  <c r="R204" i="62"/>
  <c r="R207" i="62"/>
  <c r="R223" i="62"/>
  <c r="S218" i="62"/>
  <c r="R140" i="62"/>
  <c r="S135" i="62"/>
  <c r="Z107" i="88"/>
  <c r="Z110" i="88"/>
  <c r="W23" i="88"/>
  <c r="W26" i="88"/>
  <c r="Z8" i="20"/>
  <c r="Z11" i="20"/>
  <c r="Z7" i="85"/>
  <c r="Z10" i="85"/>
  <c r="X47" i="88"/>
  <c r="X50" i="88"/>
  <c r="X51" i="88" s="1"/>
  <c r="Z19" i="85"/>
  <c r="Z22" i="85"/>
  <c r="Y11" i="85"/>
  <c r="R123" i="62" l="1"/>
  <c r="S118" i="62"/>
  <c r="R208" i="62"/>
  <c r="S203" i="62"/>
  <c r="S84" i="62"/>
  <c r="S85" i="62" s="1"/>
  <c r="S81" i="62"/>
  <c r="S68" i="62"/>
  <c r="S69" i="62" s="1"/>
  <c r="S65" i="62"/>
  <c r="S222" i="62"/>
  <c r="S223" i="62" s="1"/>
  <c r="S219" i="62"/>
  <c r="R38" i="62"/>
  <c r="S33" i="62"/>
  <c r="R106" i="62"/>
  <c r="S101" i="62"/>
  <c r="S13" i="62"/>
  <c r="S14" i="62" s="1"/>
  <c r="S10" i="62"/>
  <c r="S136" i="62"/>
  <c r="S139" i="62"/>
  <c r="S140" i="62" s="1"/>
  <c r="S49" i="62"/>
  <c r="S52" i="62"/>
  <c r="S53" i="62" s="1"/>
  <c r="S186" i="62"/>
  <c r="R191" i="62"/>
  <c r="AA106" i="88"/>
  <c r="AA7" i="20"/>
  <c r="Z12" i="20" s="1"/>
  <c r="AA6" i="85"/>
  <c r="AA18" i="85"/>
  <c r="W27" i="88"/>
  <c r="X22" i="88"/>
  <c r="S102" i="62" l="1"/>
  <c r="S105" i="62"/>
  <c r="S106" i="62" s="1"/>
  <c r="S34" i="62"/>
  <c r="S37" i="62"/>
  <c r="S38" i="62" s="1"/>
  <c r="S204" i="62"/>
  <c r="S207" i="62"/>
  <c r="S208" i="62" s="1"/>
  <c r="S187" i="62"/>
  <c r="S190" i="62"/>
  <c r="S191" i="62" s="1"/>
  <c r="S119" i="62"/>
  <c r="S122" i="62"/>
  <c r="S123" i="62" s="1"/>
  <c r="AA107" i="88"/>
  <c r="AA110" i="88"/>
  <c r="AA111" i="88" s="1"/>
  <c r="Z111" i="88"/>
  <c r="X23" i="88"/>
  <c r="X26" i="88"/>
  <c r="X27" i="88" s="1"/>
  <c r="AA22" i="85"/>
  <c r="AA19" i="85"/>
  <c r="Z23" i="85"/>
  <c r="AA7" i="85"/>
  <c r="AA10" i="85"/>
  <c r="Z11" i="85"/>
  <c r="AA8" i="20"/>
  <c r="AA11" i="20"/>
  <c r="AB18" i="85" l="1"/>
  <c r="AA23" i="85" s="1"/>
  <c r="AB6" i="85"/>
  <c r="AA11" i="85" s="1"/>
  <c r="AB7" i="20"/>
  <c r="AA12" i="20"/>
  <c r="AB8" i="20" l="1"/>
  <c r="AB11" i="20"/>
  <c r="AB12" i="20" s="1"/>
  <c r="AB7" i="85"/>
  <c r="AB10" i="85"/>
  <c r="AB19" i="85"/>
  <c r="AB22" i="85"/>
  <c r="AC18" i="85" l="1"/>
  <c r="AB23" i="85" s="1"/>
  <c r="AC6" i="85"/>
  <c r="AC7" i="85" l="1"/>
  <c r="AC10" i="85"/>
  <c r="AB11" i="85"/>
  <c r="AC19" i="85"/>
  <c r="AC22" i="85"/>
  <c r="AD18" i="85" l="1"/>
  <c r="AC23" i="85" s="1"/>
  <c r="AD6" i="85"/>
  <c r="AD7" i="85" l="1"/>
  <c r="AD10" i="85"/>
  <c r="AC11" i="85"/>
  <c r="AD22" i="85"/>
  <c r="AD19" i="85"/>
  <c r="AE6" i="85" l="1"/>
  <c r="AE18" i="85"/>
  <c r="AE19" i="85" l="1"/>
  <c r="AE22" i="85"/>
  <c r="AD23" i="85"/>
  <c r="AE7" i="85"/>
  <c r="AE10" i="85"/>
  <c r="AD11" i="85"/>
  <c r="AF6" i="85" l="1"/>
  <c r="AE11" i="85" s="1"/>
  <c r="AF18" i="85"/>
  <c r="AF19" i="85" l="1"/>
  <c r="AF22" i="85"/>
  <c r="AE23" i="85"/>
  <c r="AF7" i="85"/>
  <c r="AF10" i="85"/>
  <c r="AG6" i="85" l="1"/>
  <c r="AF11" i="85" s="1"/>
  <c r="AG18" i="85"/>
  <c r="AG19" i="85" l="1"/>
  <c r="AG22" i="85"/>
  <c r="AF23" i="85"/>
  <c r="AG7" i="85"/>
  <c r="AG10" i="85"/>
  <c r="AH6" i="85" l="1"/>
  <c r="AG11" i="85" s="1"/>
  <c r="AH18" i="85"/>
  <c r="AH19" i="85" l="1"/>
  <c r="AH22" i="85"/>
  <c r="AG23" i="85"/>
  <c r="AH7" i="85"/>
  <c r="AH10" i="85"/>
  <c r="AI6" i="85" l="1"/>
  <c r="AH11" i="85" s="1"/>
  <c r="AI18" i="85"/>
  <c r="AH23" i="85" s="1"/>
  <c r="AI19" i="85" l="1"/>
  <c r="AI22" i="85"/>
  <c r="AI7" i="85"/>
  <c r="AI10" i="85"/>
  <c r="AJ6" i="85" l="1"/>
  <c r="AJ18" i="85"/>
  <c r="AI23" i="85" s="1"/>
  <c r="AJ19" i="85" l="1"/>
  <c r="AJ22" i="85"/>
  <c r="AJ23" i="85" s="1"/>
  <c r="AJ7" i="85"/>
  <c r="AJ10" i="85"/>
  <c r="AJ11" i="85" s="1"/>
  <c r="AI11" i="8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tc={CF2A2CE4-E252-4560-A845-553ABB41374C}</author>
  </authors>
  <commentList>
    <comment ref="D6" authorId="0" shapeId="0" xr:uid="{CF2A2CE4-E252-4560-A845-553ABB413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ICESP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tc={75063138-74D5-457B-A296-5E5089BA14BA}</author>
  </authors>
  <commentList>
    <comment ref="L146" authorId="0" shapeId="0" xr:uid="{75063138-74D5-457B-A296-5E5089BA14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Solicitar bloqueio quando o lote for liberado.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tc={D97A0A6C-0322-42BB-8653-A41D7AA19065}</author>
  </authors>
  <commentList>
    <comment ref="J3" authorId="0" shapeId="0" xr:uid="{D97A0A6C-0322-42BB-8653-A41D7AA190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está no JDA (será publicado).</t>
      </text>
    </comment>
  </commentList>
</comments>
</file>

<file path=xl/sharedStrings.xml><?xml version="1.0" encoding="utf-8"?>
<sst xmlns="http://schemas.openxmlformats.org/spreadsheetml/2006/main" count="5763" uniqueCount="860">
  <si>
    <t>TOTAL</t>
  </si>
  <si>
    <t>Meses</t>
  </si>
  <si>
    <t>Batch</t>
  </si>
  <si>
    <t>Material Description</t>
  </si>
  <si>
    <t>Material No</t>
  </si>
  <si>
    <t>F1281201</t>
  </si>
  <si>
    <t>F1231201</t>
  </si>
  <si>
    <t>SAIZEN LIQUID 12MG (1) - BRA</t>
  </si>
  <si>
    <t>F1251201</t>
  </si>
  <si>
    <t>SAIZEN LIQUID 20MG (1) - BRA</t>
  </si>
  <si>
    <t>F1211201</t>
  </si>
  <si>
    <t>SAIZEN LIQUID 6MG (1) - BRA</t>
  </si>
  <si>
    <t>Stock Amount</t>
  </si>
  <si>
    <t>Shelf life</t>
  </si>
  <si>
    <t>Days</t>
  </si>
  <si>
    <t>Month</t>
  </si>
  <si>
    <t xml:space="preserve">Last Updated </t>
  </si>
  <si>
    <t>F6721201</t>
  </si>
  <si>
    <t>F6741201</t>
  </si>
  <si>
    <t>Storage Location</t>
  </si>
  <si>
    <t>BR08 - BSK00</t>
  </si>
  <si>
    <t>Availabitily</t>
  </si>
  <si>
    <t xml:space="preserve">Sales </t>
  </si>
  <si>
    <t>Proforma</t>
  </si>
  <si>
    <t>Delivery</t>
  </si>
  <si>
    <t>* Parameterized this presentation in SAP to blocking with 210 days (07 months)</t>
  </si>
  <si>
    <t>HOSPITALAR</t>
  </si>
  <si>
    <t>* Parameterized this presentation in SAP to bmocking with 365 days (12 months)</t>
  </si>
  <si>
    <t>Unconstrained</t>
  </si>
  <si>
    <t>N&amp;I</t>
  </si>
  <si>
    <t xml:space="preserve">Rebif SYR 22 NF (12) </t>
  </si>
  <si>
    <t>U1211120</t>
  </si>
  <si>
    <t xml:space="preserve">Easypod LQ V6.0 (1) </t>
  </si>
  <si>
    <t>U1244116</t>
  </si>
  <si>
    <t xml:space="preserve">Easypod Serofine Needles 29G (100) </t>
  </si>
  <si>
    <t>U1244117</t>
  </si>
  <si>
    <t xml:space="preserve">Easypod Serofine Needles 30G (100) </t>
  </si>
  <si>
    <t>U1244121</t>
  </si>
  <si>
    <t xml:space="preserve">Easypod Serofine Needles 31G (100) </t>
  </si>
  <si>
    <t>U0055008</t>
  </si>
  <si>
    <t xml:space="preserve">E-Devices Lith Batteries (4) </t>
  </si>
  <si>
    <t>U0S67000</t>
  </si>
  <si>
    <t>Sharp Bin 1 Litre (1)</t>
  </si>
  <si>
    <t>U1262008</t>
  </si>
  <si>
    <t>Easypod LQ Fascia Big (1)</t>
  </si>
  <si>
    <t>U1262018</t>
  </si>
  <si>
    <t>Easypod LQ Fascia Unicorn (1)</t>
  </si>
  <si>
    <t>U1262009</t>
  </si>
  <si>
    <t>Easypod LQ Fascia Kiss (1)</t>
  </si>
  <si>
    <t>U1262017</t>
  </si>
  <si>
    <t>Easypod LQ Fascia Space (1)</t>
  </si>
  <si>
    <t>U1262010</t>
  </si>
  <si>
    <t>Easypod LQ Fascia Tiger (1)</t>
  </si>
  <si>
    <t>U1262014</t>
  </si>
  <si>
    <t>Easypod LQ Fascia Fairies (1)</t>
  </si>
  <si>
    <t>U1262011</t>
  </si>
  <si>
    <t>Easypod LQ Fascia Lady Bug (1)</t>
  </si>
  <si>
    <t>U1262015</t>
  </si>
  <si>
    <t>Easypod LQ Fascia Game (1)</t>
  </si>
  <si>
    <t>U1255501</t>
  </si>
  <si>
    <t>Easypod Travel Bag (6) (Multiplo)</t>
  </si>
  <si>
    <t>U0044004</t>
  </si>
  <si>
    <t>Screwdriver for E-Devices (1)</t>
  </si>
  <si>
    <t>U1222104</t>
  </si>
  <si>
    <t xml:space="preserve">One Click Autoinjector (1) </t>
  </si>
  <si>
    <t>U1222238</t>
  </si>
  <si>
    <t>Aluetta Pen 6mg (1)</t>
  </si>
  <si>
    <t>U1222239</t>
  </si>
  <si>
    <t>Aluetta Pen 12mg (1)</t>
  </si>
  <si>
    <t>U1222240</t>
  </si>
  <si>
    <t>Aluetta Pen 20mg (1)</t>
  </si>
  <si>
    <t>U0B12005</t>
  </si>
  <si>
    <t xml:space="preserve">One Click Needle (100) </t>
  </si>
  <si>
    <t>U1244000</t>
  </si>
  <si>
    <t>Pencylcap Aluetta 31G (100)</t>
  </si>
  <si>
    <t>U0011201</t>
  </si>
  <si>
    <t>Cartridge Demo Kit (4)</t>
  </si>
  <si>
    <t>U1211107</t>
  </si>
  <si>
    <t>One Click Backpack (1)</t>
  </si>
  <si>
    <t>U1211203</t>
  </si>
  <si>
    <t xml:space="preserve">Saizen 8 Placebo Click Easy II (5) </t>
  </si>
  <si>
    <t>U1211300</t>
  </si>
  <si>
    <t>Easypod Transmiter (1)</t>
  </si>
  <si>
    <t xml:space="preserve">U1211320 </t>
  </si>
  <si>
    <t>Easypod Transmiter 2.0 (1)</t>
  </si>
  <si>
    <t>U1211311</t>
  </si>
  <si>
    <t>Easypod Transmiter Demo (1)</t>
  </si>
  <si>
    <t>U1244003</t>
  </si>
  <si>
    <t>Easypod Training Pad (10)</t>
  </si>
  <si>
    <t>F19Y0007</t>
  </si>
  <si>
    <t>Gonal-f Pen 2.0 - Demo (20) (Multiplo)</t>
  </si>
  <si>
    <t>F54Y0001</t>
  </si>
  <si>
    <t>Ovidrel-f Pen Demo (20) (Multiplo)</t>
  </si>
  <si>
    <t>U6722303</t>
  </si>
  <si>
    <t xml:space="preserve">Rebiject II Autoinjector (1) </t>
  </si>
  <si>
    <t>U0M00001</t>
  </si>
  <si>
    <t>Rebiject - Cool ELMNT CPCT BAG (1)</t>
  </si>
  <si>
    <t>U6755505</t>
  </si>
  <si>
    <t xml:space="preserve">Rebidose Cool Bag Medium (1) </t>
  </si>
  <si>
    <t>U6744013</t>
  </si>
  <si>
    <t>Rebif Training Pad for Pens (1)</t>
  </si>
  <si>
    <t>FC0100A7</t>
  </si>
  <si>
    <t>Rebif Training Syringes (12)</t>
  </si>
  <si>
    <t>U6744007</t>
  </si>
  <si>
    <t>Rebif Spak Clip W1-2 (1)</t>
  </si>
  <si>
    <t>U6744008</t>
  </si>
  <si>
    <t>Rebif Spak Clip W1-4 (1)</t>
  </si>
  <si>
    <t>F05512A1</t>
  </si>
  <si>
    <t>Item</t>
  </si>
  <si>
    <t>Desc</t>
  </si>
  <si>
    <t>Tamanho de lote medio</t>
  </si>
  <si>
    <t>Stilamin 3 mg</t>
  </si>
  <si>
    <t xml:space="preserve">Saizen Liquid 6mg </t>
  </si>
  <si>
    <t xml:space="preserve">Saizen Liquid 12mg </t>
  </si>
  <si>
    <t xml:space="preserve">Saizen Liquid 20mg </t>
  </si>
  <si>
    <t>Saizen 8 mg Click Easy</t>
  </si>
  <si>
    <t>Rebif Syr 22 - Privado</t>
  </si>
  <si>
    <t>Rebif Syr 44 - Privado</t>
  </si>
  <si>
    <t>Calculo feito com base na media do quantitativo recebido durante 2018 e 2017, que consta na planilha de controle de processos de comex</t>
  </si>
  <si>
    <t>STILAMIN AMP 3MG (1) WO SOLVENT - BRA</t>
  </si>
  <si>
    <t>Estoque Inicial</t>
  </si>
  <si>
    <t>Estoque Final</t>
  </si>
  <si>
    <t>FCB11211</t>
  </si>
  <si>
    <t>MAVENCLAD TABS 10 MG (1) - BRA</t>
  </si>
  <si>
    <t>FCB11221</t>
  </si>
  <si>
    <t>MAVENCLAD TABS 10 MG (1) SAMPLE - BRA</t>
  </si>
  <si>
    <t>Lote</t>
  </si>
  <si>
    <t>F19B1207</t>
  </si>
  <si>
    <t>GONAL-F PEN2.0 - 900IU (1) - BRA</t>
  </si>
  <si>
    <t>BA059120</t>
  </si>
  <si>
    <t>F55A12A1</t>
  </si>
  <si>
    <t>CETROTIDE VIAL 250MCG (1) - BRA</t>
  </si>
  <si>
    <t>P00472B</t>
  </si>
  <si>
    <t>F7591201</t>
  </si>
  <si>
    <t>PERGOVERIS PEN 300/150IU (1) - BRA</t>
  </si>
  <si>
    <t>BA060656</t>
  </si>
  <si>
    <t>ATUSA</t>
  </si>
  <si>
    <t>FN131201</t>
  </si>
  <si>
    <t>ERBITUX 5MG/ML - (20ML) BRA</t>
  </si>
  <si>
    <t>BR01 - BSK00</t>
  </si>
  <si>
    <t>BR01 - BSK04</t>
  </si>
  <si>
    <t>FN151201</t>
  </si>
  <si>
    <t>ERBITUX 5MG/ML - (100 ML) BRA</t>
  </si>
  <si>
    <t>F0111201</t>
  </si>
  <si>
    <t>BAVENCIO 200MG (20MG/ML) (1) - BRA</t>
  </si>
  <si>
    <t>P00465D</t>
  </si>
  <si>
    <t>P00465C</t>
  </si>
  <si>
    <t>P00465B</t>
  </si>
  <si>
    <t>P00464A</t>
  </si>
  <si>
    <t>P00459C</t>
  </si>
  <si>
    <t>P00457B</t>
  </si>
  <si>
    <t>P00428BB</t>
  </si>
  <si>
    <t>P00470C</t>
  </si>
  <si>
    <t>P00472A</t>
  </si>
  <si>
    <t>F56B1201</t>
  </si>
  <si>
    <t>CRINONE APPLICATOR C 8% (7) - BRA</t>
  </si>
  <si>
    <t>C19104A</t>
  </si>
  <si>
    <t>C19104</t>
  </si>
  <si>
    <t>F56B12A3</t>
  </si>
  <si>
    <t>CRINONE APPLICATOR C 8% (15) - BRA</t>
  </si>
  <si>
    <t>C19113A</t>
  </si>
  <si>
    <t>C18147D</t>
  </si>
  <si>
    <t>C19113</t>
  </si>
  <si>
    <t>F1971201</t>
  </si>
  <si>
    <t>GONAL-F 75IU (5.5MCG) (1) - BRA</t>
  </si>
  <si>
    <t>AU025198</t>
  </si>
  <si>
    <t>AU026827</t>
  </si>
  <si>
    <t>AU026827A</t>
  </si>
  <si>
    <t>AU029094</t>
  </si>
  <si>
    <t>F1991207</t>
  </si>
  <si>
    <t>GONAL-F PEN2.0 - 300IU (1) - BRA</t>
  </si>
  <si>
    <t>BA058642A</t>
  </si>
  <si>
    <t>BA058642</t>
  </si>
  <si>
    <t>BA058392</t>
  </si>
  <si>
    <t>BA055754</t>
  </si>
  <si>
    <t>BA054932</t>
  </si>
  <si>
    <t>BA053511A</t>
  </si>
  <si>
    <t>BA052095</t>
  </si>
  <si>
    <t>BA061115</t>
  </si>
  <si>
    <t>BA057996</t>
  </si>
  <si>
    <t>BA055639</t>
  </si>
  <si>
    <t>BA052310D</t>
  </si>
  <si>
    <t>F19D1207</t>
  </si>
  <si>
    <t>GONAL-F PEN2.0 - 450IU (1) - BRA</t>
  </si>
  <si>
    <t>BA058657</t>
  </si>
  <si>
    <t>BA055640</t>
  </si>
  <si>
    <t>BA053690</t>
  </si>
  <si>
    <t>BA052716A</t>
  </si>
  <si>
    <t>F5151201</t>
  </si>
  <si>
    <t>LUVERIS VIAL NF 75IU (1) - BRA</t>
  </si>
  <si>
    <t>AU026508</t>
  </si>
  <si>
    <t>AU026075</t>
  </si>
  <si>
    <t>AU024261</t>
  </si>
  <si>
    <t>F54G1203</t>
  </si>
  <si>
    <t>OVIDREL F-PEN 250MCG (1) - BRA</t>
  </si>
  <si>
    <t>BA058793</t>
  </si>
  <si>
    <t>BA056203A</t>
  </si>
  <si>
    <t>F7541201</t>
  </si>
  <si>
    <t>PERGOVERIS 150/75IU (1) - BRA</t>
  </si>
  <si>
    <t>AU027913</t>
  </si>
  <si>
    <t>AU027912A</t>
  </si>
  <si>
    <t>AU027315</t>
  </si>
  <si>
    <t>AU028240A</t>
  </si>
  <si>
    <t>AU027912B</t>
  </si>
  <si>
    <t>AU027912</t>
  </si>
  <si>
    <t>F75B1201</t>
  </si>
  <si>
    <t>PERGOVERIS PEN 900/450IU (1) - BRA</t>
  </si>
  <si>
    <t>F75D1201</t>
  </si>
  <si>
    <t>PERGOVERIS PEN 450/225IU (1) - BRA</t>
  </si>
  <si>
    <t>BA060485A</t>
  </si>
  <si>
    <t>BA060485</t>
  </si>
  <si>
    <t>BA056294</t>
  </si>
  <si>
    <t>BA058206</t>
  </si>
  <si>
    <t>BA058141A</t>
  </si>
  <si>
    <t>BA057513</t>
  </si>
  <si>
    <t>BA056301</t>
  </si>
  <si>
    <t>BA054608</t>
  </si>
  <si>
    <t>BA057382</t>
  </si>
  <si>
    <t>Descrição</t>
  </si>
  <si>
    <t>Std cost</t>
  </si>
  <si>
    <t>Total 2020</t>
  </si>
  <si>
    <t>BA060656A</t>
  </si>
  <si>
    <t>BA062144</t>
  </si>
  <si>
    <t>UNIDADES</t>
  </si>
  <si>
    <t>VALOR (R$)</t>
  </si>
  <si>
    <t>Venda - 1 Mês de atraso</t>
  </si>
  <si>
    <t>Destruição Valor (BRL)</t>
  </si>
  <si>
    <t>Postergação de 1 Mês do F2</t>
  </si>
  <si>
    <t>Total</t>
  </si>
  <si>
    <t>SALDO (RECEITA F2 - CUSTO DE DESTRUIÇÃO)</t>
  </si>
  <si>
    <t>F2 OFICIAL REPHASING (BRL)</t>
  </si>
  <si>
    <t>F1</t>
  </si>
  <si>
    <t>Realizada</t>
  </si>
  <si>
    <t>Dif</t>
  </si>
  <si>
    <t>WO COVID - F1 (Fevereiro a Dezembro)</t>
  </si>
  <si>
    <t>Atual</t>
  </si>
  <si>
    <t>Saldo vs sem covid</t>
  </si>
  <si>
    <t>Postergação de 1 mês</t>
  </si>
  <si>
    <t>Qtd</t>
  </si>
  <si>
    <t>Valor (BRL)</t>
  </si>
  <si>
    <t>BSK</t>
  </si>
  <si>
    <t>Planta</t>
  </si>
  <si>
    <t>Validade</t>
  </si>
  <si>
    <t>Validade em meses</t>
  </si>
  <si>
    <t>Motivo</t>
  </si>
  <si>
    <t>SFA</t>
  </si>
  <si>
    <t>Mês de destruição</t>
  </si>
  <si>
    <t>AU029136</t>
  </si>
  <si>
    <t>BA061115A</t>
  </si>
  <si>
    <t>AU029342</t>
  </si>
  <si>
    <t>Chegada Merck</t>
  </si>
  <si>
    <t>Recebimento BTG</t>
  </si>
  <si>
    <t>BA064209</t>
  </si>
  <si>
    <t>BA063191</t>
  </si>
  <si>
    <t>Venda com 9 meses e Destruição com 6 meses</t>
  </si>
  <si>
    <t>BR01</t>
  </si>
  <si>
    <t>diferença cenario atual x reportado</t>
  </si>
  <si>
    <t>Std cost 2020</t>
  </si>
  <si>
    <t>BR08</t>
  </si>
  <si>
    <t>Liberação</t>
  </si>
  <si>
    <t>Colocado</t>
  </si>
  <si>
    <t>BA063263</t>
  </si>
  <si>
    <t>Mês</t>
  </si>
  <si>
    <t>BA066979</t>
  </si>
  <si>
    <t>AU030430</t>
  </si>
  <si>
    <t>BA066979A</t>
  </si>
  <si>
    <t>BA062427</t>
  </si>
  <si>
    <t>BA060505A</t>
  </si>
  <si>
    <t>Product Code</t>
  </si>
  <si>
    <t>Product Desc</t>
  </si>
  <si>
    <t>Business Line Descr</t>
  </si>
  <si>
    <t>Key Figure</t>
  </si>
  <si>
    <t>A4 Fertility Treatments</t>
  </si>
  <si>
    <t>(QTY) Actuals / Unconstrained Demand</t>
  </si>
  <si>
    <t>V8 Bavencio Internal Alliance</t>
  </si>
  <si>
    <t>B3 MAVENCLAD</t>
  </si>
  <si>
    <t>A5 Endocrinology</t>
  </si>
  <si>
    <t>52 Erbitux</t>
  </si>
  <si>
    <t>A8 MultSc</t>
  </si>
  <si>
    <t>D1 General Medicine ARES &amp; MSSA</t>
  </si>
  <si>
    <t>REBIF SYR 22 NF (12) - BRA</t>
  </si>
  <si>
    <t>REBIF SYR 44 NF (12) - BRA</t>
  </si>
  <si>
    <t>TEPMETKO 250MG TABLETS - (60) BRA</t>
  </si>
  <si>
    <t>TT Tepmetko</t>
  </si>
  <si>
    <t>FTP11201</t>
  </si>
  <si>
    <t>9J815A</t>
  </si>
  <si>
    <t>BA063115</t>
  </si>
  <si>
    <t>BA061673</t>
  </si>
  <si>
    <t>Plant</t>
  </si>
  <si>
    <t>AU031287</t>
  </si>
  <si>
    <t>AU031429</t>
  </si>
  <si>
    <t>TRANSFERIR PARA BR08</t>
  </si>
  <si>
    <t>G00SYAA</t>
  </si>
  <si>
    <t>BA068951</t>
  </si>
  <si>
    <t>BA068473</t>
  </si>
  <si>
    <t>Limit sales date</t>
  </si>
  <si>
    <t>G00X2P</t>
  </si>
  <si>
    <t>Ação</t>
  </si>
  <si>
    <t>BA069514</t>
  </si>
  <si>
    <t>AU031827</t>
  </si>
  <si>
    <t>N2100161</t>
  </si>
  <si>
    <t>G00X0E</t>
  </si>
  <si>
    <t>forecast</t>
  </si>
  <si>
    <t>estoque inicial</t>
  </si>
  <si>
    <t>cobertura inicial</t>
  </si>
  <si>
    <t>entradas</t>
  </si>
  <si>
    <t>estoque final</t>
  </si>
  <si>
    <t>cobertura final</t>
  </si>
  <si>
    <t>Blocked</t>
  </si>
  <si>
    <t>Data</t>
  </si>
  <si>
    <t>BLOQUEIO/DESBLOQUEIO</t>
  </si>
  <si>
    <t>0I841A</t>
  </si>
  <si>
    <t>BA071946</t>
  </si>
  <si>
    <t>G010YC</t>
  </si>
  <si>
    <t>G0100N</t>
  </si>
  <si>
    <t>BA070979</t>
  </si>
  <si>
    <t>BA070088</t>
  </si>
  <si>
    <t>BA072478</t>
  </si>
  <si>
    <t>Comentários</t>
  </si>
  <si>
    <t>P00552A</t>
  </si>
  <si>
    <t>BA071472</t>
  </si>
  <si>
    <t xml:space="preserve"> </t>
  </si>
  <si>
    <t>WRITE OFF</t>
  </si>
  <si>
    <t>V6721911</t>
  </si>
  <si>
    <t>V6741910</t>
  </si>
  <si>
    <t>I02 RB22 NF SBNC SF WCB 2.2 29G P42</t>
  </si>
  <si>
    <t>I02 RB44 NF SBNC SF WCB 2.2 29G P42</t>
  </si>
  <si>
    <t>AU031705</t>
  </si>
  <si>
    <t>BA071454</t>
  </si>
  <si>
    <t>BA073150</t>
  </si>
  <si>
    <t>BA073003</t>
  </si>
  <si>
    <t>G011NF</t>
  </si>
  <si>
    <t>BA070671</t>
  </si>
  <si>
    <t>BA073061</t>
  </si>
  <si>
    <t>BA070979A</t>
  </si>
  <si>
    <t>N2100161A</t>
  </si>
  <si>
    <t>STILAMIN AMP 3MG (1) wo Solvent - BRA</t>
  </si>
  <si>
    <t>AU032525</t>
  </si>
  <si>
    <t>Entradas Set/21</t>
  </si>
  <si>
    <t>Cob. inicial Set/21</t>
  </si>
  <si>
    <t>Cob. inicial Out/21</t>
  </si>
  <si>
    <t>BA072137</t>
  </si>
  <si>
    <t>C21104</t>
  </si>
  <si>
    <t>BA072530</t>
  </si>
  <si>
    <t>BA073148A</t>
  </si>
  <si>
    <t>BA073621</t>
  </si>
  <si>
    <t>BA070133</t>
  </si>
  <si>
    <r>
      <t>.Cob. Inicial Set/21 considerando a liberação de 2.762 unds em Ago/21 (embarque Cartagena) -</t>
    </r>
    <r>
      <rPr>
        <sz val="11"/>
        <color rgb="FFFF0000"/>
        <rFont val="Calibri"/>
        <family val="2"/>
        <scheme val="minor"/>
      </rPr>
      <t xml:space="preserve"> possível risco de entrar Set/21 com 0%.</t>
    </r>
    <r>
      <rPr>
        <sz val="11"/>
        <color theme="1"/>
        <rFont val="Calibri"/>
        <family val="2"/>
        <scheme val="minor"/>
      </rPr>
      <t xml:space="preserve">
.Embarque aéreo 2.142 unds em atraso (previsão chegada Merck 24/08) - liberação em Set/21</t>
    </r>
  </si>
  <si>
    <r>
      <t>.Cob. Inicial Set/21 considerando (</t>
    </r>
    <r>
      <rPr>
        <sz val="11"/>
        <color rgb="FFFF0000"/>
        <rFont val="Calibri"/>
        <family val="2"/>
        <scheme val="minor"/>
      </rPr>
      <t>possível risco de entrar Set/21 com 0%</t>
    </r>
    <r>
      <rPr>
        <sz val="11"/>
        <color theme="1"/>
        <rFont val="Calibri"/>
        <family val="2"/>
        <scheme val="minor"/>
      </rPr>
      <t>):
    .liberação de 3.003 unds em Ago/21 (embarque Cartagena)
    .1.000 unds embarque aéreo emergencial</t>
    </r>
  </si>
  <si>
    <t xml:space="preserve">.Forecast aumentado em 20% nos próx. 3 meses.
.Desconsiderando 3.003 unds envolvidas no desvio TW#3014750 - disp. prevista para Out/21.
.Embarque aéreo 2.331 unds em atraso (previsão chegada Merck 24/08) - liberação em Set/21
.2.625 unds com disponibilidade Set/21 (envio aereo).
</t>
  </si>
  <si>
    <t>.Desconsiderando para liberação em Ago/21 2.534 unds envolvidas no desvio TW#3024171 (liberação só para Set/21 ou Out/21) - desvio de OOS, eles também tiveram esse desvio na Argentina e tiveram que mandar um re-test.</t>
  </si>
  <si>
    <t>SS</t>
  </si>
  <si>
    <t>Estoque inicial Set/21</t>
  </si>
  <si>
    <t>Forecast Out/21</t>
  </si>
  <si>
    <t>Forecast Set/21</t>
  </si>
  <si>
    <t>Estoque inicial Out/21</t>
  </si>
  <si>
    <t>Entradas Out/21</t>
  </si>
  <si>
    <t>Forecast Nov/21</t>
  </si>
  <si>
    <t>Estoque inicial Nov/21</t>
  </si>
  <si>
    <t>Cob. inicial Nov/21</t>
  </si>
  <si>
    <t>Entradas Nov/21</t>
  </si>
  <si>
    <t>Precisamos que 3.700 de Out/21 venham aéreo (se não entramos Nov/21 desatendido - mês de puxada de vendas). Nessas 6k de Out/21 está incluído as 3k do desvio?</t>
  </si>
  <si>
    <t>3.400 de Set/21 já vem aereo.
1.126 de Out/21 maritimo + 2.176 aereo.
Preciamos de 1.630 aereo em Nov/21.</t>
  </si>
  <si>
    <t xml:space="preserve">Precisamos que as 1.176 de Out/21 venham aéreo.
</t>
  </si>
  <si>
    <t>Precisamos em Out/21 de 2.300 aereo.</t>
  </si>
  <si>
    <t>Precisamos que as 10.123 de Set/21 venha aereo.
Precisamos que as 7.500 de Out/21 venha aereo (já vem aereo - Maxi confirmou).
Das 7.500 de Nov/21, precisamos que 3.500 venha aereo.</t>
  </si>
  <si>
    <t>AU031827A</t>
  </si>
  <si>
    <t>G0100NA</t>
  </si>
  <si>
    <t>G010YCA</t>
  </si>
  <si>
    <t>*Item</t>
  </si>
  <si>
    <t>ItemDescr</t>
  </si>
  <si>
    <t>*Loc</t>
  </si>
  <si>
    <t>627DC</t>
  </si>
  <si>
    <t>SAIZEN 8MG CLICK.EASY II (1) - BRA</t>
  </si>
  <si>
    <t>SS (min)</t>
  </si>
  <si>
    <t>DRPCovDur (+SS = max)</t>
  </si>
  <si>
    <t>BA073581</t>
  </si>
  <si>
    <t>P00554A</t>
  </si>
  <si>
    <t>BA073908</t>
  </si>
  <si>
    <t>BA073352</t>
  </si>
  <si>
    <t>BA073061A</t>
  </si>
  <si>
    <t>BA071080A</t>
  </si>
  <si>
    <t>AU032790</t>
  </si>
  <si>
    <t>BA068473A</t>
  </si>
  <si>
    <t>crescimento mt grande em arg, chil, mex, entao planta esta entregando um pouco fora do planejamento</t>
  </si>
  <si>
    <t>realizado</t>
  </si>
  <si>
    <t>ICESP</t>
  </si>
  <si>
    <t>BA074397</t>
  </si>
  <si>
    <t>Cetrotide</t>
  </si>
  <si>
    <t>Crinone 8%</t>
  </si>
  <si>
    <t>Stilamin</t>
  </si>
  <si>
    <t>TW</t>
  </si>
  <si>
    <t>Produto</t>
  </si>
  <si>
    <t>Desvio</t>
  </si>
  <si>
    <t>CQ</t>
  </si>
  <si>
    <t>Cetrotide 250 mcg</t>
  </si>
  <si>
    <t>Erbitux 20</t>
  </si>
  <si>
    <t xml:space="preserve">3055997/3053956 </t>
  </si>
  <si>
    <t>Pallets que não embarcaram.</t>
  </si>
  <si>
    <t>Embalagem no Brasil (por ser um hormônio, precisamos verificar com a planta se podemos embalar aqui no Brasil - questões de qualidade)</t>
  </si>
  <si>
    <t>Excursão de temperatura (aguardando definição dos CAPAS pela ATUSA e validação das rotas pendente)</t>
  </si>
  <si>
    <t>Excursão de temperatura (aguardando definição dos CAPAS pela ATUSA)</t>
  </si>
  <si>
    <t>Material</t>
  </si>
  <si>
    <t>Material description</t>
  </si>
  <si>
    <t>Amt.in loc.cur.</t>
  </si>
  <si>
    <t>Currency</t>
  </si>
  <si>
    <t>Movement Type</t>
  </si>
  <si>
    <t>Storage location</t>
  </si>
  <si>
    <t>Posting Date</t>
  </si>
  <si>
    <t>Quantity</t>
  </si>
  <si>
    <t>Unit of Entry</t>
  </si>
  <si>
    <t>Company Code</t>
  </si>
  <si>
    <t>Purchase order</t>
  </si>
  <si>
    <t>Vendor</t>
  </si>
  <si>
    <t>Entry date</t>
  </si>
  <si>
    <t>Movement Type Text</t>
  </si>
  <si>
    <t>Movement indicator</t>
  </si>
  <si>
    <t>Material Document</t>
  </si>
  <si>
    <t>Order</t>
  </si>
  <si>
    <t>Base Unit of Measure</t>
  </si>
  <si>
    <t>Reference</t>
  </si>
  <si>
    <t>Customer</t>
  </si>
  <si>
    <t>Document Date</t>
  </si>
  <si>
    <t>Material Doc. Year</t>
  </si>
  <si>
    <t>Document Header Text</t>
  </si>
  <si>
    <t>BRL</t>
  </si>
  <si>
    <t>601</t>
  </si>
  <si>
    <t>1001</t>
  </si>
  <si>
    <t>PC</t>
  </si>
  <si>
    <t>BR10</t>
  </si>
  <si>
    <t>GD goods issue:delvy</t>
  </si>
  <si>
    <t>L</t>
  </si>
  <si>
    <t>40060153</t>
  </si>
  <si>
    <t>2021</t>
  </si>
  <si>
    <t>40059467</t>
  </si>
  <si>
    <t>40061015</t>
  </si>
  <si>
    <t>40051996</t>
  </si>
  <si>
    <t>40040465</t>
  </si>
  <si>
    <t>40052735</t>
  </si>
  <si>
    <t>40012614</t>
  </si>
  <si>
    <t>40061384</t>
  </si>
  <si>
    <t>40054189</t>
  </si>
  <si>
    <t>40057728</t>
  </si>
  <si>
    <t>40061077</t>
  </si>
  <si>
    <t>40050740</t>
  </si>
  <si>
    <t>40058469</t>
  </si>
  <si>
    <t>40048962</t>
  </si>
  <si>
    <t>40012552</t>
  </si>
  <si>
    <t>40053822</t>
  </si>
  <si>
    <t>40052559</t>
  </si>
  <si>
    <t>40057252</t>
  </si>
  <si>
    <t>40057308</t>
  </si>
  <si>
    <t>40016780</t>
  </si>
  <si>
    <t>40058424</t>
  </si>
  <si>
    <t>40060507</t>
  </si>
  <si>
    <t>40053847</t>
  </si>
  <si>
    <t>40012598</t>
  </si>
  <si>
    <t>40012558</t>
  </si>
  <si>
    <t>40037925</t>
  </si>
  <si>
    <t>40056841</t>
  </si>
  <si>
    <t>40012568</t>
  </si>
  <si>
    <t>40012581</t>
  </si>
  <si>
    <t>40055740</t>
  </si>
  <si>
    <t>40038477</t>
  </si>
  <si>
    <t>40057673</t>
  </si>
  <si>
    <t>40052923</t>
  </si>
  <si>
    <t>40051307</t>
  </si>
  <si>
    <t>40053979</t>
  </si>
  <si>
    <t>40061016</t>
  </si>
  <si>
    <t>BA074632</t>
  </si>
  <si>
    <t>N2100414</t>
  </si>
  <si>
    <t>G0155K</t>
  </si>
  <si>
    <t>G00QBL</t>
  </si>
  <si>
    <t>G014XP</t>
  </si>
  <si>
    <t>AU032025</t>
  </si>
  <si>
    <t>P00560AA</t>
  </si>
  <si>
    <t>BA074447</t>
  </si>
  <si>
    <t>BA073954</t>
  </si>
  <si>
    <t>40063625</t>
  </si>
  <si>
    <t>BLOQUEAR QUANDO LIBERAR</t>
  </si>
  <si>
    <t>DESBLOQUEAR</t>
  </si>
  <si>
    <t>verificar com qualidade tema dos lotes a serem embalados no brasil</t>
  </si>
  <si>
    <t>4930918036</t>
  </si>
  <si>
    <t>4348572940</t>
  </si>
  <si>
    <t>4930918046</t>
  </si>
  <si>
    <t>4348573343</t>
  </si>
  <si>
    <t>4930918035</t>
  </si>
  <si>
    <t>4348572937</t>
  </si>
  <si>
    <t>4930918281</t>
  </si>
  <si>
    <t>4348588369</t>
  </si>
  <si>
    <t>4930918238</t>
  </si>
  <si>
    <t>4348580329</t>
  </si>
  <si>
    <t>4930917972</t>
  </si>
  <si>
    <t>4348571421</t>
  </si>
  <si>
    <t>4930918045</t>
  </si>
  <si>
    <t>4348573338</t>
  </si>
  <si>
    <t>4930914697</t>
  </si>
  <si>
    <t>4348558659</t>
  </si>
  <si>
    <t>4930914503</t>
  </si>
  <si>
    <t>4348538022</t>
  </si>
  <si>
    <t>4930918032</t>
  </si>
  <si>
    <t>4348572914</t>
  </si>
  <si>
    <t>4930918026</t>
  </si>
  <si>
    <t>4348572882</t>
  </si>
  <si>
    <t>4930914639</t>
  </si>
  <si>
    <t>4348550978</t>
  </si>
  <si>
    <t>4930914613</t>
  </si>
  <si>
    <t>4348550114</t>
  </si>
  <si>
    <t>4930918031</t>
  </si>
  <si>
    <t>4348572908</t>
  </si>
  <si>
    <t>4930917969</t>
  </si>
  <si>
    <t>4348571394</t>
  </si>
  <si>
    <t>4930918284</t>
  </si>
  <si>
    <t>4348589693</t>
  </si>
  <si>
    <t>40013859</t>
  </si>
  <si>
    <t>4930918283</t>
  </si>
  <si>
    <t>4348588492</t>
  </si>
  <si>
    <t>4930918285</t>
  </si>
  <si>
    <t>4348589701</t>
  </si>
  <si>
    <t>40049946</t>
  </si>
  <si>
    <t>4930914637</t>
  </si>
  <si>
    <t>4348550974</t>
  </si>
  <si>
    <t>4930918239</t>
  </si>
  <si>
    <t>4348580338</t>
  </si>
  <si>
    <t>4930918217</t>
  </si>
  <si>
    <t>4348578472</t>
  </si>
  <si>
    <t>4930918215</t>
  </si>
  <si>
    <t>4348578462</t>
  </si>
  <si>
    <t>4930918048</t>
  </si>
  <si>
    <t>4348573353</t>
  </si>
  <si>
    <t>4930918033</t>
  </si>
  <si>
    <t>4348572930</t>
  </si>
  <si>
    <t>4930918041</t>
  </si>
  <si>
    <t>4348573301</t>
  </si>
  <si>
    <t>4930918175</t>
  </si>
  <si>
    <t>4348576727</t>
  </si>
  <si>
    <t>4930918240</t>
  </si>
  <si>
    <t>4348580344</t>
  </si>
  <si>
    <t>4930918182</t>
  </si>
  <si>
    <t>4348576774</t>
  </si>
  <si>
    <t>4930918050</t>
  </si>
  <si>
    <t>4348573368</t>
  </si>
  <si>
    <t>4930918218</t>
  </si>
  <si>
    <t>4348578476</t>
  </si>
  <si>
    <t>4930918219</t>
  </si>
  <si>
    <t>4348578479</t>
  </si>
  <si>
    <t>4930918205</t>
  </si>
  <si>
    <t>4348578415</t>
  </si>
  <si>
    <t>4930918178</t>
  </si>
  <si>
    <t>4348576755</t>
  </si>
  <si>
    <t>4930918212</t>
  </si>
  <si>
    <t>4348578450</t>
  </si>
  <si>
    <t>4930918177</t>
  </si>
  <si>
    <t>4348576748</t>
  </si>
  <si>
    <t>4930918047</t>
  </si>
  <si>
    <t>4348573348</t>
  </si>
  <si>
    <t>4930918030</t>
  </si>
  <si>
    <t>4348572904</t>
  </si>
  <si>
    <t>4930917976</t>
  </si>
  <si>
    <t>4348571463</t>
  </si>
  <si>
    <t>4930918187</t>
  </si>
  <si>
    <t>4348576980</t>
  </si>
  <si>
    <t>4930917974</t>
  </si>
  <si>
    <t>4348571452</t>
  </si>
  <si>
    <t>4930918211</t>
  </si>
  <si>
    <t>4348578445</t>
  </si>
  <si>
    <t>4930918210</t>
  </si>
  <si>
    <t>4348578434</t>
  </si>
  <si>
    <t>4930918176</t>
  </si>
  <si>
    <t>4348576739</t>
  </si>
  <si>
    <t>4930914606</t>
  </si>
  <si>
    <t>4348549536</t>
  </si>
  <si>
    <t>4930918029</t>
  </si>
  <si>
    <t>4348572895</t>
  </si>
  <si>
    <t>4930918025</t>
  </si>
  <si>
    <t>4348572860</t>
  </si>
  <si>
    <t>4930918028</t>
  </si>
  <si>
    <t>4348572890</t>
  </si>
  <si>
    <t>4930917975</t>
  </si>
  <si>
    <t>4348571455</t>
  </si>
  <si>
    <t>4930917977</t>
  </si>
  <si>
    <t>4348571468</t>
  </si>
  <si>
    <t>4930917967</t>
  </si>
  <si>
    <t>4348571380</t>
  </si>
  <si>
    <t>4930914693</t>
  </si>
  <si>
    <t>4348558613</t>
  </si>
  <si>
    <t>4930918271</t>
  </si>
  <si>
    <t>4348584788</t>
  </si>
  <si>
    <t>40059443</t>
  </si>
  <si>
    <t>4930918044</t>
  </si>
  <si>
    <t>4348573333</t>
  </si>
  <si>
    <t>4930918174</t>
  </si>
  <si>
    <t>4348576602</t>
  </si>
  <si>
    <t>4930918170</t>
  </si>
  <si>
    <t>4348576589</t>
  </si>
  <si>
    <t>4930918173</t>
  </si>
  <si>
    <t>4348576598</t>
  </si>
  <si>
    <t>4930918169</t>
  </si>
  <si>
    <t>4348576586</t>
  </si>
  <si>
    <t>4930917968</t>
  </si>
  <si>
    <t>4348571387</t>
  </si>
  <si>
    <t>4930918172</t>
  </si>
  <si>
    <t>4348576595</t>
  </si>
  <si>
    <t>4930918171</t>
  </si>
  <si>
    <t>4348576592</t>
  </si>
  <si>
    <t>4930918168</t>
  </si>
  <si>
    <t>4348576582</t>
  </si>
  <si>
    <t>4930917970</t>
  </si>
  <si>
    <t>4348571403</t>
  </si>
  <si>
    <t>4930914586</t>
  </si>
  <si>
    <t>4348548579</t>
  </si>
  <si>
    <t>4930918051</t>
  </si>
  <si>
    <t>4348573369</t>
  </si>
  <si>
    <t>4930918155</t>
  </si>
  <si>
    <t>4348576134</t>
  </si>
  <si>
    <t>4930918180</t>
  </si>
  <si>
    <t>4348576764</t>
  </si>
  <si>
    <t>4930918208</t>
  </si>
  <si>
    <t>4348578426</t>
  </si>
  <si>
    <t>4930918216</t>
  </si>
  <si>
    <t>4348578468</t>
  </si>
  <si>
    <t>4930918213</t>
  </si>
  <si>
    <t>4348578454</t>
  </si>
  <si>
    <t>4930918181</t>
  </si>
  <si>
    <t>4348576768</t>
  </si>
  <si>
    <t>4930918042</t>
  </si>
  <si>
    <t>4348573302</t>
  </si>
  <si>
    <t>4930918049</t>
  </si>
  <si>
    <t>4348573354</t>
  </si>
  <si>
    <t>4930918034</t>
  </si>
  <si>
    <t>4348572931</t>
  </si>
  <si>
    <t>4930917973</t>
  </si>
  <si>
    <t>4348571434</t>
  </si>
  <si>
    <t>4930917978</t>
  </si>
  <si>
    <t>4348571475</t>
  </si>
  <si>
    <t>4930917971</t>
  </si>
  <si>
    <t>4348571410</t>
  </si>
  <si>
    <t>4930914591</t>
  </si>
  <si>
    <t>4348548856</t>
  </si>
  <si>
    <t>4930914604</t>
  </si>
  <si>
    <t>4348549522</t>
  </si>
  <si>
    <t>4930918157</t>
  </si>
  <si>
    <t>4348576142</t>
  </si>
  <si>
    <t>4930918183</t>
  </si>
  <si>
    <t>4348576778</t>
  </si>
  <si>
    <t>4930918206</t>
  </si>
  <si>
    <t>4348578420</t>
  </si>
  <si>
    <t>4930918221</t>
  </si>
  <si>
    <t>4348578490</t>
  </si>
  <si>
    <t>4930918188</t>
  </si>
  <si>
    <t>4348576985</t>
  </si>
  <si>
    <t>4930918220</t>
  </si>
  <si>
    <t>4348578482</t>
  </si>
  <si>
    <t>4930918184</t>
  </si>
  <si>
    <t>4348576783</t>
  </si>
  <si>
    <t>4930918027</t>
  </si>
  <si>
    <t>4348572883</t>
  </si>
  <si>
    <t>4930918160</t>
  </si>
  <si>
    <t>4348576168</t>
  </si>
  <si>
    <t>4930914607</t>
  </si>
  <si>
    <t>4348549538</t>
  </si>
  <si>
    <t>4930918056</t>
  </si>
  <si>
    <t>4348573574</t>
  </si>
  <si>
    <t>4930918043</t>
  </si>
  <si>
    <t>4348573328</t>
  </si>
  <si>
    <t>4930918055</t>
  </si>
  <si>
    <t>4348573549</t>
  </si>
  <si>
    <t>4930918058</t>
  </si>
  <si>
    <t>4348573597</t>
  </si>
  <si>
    <t>4930918241</t>
  </si>
  <si>
    <t>4348580365</t>
  </si>
  <si>
    <t>40039322</t>
  </si>
  <si>
    <t>4930918159</t>
  </si>
  <si>
    <t>4348576163</t>
  </si>
  <si>
    <t>4930918286</t>
  </si>
  <si>
    <t>4348590051</t>
  </si>
  <si>
    <t>4930918288</t>
  </si>
  <si>
    <t>4348591800</t>
  </si>
  <si>
    <t>4930918280</t>
  </si>
  <si>
    <t>4348587983</t>
  </si>
  <si>
    <t>4930918270</t>
  </si>
  <si>
    <t>4348584634</t>
  </si>
  <si>
    <t>40030922</t>
  </si>
  <si>
    <t>4930917966</t>
  </si>
  <si>
    <t>4348571374</t>
  </si>
  <si>
    <t>4930918276</t>
  </si>
  <si>
    <t>4348586318</t>
  </si>
  <si>
    <t>4930918287</t>
  </si>
  <si>
    <t>4348590055</t>
  </si>
  <si>
    <t>4930917918</t>
  </si>
  <si>
    <t>4348566484</t>
  </si>
  <si>
    <t>4930917778</t>
  </si>
  <si>
    <t>4348563528</t>
  </si>
  <si>
    <t>4930914563</t>
  </si>
  <si>
    <t>4348546045</t>
  </si>
  <si>
    <t>4930914696</t>
  </si>
  <si>
    <t>4348558653</t>
  </si>
  <si>
    <t>4930914699</t>
  </si>
  <si>
    <t>4348558753</t>
  </si>
  <si>
    <t>4930914701</t>
  </si>
  <si>
    <t>4348559415</t>
  </si>
  <si>
    <t>4930914694</t>
  </si>
  <si>
    <t>4348558631</t>
  </si>
  <si>
    <t>4930914702</t>
  </si>
  <si>
    <t>4348559423</t>
  </si>
  <si>
    <t>4930914698</t>
  </si>
  <si>
    <t>4348558741</t>
  </si>
  <si>
    <t>4930914695</t>
  </si>
  <si>
    <t>4348558641</t>
  </si>
  <si>
    <t>4930914636</t>
  </si>
  <si>
    <t>4348550969</t>
  </si>
  <si>
    <t>4930914635</t>
  </si>
  <si>
    <t>4348550959</t>
  </si>
  <si>
    <t>G00X0EA</t>
  </si>
  <si>
    <t>4930918054</t>
  </si>
  <si>
    <t>4348573523</t>
  </si>
  <si>
    <t>4930918039</t>
  </si>
  <si>
    <t>4348573259</t>
  </si>
  <si>
    <t>4930917786</t>
  </si>
  <si>
    <t>4348563828</t>
  </si>
  <si>
    <t>Qualidade irá alterar para BSK 9.</t>
  </si>
  <si>
    <t>G012Y1</t>
  </si>
  <si>
    <t>G011NFA</t>
  </si>
  <si>
    <t>inclusão do local de fabricacao do API e do produto acabado (não estava no OP dos projetos, o custo deve ficar em farmatech, não deve ser transferido para o marketin). Precisamos colocar o pedido das amostras (200 unds). Lucimara ta negociando o produto com alguns centros oncologicos.</t>
  </si>
  <si>
    <t>4930921404</t>
  </si>
  <si>
    <t>4348606470</t>
  </si>
  <si>
    <t>40016797</t>
  </si>
  <si>
    <t>4930921391</t>
  </si>
  <si>
    <t>4348604978</t>
  </si>
  <si>
    <t>40057472</t>
  </si>
  <si>
    <t>4930928166</t>
  </si>
  <si>
    <t>4348665270</t>
  </si>
  <si>
    <t>40037189</t>
  </si>
  <si>
    <t>4930925455</t>
  </si>
  <si>
    <t>4348630643</t>
  </si>
  <si>
    <t>40013742</t>
  </si>
  <si>
    <t>4930925101</t>
  </si>
  <si>
    <t>4348616885</t>
  </si>
  <si>
    <t>40061658</t>
  </si>
  <si>
    <t>4930925095</t>
  </si>
  <si>
    <t>4348616706</t>
  </si>
  <si>
    <t>40013535</t>
  </si>
  <si>
    <t>4930925410</t>
  </si>
  <si>
    <t>4348626288</t>
  </si>
  <si>
    <t>4930921443</t>
  </si>
  <si>
    <t>4348610828</t>
  </si>
  <si>
    <t>40038339</t>
  </si>
  <si>
    <t>4930921407</t>
  </si>
  <si>
    <t>4348606970</t>
  </si>
  <si>
    <t>40016727</t>
  </si>
  <si>
    <t>4930928167</t>
  </si>
  <si>
    <t>4348665274</t>
  </si>
  <si>
    <t>4930921439</t>
  </si>
  <si>
    <t>4348610803</t>
  </si>
  <si>
    <t>40061675</t>
  </si>
  <si>
    <t>4930921423</t>
  </si>
  <si>
    <t>4348608746</t>
  </si>
  <si>
    <t>4930921420</t>
  </si>
  <si>
    <t>4348608711</t>
  </si>
  <si>
    <t>40026836</t>
  </si>
  <si>
    <t>4930921441</t>
  </si>
  <si>
    <t>4348610819</t>
  </si>
  <si>
    <t>40051167</t>
  </si>
  <si>
    <t>4930928161</t>
  </si>
  <si>
    <t>4348659843</t>
  </si>
  <si>
    <t>40012278</t>
  </si>
  <si>
    <t>4930925398</t>
  </si>
  <si>
    <t>4348624453</t>
  </si>
  <si>
    <t>40040587</t>
  </si>
  <si>
    <t>4930921403</t>
  </si>
  <si>
    <t>4348606462</t>
  </si>
  <si>
    <t>4930921390</t>
  </si>
  <si>
    <t>4348604955</t>
  </si>
  <si>
    <t>4930921388</t>
  </si>
  <si>
    <t>4348604687</t>
  </si>
  <si>
    <t>4930921444</t>
  </si>
  <si>
    <t>4348610831</t>
  </si>
  <si>
    <t>40050438</t>
  </si>
  <si>
    <t>4930925021</t>
  </si>
  <si>
    <t>4348606967</t>
  </si>
  <si>
    <t>40016784</t>
  </si>
  <si>
    <t>4930925050</t>
  </si>
  <si>
    <t>4348610812</t>
  </si>
  <si>
    <t>4930925052</t>
  </si>
  <si>
    <t>4348610835</t>
  </si>
  <si>
    <t>4930925022</t>
  </si>
  <si>
    <t>4348608705</t>
  </si>
  <si>
    <t>4930931122</t>
  </si>
  <si>
    <t>4348659847</t>
  </si>
  <si>
    <t>4930931133</t>
  </si>
  <si>
    <t>4348664290</t>
  </si>
  <si>
    <t>4930925051</t>
  </si>
  <si>
    <t>4348610813</t>
  </si>
  <si>
    <t>4930925018</t>
  </si>
  <si>
    <t>4348604678</t>
  </si>
  <si>
    <t>4930928164</t>
  </si>
  <si>
    <t>4348664282</t>
  </si>
  <si>
    <t>4930921424</t>
  </si>
  <si>
    <t>4348608747</t>
  </si>
  <si>
    <t>4930921421</t>
  </si>
  <si>
    <t>4348608712</t>
  </si>
  <si>
    <t>4930921442</t>
  </si>
  <si>
    <t>4348610820</t>
  </si>
  <si>
    <t>4930921438</t>
  </si>
  <si>
    <t>4348610797</t>
  </si>
  <si>
    <t>4930921387</t>
  </si>
  <si>
    <t>4348604682</t>
  </si>
  <si>
    <t>4930921440</t>
  </si>
  <si>
    <t>4348610804</t>
  </si>
  <si>
    <t>4930921422</t>
  </si>
  <si>
    <t>4348608718</t>
  </si>
  <si>
    <t>40058428</t>
  </si>
  <si>
    <t>4930925454</t>
  </si>
  <si>
    <t>4348630640</t>
  </si>
  <si>
    <t>4930927733</t>
  </si>
  <si>
    <t>4348643891</t>
  </si>
  <si>
    <t>40062937</t>
  </si>
  <si>
    <t>4930928025</t>
  </si>
  <si>
    <t>4348651889</t>
  </si>
  <si>
    <t>40062897</t>
  </si>
  <si>
    <t>4930928163</t>
  </si>
  <si>
    <t>4348662961</t>
  </si>
  <si>
    <t>4930928162</t>
  </si>
  <si>
    <t>4348661183</t>
  </si>
  <si>
    <t>40013381</t>
  </si>
  <si>
    <t>4930928165</t>
  </si>
  <si>
    <t>4348664445</t>
  </si>
  <si>
    <t>4930928123</t>
  </si>
  <si>
    <t>4348655513</t>
  </si>
  <si>
    <t>40012550</t>
  </si>
  <si>
    <t>4930925099</t>
  </si>
  <si>
    <t>4348616844</t>
  </si>
  <si>
    <t>40013764</t>
  </si>
  <si>
    <t>4930925514</t>
  </si>
  <si>
    <t>4348639885</t>
  </si>
  <si>
    <t>4930925487</t>
  </si>
  <si>
    <t>4348637061</t>
  </si>
  <si>
    <t>4930925525</t>
  </si>
  <si>
    <t>4348641511</t>
  </si>
  <si>
    <t>40012070</t>
  </si>
  <si>
    <t>4930925527</t>
  </si>
  <si>
    <t>4348641663</t>
  </si>
  <si>
    <t>4930921411</t>
  </si>
  <si>
    <t>4348606983</t>
  </si>
  <si>
    <t>4930921386</t>
  </si>
  <si>
    <t>4348604670</t>
  </si>
  <si>
    <t>40012563</t>
  </si>
  <si>
    <t>4930927736</t>
  </si>
  <si>
    <t>4348645746</t>
  </si>
  <si>
    <t>40040704</t>
  </si>
  <si>
    <t>4930928122</t>
  </si>
  <si>
    <t>4348655500</t>
  </si>
  <si>
    <t>4930928100</t>
  </si>
  <si>
    <t>4348654790</t>
  </si>
  <si>
    <t>BA072283</t>
  </si>
  <si>
    <t>forecast mês vigente + forecast mês seguinte</t>
  </si>
  <si>
    <t>estoque na política</t>
  </si>
  <si>
    <t>forecast mês vigente</t>
  </si>
  <si>
    <t>forecast mês vigente (30 dias = 1 mês) = 1/3 mês seguinte (10 dias = 1/3 do mês)</t>
  </si>
  <si>
    <t>forecast mês vigente (30 dias = 1 mês) = 1/2 mês seguinte (15 dias = 1/2 do 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</si>
</sst>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[$-416]mmm\-yy;@"/>
    <numFmt numFmtId="167" formatCode="dd/mm/yy;@"/>
    <numFmt numFmtId="168" formatCode="[$-416]d\-mmm;@"/>
    <numFmt numFmtId="169" formatCode="_-* #,##0.0_-;\-* #,##0.0_-;_-* &quot;-&quot;??_-;_-@_-"/>
    <numFmt numFmtId="170" formatCode="0.0"/>
    <numFmt numFmtId="171" formatCode="_-&quot;R$&quot;* #,##0_-;\-&quot;R$&quot;* #,##0_-;_-&quot;R$&quot;* &quot;-&quot;??_-;_-@_-"/>
    <numFmt numFmtId="172" formatCode="_-* #,##0.0_-;\-* #,##0.0_-;_-* &quot;-&quot;?_-;_-@_-"/>
  </numFmts>
  <fonts count="5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rgb="FFFFFF00"/>
      <name val="Arial"/>
      <family val="2"/>
    </font>
    <font>
      <i/>
      <sz val="10"/>
      <color rgb="FF7030A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name val="Merck"/>
      <family val="1"/>
    </font>
    <font>
      <b/>
      <sz val="10"/>
      <color rgb="FFFF0000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A3F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E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164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2" fillId="0" borderId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41" borderId="0" applyNumberFormat="0" applyBorder="0" applyAlignment="0" applyProtection="0"/>
    <xf numFmtId="0" fontId="12" fillId="45" borderId="0" applyNumberFormat="0" applyBorder="0" applyAlignment="0" applyProtection="0"/>
    <xf numFmtId="0" fontId="34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4" borderId="0" applyNumberFormat="0" applyBorder="0" applyAlignment="0" applyProtection="0"/>
    <xf numFmtId="0" fontId="34" fillId="38" borderId="0" applyNumberFormat="0" applyBorder="0" applyAlignment="0" applyProtection="0"/>
    <xf numFmtId="0" fontId="34" fillId="42" borderId="0" applyNumberFormat="0" applyBorder="0" applyAlignment="0" applyProtection="0"/>
    <xf numFmtId="0" fontId="27" fillId="16" borderId="0" applyNumberFormat="0" applyBorder="0" applyAlignment="0" applyProtection="0"/>
    <xf numFmtId="0" fontId="31" fillId="19" borderId="23" applyNumberFormat="0" applyAlignment="0" applyProtection="0"/>
    <xf numFmtId="0" fontId="1" fillId="20" borderId="26" applyNumberFormat="0" applyAlignment="0" applyProtection="0"/>
    <xf numFmtId="0" fontId="33" fillId="0" borderId="0" applyNumberFormat="0" applyFill="0" applyBorder="0" applyAlignment="0" applyProtection="0"/>
    <xf numFmtId="0" fontId="26" fillId="15" borderId="0" applyNumberFormat="0" applyBorder="0" applyAlignment="0" applyProtection="0"/>
    <xf numFmtId="0" fontId="23" fillId="0" borderId="20" applyNumberFormat="0" applyFill="0" applyAlignment="0" applyProtection="0"/>
    <xf numFmtId="0" fontId="24" fillId="0" borderId="21" applyNumberFormat="0" applyFill="0" applyAlignment="0" applyProtection="0"/>
    <xf numFmtId="0" fontId="25" fillId="0" borderId="22" applyNumberFormat="0" applyFill="0" applyAlignment="0" applyProtection="0"/>
    <xf numFmtId="0" fontId="25" fillId="0" borderId="0" applyNumberFormat="0" applyFill="0" applyBorder="0" applyAlignment="0" applyProtection="0"/>
    <xf numFmtId="0" fontId="29" fillId="18" borderId="23" applyNumberFormat="0" applyAlignment="0" applyProtection="0"/>
    <xf numFmtId="0" fontId="32" fillId="0" borderId="25" applyNumberFormat="0" applyFill="0" applyAlignment="0" applyProtection="0"/>
    <xf numFmtId="0" fontId="28" fillId="17" borderId="0" applyNumberFormat="0" applyBorder="0" applyAlignment="0" applyProtection="0"/>
    <xf numFmtId="0" fontId="12" fillId="21" borderId="27" applyNumberFormat="0" applyFont="0" applyAlignment="0" applyProtection="0"/>
    <xf numFmtId="0" fontId="30" fillId="19" borderId="24" applyNumberFormat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2" fillId="0" borderId="0"/>
    <xf numFmtId="164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</cellStyleXfs>
  <cellXfs count="3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5" fontId="6" fillId="5" borderId="0" xfId="0" applyNumberFormat="1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1" fontId="4" fillId="5" borderId="0" xfId="0" applyNumberFormat="1" applyFont="1" applyFill="1" applyBorder="1" applyAlignment="1">
      <alignment horizontal="center"/>
    </xf>
    <xf numFmtId="14" fontId="8" fillId="5" borderId="0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1" fontId="9" fillId="5" borderId="0" xfId="0" applyNumberFormat="1" applyFont="1" applyFill="1" applyBorder="1" applyAlignment="1">
      <alignment horizontal="center"/>
    </xf>
    <xf numFmtId="0" fontId="3" fillId="7" borderId="0" xfId="0" applyFont="1" applyFill="1"/>
    <xf numFmtId="16" fontId="2" fillId="0" borderId="0" xfId="0" applyNumberFormat="1" applyFont="1"/>
    <xf numFmtId="0" fontId="6" fillId="0" borderId="0" xfId="0" applyFont="1" applyAlignment="1">
      <alignment horizontal="left" vertical="center"/>
    </xf>
    <xf numFmtId="0" fontId="6" fillId="5" borderId="0" xfId="0" applyFont="1" applyFill="1" applyBorder="1" applyAlignment="1">
      <alignment horizontal="center" vertical="center"/>
    </xf>
    <xf numFmtId="0" fontId="11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8" fontId="7" fillId="5" borderId="6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8" fontId="8" fillId="5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center"/>
    </xf>
    <xf numFmtId="165" fontId="3" fillId="2" borderId="7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168" fontId="6" fillId="5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2" fillId="0" borderId="0" xfId="1" applyNumberFormat="1" applyFont="1"/>
    <xf numFmtId="0" fontId="14" fillId="0" borderId="0" xfId="0" applyFont="1" applyBorder="1" applyAlignment="1">
      <alignment horizontal="right" vertical="center"/>
    </xf>
    <xf numFmtId="167" fontId="3" fillId="7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17" fontId="2" fillId="5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9" fontId="2" fillId="0" borderId="0" xfId="2" applyFont="1"/>
    <xf numFmtId="0" fontId="13" fillId="0" borderId="0" xfId="0" applyFont="1"/>
    <xf numFmtId="165" fontId="2" fillId="0" borderId="0" xfId="1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70" fontId="4" fillId="5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9" fontId="2" fillId="0" borderId="0" xfId="2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4" fillId="8" borderId="0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17" fontId="6" fillId="5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0" xfId="0" applyNumberFormat="1" applyFont="1"/>
    <xf numFmtId="0" fontId="8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70" fontId="9" fillId="5" borderId="0" xfId="0" applyNumberFormat="1" applyFont="1" applyFill="1" applyBorder="1" applyAlignment="1">
      <alignment horizontal="center"/>
    </xf>
    <xf numFmtId="170" fontId="9" fillId="5" borderId="0" xfId="0" applyNumberFormat="1" applyFont="1" applyFill="1" applyBorder="1" applyAlignment="1">
      <alignment horizontal="center" vertical="center"/>
    </xf>
    <xf numFmtId="1" fontId="9" fillId="5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Border="1" applyAlignment="1">
      <alignment horizontal="center"/>
    </xf>
    <xf numFmtId="164" fontId="2" fillId="0" borderId="0" xfId="5" applyFont="1"/>
    <xf numFmtId="165" fontId="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" fontId="1" fillId="9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71" fontId="0" fillId="0" borderId="14" xfId="5" applyNumberFormat="1" applyFont="1" applyBorder="1" applyAlignment="1">
      <alignment horizontal="center" vertical="center"/>
    </xf>
    <xf numFmtId="165" fontId="1" fillId="6" borderId="14" xfId="1" applyNumberFormat="1" applyFont="1" applyFill="1" applyBorder="1"/>
    <xf numFmtId="0" fontId="1" fillId="9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71" fontId="16" fillId="6" borderId="14" xfId="0" applyNumberFormat="1" applyFont="1" applyFill="1" applyBorder="1"/>
    <xf numFmtId="169" fontId="2" fillId="0" borderId="0" xfId="1" applyNumberFormat="1" applyFont="1"/>
    <xf numFmtId="1" fontId="9" fillId="0" borderId="0" xfId="0" applyNumberFormat="1" applyFont="1" applyFill="1" applyBorder="1" applyAlignment="1">
      <alignment horizontal="center"/>
    </xf>
    <xf numFmtId="0" fontId="4" fillId="11" borderId="6" xfId="1" applyNumberFormat="1" applyFont="1" applyFill="1" applyBorder="1" applyAlignment="1">
      <alignment horizontal="center" vertical="center"/>
    </xf>
    <xf numFmtId="165" fontId="2" fillId="0" borderId="0" xfId="2" applyNumberFormat="1" applyFont="1"/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14" fontId="8" fillId="5" borderId="0" xfId="0" applyNumberFormat="1" applyFont="1" applyFill="1" applyBorder="1" applyAlignment="1">
      <alignment horizontal="center"/>
    </xf>
    <xf numFmtId="0" fontId="8" fillId="5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1" fontId="0" fillId="0" borderId="0" xfId="0" applyNumberFormat="1"/>
    <xf numFmtId="17" fontId="1" fillId="9" borderId="17" xfId="0" applyNumberFormat="1" applyFont="1" applyFill="1" applyBorder="1" applyAlignment="1">
      <alignment horizontal="center" vertical="center"/>
    </xf>
    <xf numFmtId="171" fontId="0" fillId="0" borderId="18" xfId="5" applyNumberFormat="1" applyFont="1" applyBorder="1" applyAlignment="1">
      <alignment horizontal="center" vertical="center"/>
    </xf>
    <xf numFmtId="17" fontId="1" fillId="9" borderId="15" xfId="0" applyNumberFormat="1" applyFont="1" applyFill="1" applyBorder="1" applyAlignment="1">
      <alignment horizontal="center" vertical="center"/>
    </xf>
    <xf numFmtId="171" fontId="0" fillId="0" borderId="16" xfId="5" applyNumberFormat="1" applyFont="1" applyBorder="1" applyAlignment="1">
      <alignment horizontal="center" vertical="center"/>
    </xf>
    <xf numFmtId="17" fontId="1" fillId="12" borderId="19" xfId="0" applyNumberFormat="1" applyFont="1" applyFill="1" applyBorder="1" applyAlignment="1">
      <alignment horizontal="center" vertical="center"/>
    </xf>
    <xf numFmtId="171" fontId="0" fillId="12" borderId="19" xfId="5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" fontId="2" fillId="0" borderId="0" xfId="0" applyNumberFormat="1" applyFont="1"/>
    <xf numFmtId="169" fontId="2" fillId="0" borderId="0" xfId="0" applyNumberFormat="1" applyFont="1"/>
    <xf numFmtId="172" fontId="2" fillId="0" borderId="0" xfId="0" applyNumberFormat="1" applyFont="1"/>
    <xf numFmtId="0" fontId="0" fillId="0" borderId="0" xfId="0" applyAlignment="1">
      <alignment wrapText="1"/>
    </xf>
    <xf numFmtId="14" fontId="0" fillId="0" borderId="10" xfId="0" applyNumberForma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71" fontId="0" fillId="0" borderId="10" xfId="5" applyNumberFormat="1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5" fontId="0" fillId="13" borderId="14" xfId="1" applyNumberFormat="1" applyFont="1" applyFill="1" applyBorder="1" applyAlignment="1">
      <alignment horizontal="center" vertical="center"/>
    </xf>
    <xf numFmtId="171" fontId="2" fillId="0" borderId="0" xfId="5" applyNumberFormat="1" applyFont="1"/>
    <xf numFmtId="171" fontId="0" fillId="13" borderId="19" xfId="5" applyNumberFormat="1" applyFont="1" applyFill="1" applyBorder="1" applyAlignment="1">
      <alignment horizontal="center" vertical="center"/>
    </xf>
    <xf numFmtId="171" fontId="1" fillId="6" borderId="0" xfId="5" applyNumberFormat="1" applyFont="1" applyFill="1"/>
    <xf numFmtId="165" fontId="1" fillId="6" borderId="0" xfId="1" applyNumberFormat="1" applyFont="1" applyFill="1"/>
    <xf numFmtId="9" fontId="2" fillId="0" borderId="0" xfId="2" applyFont="1" applyAlignment="1">
      <alignment horizontal="center" vertical="center" wrapText="1"/>
    </xf>
    <xf numFmtId="165" fontId="6" fillId="5" borderId="6" xfId="1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7" fontId="2" fillId="0" borderId="10" xfId="0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71" fontId="2" fillId="0" borderId="10" xfId="5" applyNumberFormat="1" applyFont="1" applyBorder="1" applyAlignment="1">
      <alignment horizontal="center" vertical="center"/>
    </xf>
    <xf numFmtId="165" fontId="21" fillId="0" borderId="14" xfId="1" applyNumberFormat="1" applyFont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6" fillId="10" borderId="0" xfId="0" applyFont="1" applyFill="1" applyAlignment="1">
      <alignment horizontal="center" vertical="center" wrapText="1"/>
    </xf>
    <xf numFmtId="0" fontId="37" fillId="0" borderId="0" xfId="0" applyFont="1" applyAlignment="1" applyProtection="1">
      <alignment horizontal="left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39" fillId="0" borderId="14" xfId="1" applyNumberFormat="1" applyFont="1" applyBorder="1" applyAlignment="1">
      <alignment horizontal="center" vertical="center"/>
    </xf>
    <xf numFmtId="0" fontId="0" fillId="0" borderId="0" xfId="0" applyFill="1"/>
    <xf numFmtId="0" fontId="40" fillId="0" borderId="0" xfId="0" applyFont="1"/>
    <xf numFmtId="165" fontId="2" fillId="14" borderId="10" xfId="1" applyNumberFormat="1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3" borderId="0" xfId="0" applyFont="1" applyFill="1"/>
    <xf numFmtId="165" fontId="41" fillId="3" borderId="0" xfId="1" applyNumberFormat="1" applyFont="1" applyFill="1"/>
    <xf numFmtId="165" fontId="19" fillId="3" borderId="14" xfId="1" applyNumberFormat="1" applyFont="1" applyFill="1" applyBorder="1"/>
    <xf numFmtId="0" fontId="41" fillId="3" borderId="0" xfId="0" applyFont="1" applyFill="1" applyAlignment="1">
      <alignment horizontal="center" vertical="center"/>
    </xf>
    <xf numFmtId="171" fontId="41" fillId="3" borderId="0" xfId="0" applyNumberFormat="1" applyFont="1" applyFill="1"/>
    <xf numFmtId="168" fontId="6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9" fillId="0" borderId="14" xfId="0" applyFont="1" applyFill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" fillId="46" borderId="0" xfId="0" applyFont="1" applyFill="1"/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70" fontId="4" fillId="0" borderId="0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vertical="center"/>
    </xf>
    <xf numFmtId="1" fontId="2" fillId="0" borderId="0" xfId="0" applyNumberFormat="1" applyFont="1" applyFill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43" fontId="0" fillId="0" borderId="0" xfId="1" applyFont="1"/>
    <xf numFmtId="14" fontId="6" fillId="0" borderId="0" xfId="0" applyNumberFormat="1" applyFont="1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8" fontId="8" fillId="5" borderId="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/>
    </xf>
    <xf numFmtId="168" fontId="8" fillId="5" borderId="8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165" fontId="10" fillId="0" borderId="0" xfId="0" applyNumberFormat="1" applyFont="1" applyFill="1" applyBorder="1" applyAlignment="1">
      <alignment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5" fontId="2" fillId="50" borderId="30" xfId="0" applyNumberFormat="1" applyFont="1" applyFill="1" applyBorder="1" applyAlignment="1">
      <alignment horizontal="center" vertical="center"/>
    </xf>
    <xf numFmtId="165" fontId="2" fillId="50" borderId="30" xfId="0" applyNumberFormat="1" applyFont="1" applyFill="1" applyBorder="1"/>
    <xf numFmtId="165" fontId="2" fillId="50" borderId="30" xfId="1" applyNumberFormat="1" applyFont="1" applyFill="1" applyBorder="1"/>
    <xf numFmtId="9" fontId="2" fillId="50" borderId="30" xfId="2" applyFont="1" applyFill="1" applyBorder="1"/>
    <xf numFmtId="165" fontId="2" fillId="50" borderId="30" xfId="2" applyNumberFormat="1" applyFont="1" applyFill="1" applyBorder="1"/>
    <xf numFmtId="166" fontId="2" fillId="51" borderId="30" xfId="0" applyNumberFormat="1" applyFont="1" applyFill="1" applyBorder="1" applyAlignment="1">
      <alignment horizontal="center" vertical="center"/>
    </xf>
    <xf numFmtId="17" fontId="1" fillId="46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8" fontId="6" fillId="5" borderId="8" xfId="0" applyNumberFormat="1" applyFont="1" applyFill="1" applyBorder="1" applyAlignment="1">
      <alignment horizontal="center" vertical="center"/>
    </xf>
    <xf numFmtId="3" fontId="18" fillId="6" borderId="10" xfId="0" applyNumberFormat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65" fontId="6" fillId="5" borderId="8" xfId="1" applyNumberFormat="1" applyFont="1" applyFill="1" applyBorder="1" applyAlignment="1">
      <alignment horizontal="center" vertical="center"/>
    </xf>
    <xf numFmtId="165" fontId="2" fillId="50" borderId="30" xfId="1" applyNumberFormat="1" applyFont="1" applyFill="1" applyBorder="1" applyAlignment="1">
      <alignment horizontal="center" vertical="center"/>
    </xf>
    <xf numFmtId="16" fontId="6" fillId="5" borderId="0" xfId="0" applyNumberFormat="1" applyFont="1" applyFill="1" applyBorder="1" applyAlignment="1">
      <alignment horizontal="center" vertical="center"/>
    </xf>
    <xf numFmtId="16" fontId="6" fillId="5" borderId="6" xfId="0" applyNumberFormat="1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/>
    </xf>
    <xf numFmtId="16" fontId="6" fillId="0" borderId="7" xfId="0" applyNumberFormat="1" applyFont="1" applyBorder="1" applyAlignment="1">
      <alignment horizontal="center"/>
    </xf>
    <xf numFmtId="16" fontId="6" fillId="5" borderId="8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3" fontId="38" fillId="47" borderId="0" xfId="0" applyNumberFormat="1" applyFont="1" applyFill="1" applyBorder="1" applyAlignment="1" applyProtection="1">
      <alignment horizontal="right" vertical="center"/>
      <protection locked="0"/>
    </xf>
    <xf numFmtId="3" fontId="37" fillId="47" borderId="0" xfId="0" applyNumberFormat="1" applyFont="1" applyFill="1" applyBorder="1" applyAlignment="1" applyProtection="1">
      <alignment horizontal="right" vertical="center"/>
      <protection locked="0"/>
    </xf>
    <xf numFmtId="0" fontId="37" fillId="0" borderId="0" xfId="0" applyFont="1" applyFill="1" applyBorder="1" applyAlignment="1" applyProtection="1">
      <alignment horizontal="left" vertical="center"/>
      <protection locked="0"/>
    </xf>
    <xf numFmtId="3" fontId="38" fillId="47" borderId="28" xfId="0" applyNumberFormat="1" applyFont="1" applyFill="1" applyBorder="1" applyAlignment="1" applyProtection="1">
      <alignment horizontal="right" vertical="center"/>
      <protection locked="0"/>
    </xf>
    <xf numFmtId="165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5" borderId="0" xfId="0" applyNumberFormat="1" applyFont="1" applyFill="1" applyBorder="1" applyAlignment="1">
      <alignment horizontal="center"/>
    </xf>
    <xf numFmtId="16" fontId="8" fillId="0" borderId="0" xfId="0" applyNumberFormat="1" applyFont="1" applyAlignment="1">
      <alignment horizontal="center"/>
    </xf>
    <xf numFmtId="16" fontId="8" fillId="5" borderId="6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/>
    </xf>
    <xf numFmtId="16" fontId="8" fillId="0" borderId="7" xfId="0" applyNumberFormat="1" applyFont="1" applyBorder="1" applyAlignment="1">
      <alignment horizontal="center"/>
    </xf>
    <xf numFmtId="16" fontId="8" fillId="5" borderId="8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7" fontId="42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8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8" fillId="5" borderId="7" xfId="0" applyNumberFormat="1" applyFont="1" applyFill="1" applyBorder="1" applyAlignment="1">
      <alignment horizontal="center" vertical="center"/>
    </xf>
    <xf numFmtId="170" fontId="8" fillId="5" borderId="7" xfId="0" applyNumberFormat="1" applyFont="1" applyFill="1" applyBorder="1" applyAlignment="1">
      <alignment horizontal="center"/>
    </xf>
    <xf numFmtId="14" fontId="8" fillId="5" borderId="7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Alignment="1">
      <alignment horizontal="center" vertical="center"/>
    </xf>
    <xf numFmtId="9" fontId="13" fillId="0" borderId="0" xfId="2" applyFont="1" applyFill="1" applyBorder="1" applyAlignment="1">
      <alignment vertical="center"/>
    </xf>
    <xf numFmtId="1" fontId="0" fillId="0" borderId="10" xfId="1" applyNumberFormat="1" applyFont="1" applyBorder="1" applyAlignment="1">
      <alignment horizontal="center" vertical="center"/>
    </xf>
    <xf numFmtId="165" fontId="2" fillId="0" borderId="0" xfId="2" applyNumberFormat="1" applyFont="1" applyAlignment="1">
      <alignment horizontal="center" vertical="center" wrapText="1"/>
    </xf>
    <xf numFmtId="0" fontId="14" fillId="0" borderId="7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1" fontId="14" fillId="0" borderId="6" xfId="0" applyNumberFormat="1" applyFont="1" applyBorder="1" applyAlignment="1">
      <alignment horizontal="right" vertical="center"/>
    </xf>
    <xf numFmtId="16" fontId="2" fillId="0" borderId="0" xfId="0" applyNumberFormat="1" applyFont="1" applyFill="1"/>
    <xf numFmtId="165" fontId="13" fillId="0" borderId="0" xfId="0" applyNumberFormat="1" applyFont="1" applyFill="1" applyBorder="1" applyAlignment="1">
      <alignment vertical="center"/>
    </xf>
    <xf numFmtId="9" fontId="9" fillId="0" borderId="0" xfId="2" applyFont="1" applyFill="1" applyBorder="1" applyAlignment="1">
      <alignment vertical="center"/>
    </xf>
    <xf numFmtId="9" fontId="2" fillId="50" borderId="30" xfId="2" applyNumberFormat="1" applyFont="1" applyFill="1" applyBorder="1"/>
    <xf numFmtId="165" fontId="13" fillId="0" borderId="0" xfId="1" applyNumberFormat="1" applyFont="1" applyFill="1" applyBorder="1" applyAlignment="1">
      <alignment vertical="center"/>
    </xf>
    <xf numFmtId="43" fontId="2" fillId="0" borderId="0" xfId="1" applyFont="1"/>
    <xf numFmtId="0" fontId="6" fillId="0" borderId="0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6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13" fillId="0" borderId="0" xfId="2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1" fontId="6" fillId="0" borderId="0" xfId="0" applyNumberFormat="1" applyFont="1" applyFill="1" applyAlignment="1">
      <alignment horizontal="center"/>
    </xf>
    <xf numFmtId="9" fontId="43" fillId="0" borderId="0" xfId="2" applyFont="1"/>
    <xf numFmtId="0" fontId="45" fillId="0" borderId="10" xfId="0" applyFont="1" applyBorder="1" applyAlignment="1">
      <alignment horizontal="center" vertical="center"/>
    </xf>
    <xf numFmtId="165" fontId="46" fillId="0" borderId="10" xfId="1" applyNumberFormat="1" applyFont="1" applyBorder="1" applyAlignment="1">
      <alignment horizontal="center" vertical="center"/>
    </xf>
    <xf numFmtId="9" fontId="47" fillId="0" borderId="10" xfId="2" applyFont="1" applyBorder="1" applyAlignment="1">
      <alignment horizontal="center" vertical="center"/>
    </xf>
    <xf numFmtId="165" fontId="48" fillId="0" borderId="10" xfId="1" applyNumberFormat="1" applyFont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44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44" fillId="52" borderId="10" xfId="0" applyFont="1" applyFill="1" applyBorder="1" applyAlignment="1">
      <alignment horizontal="center" vertical="center" wrapText="1"/>
    </xf>
    <xf numFmtId="0" fontId="44" fillId="49" borderId="10" xfId="0" applyFont="1" applyFill="1" applyBorder="1" applyAlignment="1">
      <alignment horizontal="center" vertical="center" wrapText="1"/>
    </xf>
    <xf numFmtId="9" fontId="46" fillId="0" borderId="10" xfId="2" applyFont="1" applyBorder="1" applyAlignment="1">
      <alignment horizontal="center" vertical="center"/>
    </xf>
    <xf numFmtId="0" fontId="44" fillId="53" borderId="10" xfId="0" applyFont="1" applyFill="1" applyBorder="1" applyAlignment="1">
      <alignment horizontal="center" vertical="center" wrapText="1"/>
    </xf>
    <xf numFmtId="165" fontId="46" fillId="14" borderId="10" xfId="1" applyNumberFormat="1" applyFont="1" applyFill="1" applyBorder="1" applyAlignment="1">
      <alignment horizontal="center" vertical="center"/>
    </xf>
    <xf numFmtId="165" fontId="48" fillId="54" borderId="10" xfId="1" applyNumberFormat="1" applyFont="1" applyFill="1" applyBorder="1" applyAlignment="1">
      <alignment horizontal="center" vertical="center"/>
    </xf>
    <xf numFmtId="165" fontId="46" fillId="0" borderId="10" xfId="1" applyNumberFormat="1" applyFont="1" applyFill="1" applyBorder="1" applyAlignment="1">
      <alignment horizontal="center" vertical="center"/>
    </xf>
    <xf numFmtId="165" fontId="13" fillId="0" borderId="0" xfId="0" applyNumberFormat="1" applyFont="1"/>
    <xf numFmtId="1" fontId="1" fillId="55" borderId="13" xfId="0" applyNumberFormat="1" applyFont="1" applyFill="1" applyBorder="1" applyAlignment="1">
      <alignment horizontal="center" vertical="center"/>
    </xf>
    <xf numFmtId="0" fontId="2" fillId="48" borderId="10" xfId="0" applyFont="1" applyFill="1" applyBorder="1"/>
    <xf numFmtId="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49" fillId="56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7" fontId="0" fillId="0" borderId="0" xfId="0" applyNumberFormat="1"/>
    <xf numFmtId="165" fontId="0" fillId="0" borderId="10" xfId="1" applyNumberFormat="1" applyFont="1" applyBorder="1" applyAlignment="1">
      <alignment horizontal="center" vertical="center"/>
    </xf>
    <xf numFmtId="43" fontId="13" fillId="0" borderId="0" xfId="1" applyFont="1" applyFill="1" applyBorder="1" applyAlignment="1">
      <alignment vertical="center"/>
    </xf>
    <xf numFmtId="165" fontId="2" fillId="0" borderId="0" xfId="0" applyNumberFormat="1" applyFont="1" applyFill="1"/>
    <xf numFmtId="170" fontId="9" fillId="0" borderId="0" xfId="0" applyNumberFormat="1" applyFont="1" applyFill="1" applyBorder="1" applyAlignment="1">
      <alignment horizontal="center"/>
    </xf>
    <xf numFmtId="165" fontId="6" fillId="0" borderId="0" xfId="1" applyNumberFormat="1" applyFont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65" fontId="13" fillId="50" borderId="30" xfId="0" applyNumberFormat="1" applyFont="1" applyFill="1" applyBorder="1" applyAlignment="1">
      <alignment horizontal="center" vertical="center"/>
    </xf>
    <xf numFmtId="0" fontId="0" fillId="0" borderId="0" xfId="0" applyFont="1"/>
    <xf numFmtId="0" fontId="49" fillId="57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5" fontId="43" fillId="0" borderId="0" xfId="0" applyNumberFormat="1" applyFont="1" applyFill="1" applyBorder="1" applyAlignment="1">
      <alignment vertical="center"/>
    </xf>
    <xf numFmtId="16" fontId="2" fillId="0" borderId="0" xfId="0" applyNumberFormat="1" applyFont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2" fillId="14" borderId="0" xfId="0" applyFont="1" applyFill="1"/>
    <xf numFmtId="9" fontId="0" fillId="0" borderId="0" xfId="2" applyFont="1"/>
    <xf numFmtId="0" fontId="5" fillId="0" borderId="2" xfId="0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165" fontId="6" fillId="0" borderId="6" xfId="1" applyNumberFormat="1" applyFont="1" applyFill="1" applyBorder="1" applyAlignment="1">
      <alignment horizontal="center" vertical="center"/>
    </xf>
    <xf numFmtId="165" fontId="50" fillId="5" borderId="6" xfId="1" applyNumberFormat="1" applyFont="1" applyFill="1" applyBorder="1" applyAlignment="1">
      <alignment horizontal="center" vertical="center"/>
    </xf>
    <xf numFmtId="0" fontId="2" fillId="58" borderId="10" xfId="0" applyFont="1" applyFill="1" applyBorder="1"/>
    <xf numFmtId="4" fontId="2" fillId="58" borderId="10" xfId="0" applyNumberFormat="1" applyFont="1" applyFill="1" applyBorder="1" applyAlignment="1">
      <alignment horizontal="right"/>
    </xf>
    <xf numFmtId="14" fontId="2" fillId="58" borderId="10" xfId="0" applyNumberFormat="1" applyFont="1" applyFill="1" applyBorder="1" applyAlignment="1">
      <alignment horizontal="right"/>
    </xf>
    <xf numFmtId="3" fontId="2" fillId="58" borderId="10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165" fontId="3" fillId="2" borderId="4" xfId="0" applyNumberFormat="1" applyFont="1" applyFill="1" applyBorder="1" applyAlignment="1">
      <alignment horizontal="center" vertical="center" wrapText="1"/>
    </xf>
    <xf numFmtId="165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165" fontId="3" fillId="2" borderId="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2" fillId="14" borderId="5" xfId="0" applyNumberFormat="1" applyFont="1" applyFill="1" applyBorder="1" applyAlignment="1">
      <alignment horizontal="center"/>
    </xf>
    <xf numFmtId="1" fontId="2" fillId="14" borderId="0" xfId="0" applyNumberFormat="1" applyFont="1" applyFill="1" applyAlignment="1">
      <alignment horizontal="center"/>
    </xf>
    <xf numFmtId="1" fontId="2" fillId="14" borderId="6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/>
    </xf>
    <xf numFmtId="0" fontId="18" fillId="9" borderId="32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65" fontId="10" fillId="2" borderId="11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49" fillId="56" borderId="33" xfId="0" applyFont="1" applyFill="1" applyBorder="1" applyAlignment="1">
      <alignment horizontal="center"/>
    </xf>
  </cellXfs>
  <cellStyles count="58">
    <cellStyle name="20% - Accent1" xfId="11" xr:uid="{46634EB3-BB3B-4B3B-8DA7-1751D83D18B9}"/>
    <cellStyle name="20% - Accent2" xfId="12" xr:uid="{D86D94BD-4180-4EBF-B048-96ECC1F012DB}"/>
    <cellStyle name="20% - Accent3" xfId="13" xr:uid="{F3F87183-AE20-4241-A55E-8183874388BF}"/>
    <cellStyle name="20% - Accent4" xfId="14" xr:uid="{F96DB247-9F67-4D58-863B-BE6BD88E3995}"/>
    <cellStyle name="20% - Accent5" xfId="15" xr:uid="{297DFFAB-7F6D-4136-B99D-A3FA4F4A2E43}"/>
    <cellStyle name="20% - Accent6" xfId="16" xr:uid="{30FBCE9B-F5B1-4B1F-BECC-10CF58A9CD87}"/>
    <cellStyle name="40% - Accent1" xfId="17" xr:uid="{96093A6C-BFC1-45A0-85CC-5DB24DA31B86}"/>
    <cellStyle name="40% - Accent2" xfId="18" xr:uid="{720144F1-5C9C-4722-B165-6BC454D6C115}"/>
    <cellStyle name="40% - Accent3" xfId="19" xr:uid="{38C6742C-EA4F-4DCA-AE5F-DD5230C4A7F2}"/>
    <cellStyle name="40% - Accent4" xfId="20" xr:uid="{03AEC8DB-1263-412D-B046-5F1BB2EDAEFC}"/>
    <cellStyle name="40% - Accent5" xfId="21" xr:uid="{50BD029D-3724-4193-9D0B-1A8DACF1F0EC}"/>
    <cellStyle name="40% - Accent6" xfId="22" xr:uid="{25AA5E3D-858C-4BC7-854E-D40B48203CC3}"/>
    <cellStyle name="60% - Accent1" xfId="23" xr:uid="{875BD8AD-3FAE-4FA4-AF28-E732A348D18D}"/>
    <cellStyle name="60% - Accent2" xfId="24" xr:uid="{F66F7059-1CC3-4971-B937-F0BCB2CC12AE}"/>
    <cellStyle name="60% - Accent3" xfId="25" xr:uid="{EA5E2D9C-B888-4706-8D8E-B00EB302466F}"/>
    <cellStyle name="60% - Accent4" xfId="26" xr:uid="{5FA4BFC4-2983-4151-B03E-21B9E2D909BD}"/>
    <cellStyle name="60% - Accent5" xfId="27" xr:uid="{FFA2C343-157C-4844-B425-BBABE2741A21}"/>
    <cellStyle name="60% - Accent6" xfId="28" xr:uid="{F25264E5-379F-4A6A-8C48-284A82CA2261}"/>
    <cellStyle name="Accent1" xfId="29" xr:uid="{3198E508-4677-4E48-A530-7AF1D38A4191}"/>
    <cellStyle name="Accent2" xfId="30" xr:uid="{5E256782-D9D0-40AE-B2CC-1F55E2C1EA25}"/>
    <cellStyle name="Accent3" xfId="31" xr:uid="{22C9D991-FAE6-4636-8B71-6B5377C12FFF}"/>
    <cellStyle name="Accent4" xfId="32" xr:uid="{DD315B1B-3BF5-40D9-9492-F8FE8314A3EA}"/>
    <cellStyle name="Accent5" xfId="33" xr:uid="{26BD83C5-62E1-4490-A711-13FBA72B69D8}"/>
    <cellStyle name="Accent6" xfId="34" xr:uid="{17B34195-46B8-4AC8-BC91-896AB140735E}"/>
    <cellStyle name="Bad" xfId="35" xr:uid="{9D615F8C-F8E7-4F22-AD96-F401C97E6DFA}"/>
    <cellStyle name="Calculation" xfId="36" xr:uid="{33713D98-5D86-431A-89E4-8A2F76E87392}"/>
    <cellStyle name="Check Cell" xfId="37" xr:uid="{F7D841CB-1F14-4B2B-B36D-3C2007B6AF37}"/>
    <cellStyle name="Explanatory Text" xfId="38" xr:uid="{FA788659-51A4-4878-9FC3-F62880749A3D}"/>
    <cellStyle name="Good" xfId="39" xr:uid="{B8CE8A70-6A9F-4936-BA3E-6D34B42FA4A5}"/>
    <cellStyle name="Heading 1" xfId="40" xr:uid="{AACF5E05-04E1-48C7-93D0-D12F70C07ACB}"/>
    <cellStyle name="Heading 2" xfId="41" xr:uid="{C0E47C6A-90A1-41A9-82C2-AB28F0DD78C6}"/>
    <cellStyle name="Heading 3" xfId="42" xr:uid="{022507E9-724B-4AE6-8018-A248F11A52C3}"/>
    <cellStyle name="Heading 4" xfId="43" xr:uid="{24EBD670-92DC-4BAB-9AE8-C9F23BD393C1}"/>
    <cellStyle name="Input" xfId="44" xr:uid="{6D4E02F5-4A51-42F0-BA39-AD7A3977B0D3}"/>
    <cellStyle name="Linked Cell" xfId="45" xr:uid="{1D21664B-81DC-4CF4-9277-BD34E3F92E2E}"/>
    <cellStyle name="Moeda" xfId="5" builtinId="4"/>
    <cellStyle name="Moeda 2" xfId="54" xr:uid="{6B428F49-3D7B-44E5-B552-D6E35E4FAD16}"/>
    <cellStyle name="Moeda 3" xfId="57" xr:uid="{F6FDD5F1-6FAF-4AA8-8859-A344F5022E4B}"/>
    <cellStyle name="Neutral" xfId="46" xr:uid="{5A79C95C-E7A3-4C47-9564-8D6652D4B8A2}"/>
    <cellStyle name="Normal" xfId="0" builtinId="0"/>
    <cellStyle name="Normal 12" xfId="4" xr:uid="{ACE9C23A-C1AA-4B52-9830-7CE4F3D15C28}"/>
    <cellStyle name="Normal 2" xfId="7" xr:uid="{2D261A17-E888-4F94-B4AB-C1151EA1B8D1}"/>
    <cellStyle name="Normal 2 2" xfId="10" xr:uid="{DFE71B1D-0CB9-4B0A-A845-4EE399246AD7}"/>
    <cellStyle name="Normal 3" xfId="51" xr:uid="{7D4FFB71-FB94-4E1D-AFD7-43C32FDC8DC8}"/>
    <cellStyle name="Note" xfId="47" xr:uid="{8F504BAD-94E2-4E41-8338-478FC874D137}"/>
    <cellStyle name="Output" xfId="48" xr:uid="{99869C91-A651-4435-B89A-4C1A408F10A3}"/>
    <cellStyle name="Porcentagem" xfId="2" builtinId="5"/>
    <cellStyle name="Porcentagem 2" xfId="52" xr:uid="{64E142CB-228A-40E5-989E-EB6870F318B1}"/>
    <cellStyle name="Porcentagem 3" xfId="9" xr:uid="{69E83D23-A413-410B-BB01-1411D5F39146}"/>
    <cellStyle name="Standard 2 2" xfId="53" xr:uid="{42E977B2-C276-4791-927B-21E7054D50B2}"/>
    <cellStyle name="Title" xfId="49" xr:uid="{AF5BA15B-3753-4136-8756-4D9FE3321A45}"/>
    <cellStyle name="Vírgula" xfId="1" builtinId="3"/>
    <cellStyle name="Vírgula 2" xfId="3" xr:uid="{00000000-0005-0000-0000-000030000000}"/>
    <cellStyle name="Vírgula 2 2" xfId="6" xr:uid="{1AC4B475-7029-47B6-BFDB-3C0173E78863}"/>
    <cellStyle name="Vírgula 3" xfId="8" xr:uid="{A805166F-C724-4504-A244-EAFC8739AD7F}"/>
    <cellStyle name="Vírgula 4" xfId="56" xr:uid="{D799C235-AC04-4C93-97C2-6349768AA79B}"/>
    <cellStyle name="Vírgula 5" xfId="55" xr:uid="{63911EFE-E173-47AD-8FB7-06D2C797CEEC}"/>
    <cellStyle name="Warning Text" xfId="50" xr:uid="{AE82DCA8-9604-4ADA-A366-803D7A7DB6B5}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0</xdr:row>
          <xdr:rowOff>0</xdr:rowOff>
        </xdr:to>
        <xdr:sp macro="" textlink="">
          <xdr:nvSpPr>
            <xdr:cNvPr id="13313" name="FPMExcelClientSheetOptionstb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0</xdr:row>
          <xdr:rowOff>0</xdr:rowOff>
        </xdr:to>
        <xdr:sp macro="" textlink="">
          <xdr:nvSpPr>
            <xdr:cNvPr id="51201" name="FPMExcelClientSheetOptionstb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5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0</xdr:row>
          <xdr:rowOff>0</xdr:rowOff>
        </xdr:to>
        <xdr:sp macro="" textlink="">
          <xdr:nvSpPr>
            <xdr:cNvPr id="54273" name="FPMExcelClientSheetOptionstb1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00000000-0008-0000-0600-00000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0</xdr:row>
          <xdr:rowOff>0</xdr:rowOff>
        </xdr:to>
        <xdr:sp macro="" textlink="">
          <xdr:nvSpPr>
            <xdr:cNvPr id="55297" name="FPMExcelClientSheetOptionstb1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7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38100</xdr:colOff>
          <xdr:row>0</xdr:row>
          <xdr:rowOff>0</xdr:rowOff>
        </xdr:to>
        <xdr:sp macro="" textlink="">
          <xdr:nvSpPr>
            <xdr:cNvPr id="57345" name="FPMExcelClientSheetOptionstb1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08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25400</xdr:colOff>
          <xdr:row>0</xdr:row>
          <xdr:rowOff>0</xdr:rowOff>
        </xdr:to>
        <xdr:sp macro="" textlink="">
          <xdr:nvSpPr>
            <xdr:cNvPr id="24577" name="FPMExcelClientSheetOptionstb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_SKUPLANNINGPARAM_M223444_2107072032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_SKUPLANNINGPARAM_M223444_2107"/>
    </sheetNames>
    <sheetDataSet>
      <sheetData sheetId="0">
        <row r="1">
          <cell r="A1" t="str">
            <v>*Item</v>
          </cell>
          <cell r="B1" t="str">
            <v>ItemDescr</v>
          </cell>
          <cell r="C1" t="str">
            <v>*Loc</v>
          </cell>
          <cell r="D1" t="str">
            <v>DRPCovDur</v>
          </cell>
          <cell r="E1" t="str">
            <v>SS</v>
          </cell>
          <cell r="F1" t="str">
            <v>CP (dias)</v>
          </cell>
          <cell r="G1" t="str">
            <v>CP (meses)</v>
          </cell>
          <cell r="H1" t="str">
            <v>Sugestão</v>
          </cell>
          <cell r="I1" t="str">
            <v>DRPCovDur</v>
          </cell>
          <cell r="J1" t="str">
            <v>SS</v>
          </cell>
        </row>
        <row r="2">
          <cell r="A2" t="str">
            <v>F0111201</v>
          </cell>
          <cell r="B2" t="str">
            <v>BAVENCIO 200MG (20MG/ML) (1) - BRA</v>
          </cell>
          <cell r="C2" t="str">
            <v>627DC</v>
          </cell>
          <cell r="D2">
            <v>60</v>
          </cell>
          <cell r="E2">
            <v>60</v>
          </cell>
          <cell r="F2">
            <v>120</v>
          </cell>
          <cell r="G2">
            <v>4</v>
          </cell>
          <cell r="I2">
            <v>60</v>
          </cell>
          <cell r="J2">
            <v>60</v>
          </cell>
        </row>
        <row r="3">
          <cell r="A3" t="str">
            <v>F05512A1</v>
          </cell>
          <cell r="B3" t="str">
            <v>STILAMIN AMP 3MG (1) wo Solvent - BRA</v>
          </cell>
          <cell r="C3" t="str">
            <v>627DC</v>
          </cell>
          <cell r="D3">
            <v>1</v>
          </cell>
          <cell r="E3">
            <v>30</v>
          </cell>
          <cell r="F3">
            <v>31</v>
          </cell>
          <cell r="G3">
            <v>1.0333333333333334</v>
          </cell>
          <cell r="I3">
            <v>1</v>
          </cell>
          <cell r="J3">
            <v>30</v>
          </cell>
        </row>
        <row r="4">
          <cell r="A4" t="str">
            <v>F1211201</v>
          </cell>
          <cell r="B4" t="str">
            <v>SAIZEN LIQUID 6MG (1) - BRA</v>
          </cell>
          <cell r="C4" t="str">
            <v>627DC</v>
          </cell>
          <cell r="D4">
            <v>60</v>
          </cell>
          <cell r="E4">
            <v>60</v>
          </cell>
          <cell r="F4">
            <v>120</v>
          </cell>
          <cell r="G4">
            <v>4</v>
          </cell>
          <cell r="H4"/>
          <cell r="I4">
            <v>60</v>
          </cell>
          <cell r="J4">
            <v>45</v>
          </cell>
        </row>
        <row r="5">
          <cell r="A5" t="str">
            <v>F1231201</v>
          </cell>
          <cell r="B5" t="str">
            <v>SAIZEN LIQUID 12MG (1) - BRA</v>
          </cell>
          <cell r="C5" t="str">
            <v>627DC</v>
          </cell>
          <cell r="D5">
            <v>30</v>
          </cell>
          <cell r="E5">
            <v>40</v>
          </cell>
          <cell r="F5">
            <v>70</v>
          </cell>
          <cell r="G5">
            <v>2.3333333333333335</v>
          </cell>
          <cell r="H5"/>
          <cell r="I5">
            <v>30</v>
          </cell>
          <cell r="J5">
            <v>45</v>
          </cell>
        </row>
        <row r="6">
          <cell r="A6" t="str">
            <v>F1251201</v>
          </cell>
          <cell r="B6" t="str">
            <v>SAIZEN LIQUID 20MG (1) - BRA</v>
          </cell>
          <cell r="C6" t="str">
            <v>627DC</v>
          </cell>
          <cell r="D6">
            <v>60</v>
          </cell>
          <cell r="E6">
            <v>60</v>
          </cell>
          <cell r="F6">
            <v>120</v>
          </cell>
          <cell r="G6">
            <v>4</v>
          </cell>
          <cell r="I6">
            <v>60</v>
          </cell>
          <cell r="J6">
            <v>60</v>
          </cell>
        </row>
        <row r="7">
          <cell r="A7" t="str">
            <v>F1281201</v>
          </cell>
          <cell r="B7" t="str">
            <v>SAIZEN 8MG CLICK.EASY II (1) - BRA</v>
          </cell>
          <cell r="C7" t="str">
            <v>627DC</v>
          </cell>
          <cell r="D7">
            <v>1</v>
          </cell>
          <cell r="E7">
            <v>1</v>
          </cell>
          <cell r="F7">
            <v>2</v>
          </cell>
          <cell r="G7">
            <v>6.6666666666666666E-2</v>
          </cell>
          <cell r="I7">
            <v>1</v>
          </cell>
          <cell r="J7">
            <v>1</v>
          </cell>
        </row>
        <row r="8">
          <cell r="A8" t="str">
            <v>F1971201</v>
          </cell>
          <cell r="B8" t="str">
            <v>GONAL-F 75IU (5.5MCG) (1) - BRA</v>
          </cell>
          <cell r="C8" t="str">
            <v>627DC</v>
          </cell>
          <cell r="D8">
            <v>30</v>
          </cell>
          <cell r="E8">
            <v>1</v>
          </cell>
          <cell r="F8">
            <v>31</v>
          </cell>
          <cell r="G8">
            <v>1.0333333333333334</v>
          </cell>
          <cell r="I8">
            <v>30</v>
          </cell>
          <cell r="J8">
            <v>1</v>
          </cell>
        </row>
        <row r="9">
          <cell r="A9" t="str">
            <v>F1991207</v>
          </cell>
          <cell r="B9" t="str">
            <v>GONAL-F PEN2.0 - 300IU (1) - BRA</v>
          </cell>
          <cell r="C9" t="str">
            <v>627DC</v>
          </cell>
          <cell r="D9">
            <v>28</v>
          </cell>
          <cell r="E9">
            <v>40</v>
          </cell>
          <cell r="F9">
            <v>68</v>
          </cell>
          <cell r="G9">
            <v>2.2666666666666666</v>
          </cell>
          <cell r="H9"/>
          <cell r="I9">
            <v>28</v>
          </cell>
          <cell r="J9">
            <v>45</v>
          </cell>
        </row>
        <row r="10">
          <cell r="A10" t="str">
            <v>F19B1207</v>
          </cell>
          <cell r="B10" t="str">
            <v>GONAL-F PEN2.0 - 900IU (1) - BRA</v>
          </cell>
          <cell r="C10" t="str">
            <v>627DC</v>
          </cell>
          <cell r="D10">
            <v>28</v>
          </cell>
          <cell r="E10">
            <v>60</v>
          </cell>
          <cell r="F10">
            <v>88</v>
          </cell>
          <cell r="G10">
            <v>2.9333333333333331</v>
          </cell>
          <cell r="H10"/>
          <cell r="I10">
            <v>28</v>
          </cell>
          <cell r="J10">
            <v>45</v>
          </cell>
        </row>
        <row r="11">
          <cell r="A11" t="str">
            <v>F19D1207</v>
          </cell>
          <cell r="B11" t="str">
            <v>GONAL-F PEN2.0 - 450IU (1) - BRA</v>
          </cell>
          <cell r="C11" t="str">
            <v>627DC</v>
          </cell>
          <cell r="D11">
            <v>28</v>
          </cell>
          <cell r="E11">
            <v>60</v>
          </cell>
          <cell r="F11">
            <v>88</v>
          </cell>
          <cell r="G11">
            <v>2.9333333333333331</v>
          </cell>
          <cell r="I11">
            <v>28</v>
          </cell>
          <cell r="J11">
            <v>60</v>
          </cell>
        </row>
        <row r="12">
          <cell r="A12" t="str">
            <v>F54G1203</v>
          </cell>
          <cell r="B12" t="str">
            <v>OVIDREL F-PEN 250MCG (1) - BRA</v>
          </cell>
          <cell r="C12" t="str">
            <v>627DC</v>
          </cell>
          <cell r="D12">
            <v>31</v>
          </cell>
          <cell r="E12">
            <v>40</v>
          </cell>
          <cell r="F12">
            <v>71</v>
          </cell>
          <cell r="G12">
            <v>2.3666666666666667</v>
          </cell>
          <cell r="H12"/>
          <cell r="I12">
            <v>31</v>
          </cell>
          <cell r="J12">
            <v>45</v>
          </cell>
        </row>
        <row r="13">
          <cell r="A13" t="str">
            <v>F55A12A1</v>
          </cell>
          <cell r="B13" t="str">
            <v>CETROTIDE VIAL 250MCG (1) - BRA</v>
          </cell>
          <cell r="C13" t="str">
            <v>627DC</v>
          </cell>
          <cell r="D13">
            <v>28</v>
          </cell>
          <cell r="E13">
            <v>60</v>
          </cell>
          <cell r="F13">
            <v>88</v>
          </cell>
          <cell r="G13">
            <v>2.9333333333333331</v>
          </cell>
          <cell r="I13">
            <v>28</v>
          </cell>
          <cell r="J13">
            <v>60</v>
          </cell>
        </row>
        <row r="14">
          <cell r="A14" t="str">
            <v>F56B12A3</v>
          </cell>
          <cell r="B14" t="str">
            <v>CRINONE APPLICATOR C 8% (15) - BRA</v>
          </cell>
          <cell r="C14" t="str">
            <v>627DC</v>
          </cell>
          <cell r="D14">
            <v>180</v>
          </cell>
          <cell r="E14">
            <v>60</v>
          </cell>
          <cell r="F14">
            <v>240</v>
          </cell>
          <cell r="G14">
            <v>8</v>
          </cell>
          <cell r="I14">
            <v>180</v>
          </cell>
          <cell r="J14">
            <v>60</v>
          </cell>
        </row>
        <row r="15">
          <cell r="A15" t="str">
            <v>F6721201</v>
          </cell>
          <cell r="B15" t="str">
            <v>REBIF SYR 22 NF (12) - BRA</v>
          </cell>
          <cell r="C15" t="str">
            <v>627DC</v>
          </cell>
          <cell r="D15">
            <v>60</v>
          </cell>
          <cell r="E15"/>
          <cell r="F15">
            <v>60</v>
          </cell>
          <cell r="G15">
            <v>2</v>
          </cell>
          <cell r="I15">
            <v>60</v>
          </cell>
          <cell r="J15">
            <v>0</v>
          </cell>
        </row>
        <row r="16">
          <cell r="A16" t="str">
            <v>F6741201</v>
          </cell>
          <cell r="B16" t="str">
            <v>REBIF SYR 44 NF (12) - BRA</v>
          </cell>
          <cell r="C16" t="str">
            <v>627DC</v>
          </cell>
          <cell r="D16">
            <v>60</v>
          </cell>
          <cell r="E16"/>
          <cell r="F16">
            <v>60</v>
          </cell>
          <cell r="G16">
            <v>2</v>
          </cell>
          <cell r="I16">
            <v>60</v>
          </cell>
          <cell r="J16">
            <v>0</v>
          </cell>
        </row>
        <row r="17">
          <cell r="A17" t="str">
            <v>F7541201</v>
          </cell>
          <cell r="B17" t="str">
            <v>PERGOVERIS 150/75IU (1) - BRA</v>
          </cell>
          <cell r="C17" t="str">
            <v>627DC</v>
          </cell>
          <cell r="D17">
            <v>60</v>
          </cell>
          <cell r="E17">
            <v>40</v>
          </cell>
          <cell r="F17">
            <v>100</v>
          </cell>
          <cell r="G17">
            <v>3.3333333333333335</v>
          </cell>
          <cell r="H17"/>
          <cell r="I17">
            <v>60</v>
          </cell>
          <cell r="J17">
            <v>45</v>
          </cell>
        </row>
        <row r="18">
          <cell r="A18" t="str">
            <v>F7591201</v>
          </cell>
          <cell r="B18" t="str">
            <v>PERGOVERIS PEN 300/150IU (1) - BRA</v>
          </cell>
          <cell r="C18" t="str">
            <v>627DC</v>
          </cell>
          <cell r="D18">
            <v>45</v>
          </cell>
          <cell r="E18">
            <v>40</v>
          </cell>
          <cell r="F18">
            <v>85</v>
          </cell>
          <cell r="G18">
            <v>2.8333333333333335</v>
          </cell>
          <cell r="H18"/>
          <cell r="I18">
            <v>45</v>
          </cell>
          <cell r="J18">
            <v>45</v>
          </cell>
        </row>
        <row r="19">
          <cell r="A19" t="str">
            <v>F75B1201</v>
          </cell>
          <cell r="B19" t="str">
            <v>PERGOVERIS PEN 900/450IU (1) - BRA</v>
          </cell>
          <cell r="C19" t="str">
            <v>627DC</v>
          </cell>
          <cell r="D19">
            <v>7</v>
          </cell>
          <cell r="E19">
            <v>40</v>
          </cell>
          <cell r="F19">
            <v>47</v>
          </cell>
          <cell r="G19">
            <v>1.5666666666666667</v>
          </cell>
          <cell r="H19"/>
          <cell r="I19">
            <v>7</v>
          </cell>
          <cell r="J19">
            <v>45</v>
          </cell>
        </row>
        <row r="20">
          <cell r="A20" t="str">
            <v>F75D1201</v>
          </cell>
          <cell r="B20" t="str">
            <v>PERGOVERIS PEN 450/225IU (1) - BRA</v>
          </cell>
          <cell r="C20" t="str">
            <v>627DC</v>
          </cell>
          <cell r="D20">
            <v>45</v>
          </cell>
          <cell r="E20">
            <v>60</v>
          </cell>
          <cell r="F20">
            <v>105</v>
          </cell>
          <cell r="G20">
            <v>3.5</v>
          </cell>
          <cell r="I20">
            <v>45</v>
          </cell>
          <cell r="J20">
            <v>60</v>
          </cell>
        </row>
        <row r="21">
          <cell r="A21" t="str">
            <v>FCB11211</v>
          </cell>
          <cell r="B21" t="str">
            <v>MAVENCLAD TABS 10 MG (1) - BRA</v>
          </cell>
          <cell r="C21" t="str">
            <v>627DC</v>
          </cell>
          <cell r="D21">
            <v>60</v>
          </cell>
          <cell r="E21">
            <v>60</v>
          </cell>
          <cell r="F21">
            <v>120</v>
          </cell>
          <cell r="G21">
            <v>4</v>
          </cell>
          <cell r="I21">
            <v>60</v>
          </cell>
          <cell r="J21">
            <v>60</v>
          </cell>
        </row>
        <row r="22">
          <cell r="A22" t="str">
            <v>FCB11221</v>
          </cell>
          <cell r="B22" t="str">
            <v>MAVENCLAD TABS 10 MG (1) SAMPLE - BRA</v>
          </cell>
          <cell r="C22" t="str">
            <v>627DC</v>
          </cell>
          <cell r="D22">
            <v>60</v>
          </cell>
          <cell r="E22">
            <v>30</v>
          </cell>
          <cell r="F22">
            <v>90</v>
          </cell>
          <cell r="G22">
            <v>3</v>
          </cell>
          <cell r="I22">
            <v>60</v>
          </cell>
          <cell r="J22">
            <v>30</v>
          </cell>
        </row>
        <row r="23">
          <cell r="A23" t="str">
            <v>FN131201</v>
          </cell>
          <cell r="B23" t="str">
            <v>ERBITUX 5MG/ML - (20ML) BRA</v>
          </cell>
          <cell r="C23" t="str">
            <v>627DC</v>
          </cell>
          <cell r="D23">
            <v>28</v>
          </cell>
          <cell r="E23">
            <v>60</v>
          </cell>
          <cell r="F23">
            <v>88</v>
          </cell>
          <cell r="G23">
            <v>2.9333333333333331</v>
          </cell>
          <cell r="H23"/>
          <cell r="I23">
            <v>28</v>
          </cell>
          <cell r="J23">
            <v>45</v>
          </cell>
        </row>
        <row r="24">
          <cell r="A24" t="str">
            <v>FN151201</v>
          </cell>
          <cell r="B24" t="str">
            <v>ERBITUX 5MG/ML - (100 ML) BRA</v>
          </cell>
          <cell r="C24" t="str">
            <v>627DC</v>
          </cell>
          <cell r="D24">
            <v>28</v>
          </cell>
          <cell r="E24">
            <v>45</v>
          </cell>
          <cell r="F24">
            <v>73</v>
          </cell>
          <cell r="G24">
            <v>2.4333333333333331</v>
          </cell>
          <cell r="H24"/>
          <cell r="I24">
            <v>28</v>
          </cell>
          <cell r="J24">
            <v>60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duarda Soares" id="{DC43898C-6A60-465A-978B-3121E6988F54}" userId="S::X229723@la.merckgroup.com::0993d3b9-6dbf-4856-889b-6ce1da6b8a2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9-23T00:32:07.92" personId="{DC43898C-6A60-465A-978B-3121E6988F54}" id="{CF2A2CE4-E252-4560-A845-553ABB41374C}">
    <text>ICESP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46" dT="2021-08-19T18:56:35.34" personId="{DC43898C-6A60-465A-978B-3121E6988F54}" id="{75063138-74D5-457B-A296-5E5089BA14BA}">
    <text>Solicitar bloqueio quando o lote for liberado.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3" dT="2021-08-17T19:08:31.60" personId="{DC43898C-6A60-465A-978B-3121E6988F54}" id="{D97A0A6C-0322-42BB-8653-A41D7AA19065}">
    <text>Não está no JDA (será publicado).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7" Type="http://schemas.openxmlformats.org/officeDocument/2006/relationships/image" Target="../media/image6.emf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6.xm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9.bin"/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3.bin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1.bin"/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4.bin"/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8.bin"/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ustomProperty" Target="../customProperty8.bin"/><Relationship Id="rId7" Type="http://schemas.openxmlformats.org/officeDocument/2006/relationships/control" Target="../activeX/activeX1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3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drawing" Target="../drawings/drawing4.xml"/><Relationship Id="rId7" Type="http://schemas.openxmlformats.org/officeDocument/2006/relationships/comments" Target="../comments1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4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drawing" Target="../drawings/drawing5.xml"/><Relationship Id="rId7" Type="http://schemas.openxmlformats.org/officeDocument/2006/relationships/comments" Target="../comments2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5.emf"/><Relationship Id="rId5" Type="http://schemas.openxmlformats.org/officeDocument/2006/relationships/control" Target="../activeX/activeX5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F226-CECD-40BB-9FF0-08DD85675A9E}">
  <sheetPr codeName="Planilha1"/>
  <dimension ref="A1:AC28"/>
  <sheetViews>
    <sheetView workbookViewId="0">
      <selection activeCell="E7" sqref="E7"/>
    </sheetView>
  </sheetViews>
  <sheetFormatPr defaultRowHeight="14.5" x14ac:dyDescent="0.35"/>
  <cols>
    <col min="1" max="1" width="14.453125" bestFit="1" customWidth="1"/>
    <col min="2" max="2" width="44.1796875" bestFit="1" customWidth="1"/>
    <col min="3" max="4" width="37.90625" bestFit="1" customWidth="1"/>
    <col min="5" max="5" width="10.81640625" bestFit="1" customWidth="1"/>
    <col min="6" max="14" width="9.54296875" bestFit="1" customWidth="1"/>
  </cols>
  <sheetData>
    <row r="1" spans="1:28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 x14ac:dyDescent="0.35">
      <c r="A2" s="141" t="s">
        <v>268</v>
      </c>
      <c r="B2" s="141" t="s">
        <v>269</v>
      </c>
      <c r="C2" s="141" t="s">
        <v>270</v>
      </c>
      <c r="D2" s="141" t="s">
        <v>271</v>
      </c>
      <c r="E2" s="173">
        <v>44197</v>
      </c>
      <c r="F2" s="173">
        <v>44228</v>
      </c>
      <c r="G2" s="173">
        <v>44256</v>
      </c>
      <c r="H2" s="173">
        <v>44287</v>
      </c>
      <c r="I2" s="173">
        <v>44317</v>
      </c>
      <c r="J2" s="173">
        <v>44348</v>
      </c>
      <c r="K2" s="173">
        <v>44378</v>
      </c>
      <c r="L2" s="173">
        <v>44409</v>
      </c>
      <c r="M2" s="173">
        <v>44440</v>
      </c>
      <c r="N2" s="173">
        <v>44470</v>
      </c>
      <c r="O2" s="173">
        <v>44501</v>
      </c>
      <c r="P2" s="173">
        <v>44531</v>
      </c>
      <c r="Q2" s="173">
        <v>44562</v>
      </c>
      <c r="R2" s="173">
        <v>44593</v>
      </c>
      <c r="S2" s="173">
        <v>44621</v>
      </c>
      <c r="T2" s="173">
        <v>44652</v>
      </c>
      <c r="U2" s="173">
        <v>44682</v>
      </c>
      <c r="V2" s="173">
        <v>44713</v>
      </c>
      <c r="W2" s="173">
        <v>44743</v>
      </c>
      <c r="X2" s="173">
        <v>44774</v>
      </c>
      <c r="Y2" s="173">
        <v>44805</v>
      </c>
      <c r="Z2" s="173">
        <v>44835</v>
      </c>
      <c r="AA2" s="173">
        <v>44866</v>
      </c>
      <c r="AB2" s="173">
        <v>44896</v>
      </c>
    </row>
    <row r="3" spans="1:28" x14ac:dyDescent="0.35">
      <c r="A3" s="204" t="s">
        <v>143</v>
      </c>
      <c r="B3" s="204" t="s">
        <v>144</v>
      </c>
      <c r="C3" s="204" t="s">
        <v>274</v>
      </c>
      <c r="D3" s="204" t="s">
        <v>273</v>
      </c>
      <c r="E3" s="202">
        <v>748</v>
      </c>
      <c r="F3" s="202">
        <v>547</v>
      </c>
      <c r="G3" s="202">
        <v>1183</v>
      </c>
      <c r="H3" s="202">
        <v>697</v>
      </c>
      <c r="I3" s="205">
        <v>1041</v>
      </c>
      <c r="J3" s="203">
        <v>693</v>
      </c>
      <c r="K3" s="203">
        <v>870</v>
      </c>
      <c r="L3" s="203">
        <v>1120</v>
      </c>
      <c r="M3" s="203">
        <v>1270</v>
      </c>
      <c r="N3" s="203">
        <v>1150</v>
      </c>
      <c r="O3" s="203">
        <v>1170</v>
      </c>
      <c r="P3" s="203">
        <v>1200</v>
      </c>
      <c r="Q3" s="203">
        <v>1122</v>
      </c>
      <c r="R3" s="203">
        <v>1180</v>
      </c>
      <c r="S3" s="203">
        <v>1622</v>
      </c>
      <c r="T3" s="203">
        <v>1015</v>
      </c>
      <c r="U3" s="203">
        <v>1200</v>
      </c>
      <c r="V3" s="203">
        <v>1432</v>
      </c>
      <c r="W3" s="203">
        <v>1416</v>
      </c>
      <c r="X3" s="203">
        <v>1520</v>
      </c>
      <c r="Y3" s="203">
        <v>1633</v>
      </c>
      <c r="Z3" s="203">
        <v>1625</v>
      </c>
      <c r="AA3" s="203">
        <v>1631</v>
      </c>
      <c r="AB3" s="203">
        <v>1651</v>
      </c>
    </row>
    <row r="4" spans="1:28" x14ac:dyDescent="0.35">
      <c r="A4" s="204" t="s">
        <v>107</v>
      </c>
      <c r="B4" s="204" t="s">
        <v>119</v>
      </c>
      <c r="C4" s="204" t="s">
        <v>279</v>
      </c>
      <c r="D4" s="204" t="s">
        <v>273</v>
      </c>
      <c r="E4" s="202">
        <v>-161</v>
      </c>
      <c r="F4" s="202">
        <v>42</v>
      </c>
      <c r="G4" s="202">
        <v>20</v>
      </c>
      <c r="H4" s="202">
        <v>1</v>
      </c>
      <c r="I4" s="205">
        <v>0</v>
      </c>
      <c r="J4" s="203">
        <v>-13</v>
      </c>
      <c r="K4" s="203">
        <v>130</v>
      </c>
      <c r="L4" s="203">
        <v>100</v>
      </c>
      <c r="M4" s="203">
        <v>300</v>
      </c>
      <c r="N4" s="203">
        <v>0</v>
      </c>
      <c r="O4" s="203">
        <v>110</v>
      </c>
      <c r="P4" s="203">
        <v>0</v>
      </c>
      <c r="Q4" s="203">
        <v>0</v>
      </c>
      <c r="R4" s="203">
        <v>50</v>
      </c>
      <c r="S4" s="203">
        <v>20</v>
      </c>
      <c r="T4" s="203">
        <v>50</v>
      </c>
      <c r="U4" s="203">
        <v>0</v>
      </c>
      <c r="V4" s="203">
        <v>50</v>
      </c>
      <c r="W4" s="203">
        <v>20</v>
      </c>
      <c r="X4" s="203">
        <v>50</v>
      </c>
      <c r="Y4" s="203">
        <v>0</v>
      </c>
      <c r="Z4" s="203">
        <v>50</v>
      </c>
      <c r="AA4" s="203">
        <v>0</v>
      </c>
      <c r="AB4" s="203">
        <v>50</v>
      </c>
    </row>
    <row r="5" spans="1:28" x14ac:dyDescent="0.35">
      <c r="A5" s="204" t="s">
        <v>10</v>
      </c>
      <c r="B5" s="204" t="s">
        <v>11</v>
      </c>
      <c r="C5" s="204" t="s">
        <v>276</v>
      </c>
      <c r="D5" s="204" t="s">
        <v>273</v>
      </c>
      <c r="E5" s="202">
        <v>351</v>
      </c>
      <c r="F5" s="202">
        <v>294</v>
      </c>
      <c r="G5" s="202">
        <v>711</v>
      </c>
      <c r="H5" s="202">
        <v>110</v>
      </c>
      <c r="I5" s="205">
        <v>323</v>
      </c>
      <c r="J5" s="203">
        <v>221</v>
      </c>
      <c r="K5" s="203">
        <v>314</v>
      </c>
      <c r="L5" s="203">
        <v>365</v>
      </c>
      <c r="M5" s="203">
        <v>126</v>
      </c>
      <c r="N5" s="203">
        <v>341</v>
      </c>
      <c r="O5" s="203">
        <v>400</v>
      </c>
      <c r="P5" s="203">
        <v>420</v>
      </c>
      <c r="Q5" s="203">
        <v>266</v>
      </c>
      <c r="R5" s="203">
        <v>229</v>
      </c>
      <c r="S5" s="203">
        <v>262</v>
      </c>
      <c r="T5" s="203">
        <v>178</v>
      </c>
      <c r="U5" s="203">
        <v>232</v>
      </c>
      <c r="V5" s="203">
        <v>260</v>
      </c>
      <c r="W5" s="203">
        <v>227</v>
      </c>
      <c r="X5" s="203">
        <v>324</v>
      </c>
      <c r="Y5" s="203">
        <v>366</v>
      </c>
      <c r="Z5" s="203">
        <v>370</v>
      </c>
      <c r="AA5" s="203">
        <v>401</v>
      </c>
      <c r="AB5" s="203">
        <v>457</v>
      </c>
    </row>
    <row r="6" spans="1:28" x14ac:dyDescent="0.35">
      <c r="A6" s="204" t="s">
        <v>6</v>
      </c>
      <c r="B6" s="204" t="s">
        <v>7</v>
      </c>
      <c r="C6" s="204" t="s">
        <v>276</v>
      </c>
      <c r="D6" s="204" t="s">
        <v>273</v>
      </c>
      <c r="E6" s="202">
        <v>1976</v>
      </c>
      <c r="F6" s="202">
        <v>1933</v>
      </c>
      <c r="G6" s="202">
        <v>3376</v>
      </c>
      <c r="H6" s="202">
        <v>1173</v>
      </c>
      <c r="I6" s="205">
        <v>2268</v>
      </c>
      <c r="J6" s="203">
        <v>1880</v>
      </c>
      <c r="K6" s="203">
        <v>1683</v>
      </c>
      <c r="L6" s="203">
        <v>1650</v>
      </c>
      <c r="M6" s="203">
        <v>1998</v>
      </c>
      <c r="N6" s="203">
        <v>2345</v>
      </c>
      <c r="O6" s="203">
        <v>2601</v>
      </c>
      <c r="P6" s="203">
        <v>2304</v>
      </c>
      <c r="Q6" s="203">
        <v>1908</v>
      </c>
      <c r="R6" s="203">
        <v>1511</v>
      </c>
      <c r="S6" s="203">
        <v>2053</v>
      </c>
      <c r="T6" s="203">
        <v>1673</v>
      </c>
      <c r="U6" s="203">
        <v>1838</v>
      </c>
      <c r="V6" s="203">
        <v>1771</v>
      </c>
      <c r="W6" s="203">
        <v>1394</v>
      </c>
      <c r="X6" s="203">
        <v>2002</v>
      </c>
      <c r="Y6" s="203">
        <v>2485</v>
      </c>
      <c r="Z6" s="203">
        <v>3169</v>
      </c>
      <c r="AA6" s="203">
        <v>3440</v>
      </c>
      <c r="AB6" s="203">
        <v>3049</v>
      </c>
    </row>
    <row r="7" spans="1:28" x14ac:dyDescent="0.35">
      <c r="A7" s="204" t="s">
        <v>8</v>
      </c>
      <c r="B7" s="204" t="s">
        <v>9</v>
      </c>
      <c r="C7" s="204" t="s">
        <v>276</v>
      </c>
      <c r="D7" s="204" t="s">
        <v>273</v>
      </c>
      <c r="E7" s="202">
        <v>2432</v>
      </c>
      <c r="F7" s="202">
        <v>2556</v>
      </c>
      <c r="G7" s="202">
        <v>4520</v>
      </c>
      <c r="H7" s="202">
        <v>2088</v>
      </c>
      <c r="I7" s="205">
        <v>2891</v>
      </c>
      <c r="J7" s="203">
        <v>3324</v>
      </c>
      <c r="K7" s="203">
        <v>3935</v>
      </c>
      <c r="L7" s="203">
        <v>3400</v>
      </c>
      <c r="M7" s="203">
        <v>3949</v>
      </c>
      <c r="N7" s="203">
        <v>3220</v>
      </c>
      <c r="O7" s="203">
        <v>3017</v>
      </c>
      <c r="P7" s="203">
        <v>3100</v>
      </c>
      <c r="Q7" s="203">
        <v>2858</v>
      </c>
      <c r="R7" s="203">
        <v>2755</v>
      </c>
      <c r="S7" s="203">
        <v>4034</v>
      </c>
      <c r="T7" s="203">
        <v>3078</v>
      </c>
      <c r="U7" s="203">
        <v>3314</v>
      </c>
      <c r="V7" s="203">
        <v>3394</v>
      </c>
      <c r="W7" s="203">
        <v>3053</v>
      </c>
      <c r="X7" s="203">
        <v>3100</v>
      </c>
      <c r="Y7" s="203">
        <v>3190</v>
      </c>
      <c r="Z7" s="203">
        <v>3188</v>
      </c>
      <c r="AA7" s="203">
        <v>3165</v>
      </c>
      <c r="AB7" s="203">
        <v>3189</v>
      </c>
    </row>
    <row r="8" spans="1:28" x14ac:dyDescent="0.35">
      <c r="A8" s="204" t="s">
        <v>169</v>
      </c>
      <c r="B8" s="204" t="s">
        <v>170</v>
      </c>
      <c r="C8" s="204" t="s">
        <v>272</v>
      </c>
      <c r="D8" s="204" t="s">
        <v>273</v>
      </c>
      <c r="E8" s="202">
        <v>401</v>
      </c>
      <c r="F8" s="202">
        <v>1781</v>
      </c>
      <c r="G8" s="202">
        <v>3766</v>
      </c>
      <c r="H8" s="202">
        <v>1628</v>
      </c>
      <c r="I8" s="205">
        <v>2447</v>
      </c>
      <c r="J8" s="203">
        <v>1767</v>
      </c>
      <c r="K8" s="203">
        <v>2463</v>
      </c>
      <c r="L8" s="203">
        <v>1949</v>
      </c>
      <c r="M8" s="203">
        <v>1987</v>
      </c>
      <c r="N8" s="203">
        <v>2445</v>
      </c>
      <c r="O8" s="203">
        <v>2625</v>
      </c>
      <c r="P8" s="203">
        <v>1500</v>
      </c>
      <c r="Q8" s="203">
        <v>2155</v>
      </c>
      <c r="R8" s="203">
        <v>2104</v>
      </c>
      <c r="S8" s="203">
        <v>4334</v>
      </c>
      <c r="T8" s="203">
        <v>2170</v>
      </c>
      <c r="U8" s="203">
        <v>1991</v>
      </c>
      <c r="V8" s="203">
        <v>1874</v>
      </c>
      <c r="W8" s="203">
        <v>1784</v>
      </c>
      <c r="X8" s="203">
        <v>1912</v>
      </c>
      <c r="Y8" s="203">
        <v>1987</v>
      </c>
      <c r="Z8" s="203">
        <v>1967</v>
      </c>
      <c r="AA8" s="203">
        <v>2038</v>
      </c>
      <c r="AB8" s="203">
        <v>1063</v>
      </c>
    </row>
    <row r="9" spans="1:28" x14ac:dyDescent="0.35">
      <c r="A9" s="204" t="s">
        <v>127</v>
      </c>
      <c r="B9" s="204" t="s">
        <v>128</v>
      </c>
      <c r="C9" s="204" t="s">
        <v>272</v>
      </c>
      <c r="D9" s="204" t="s">
        <v>273</v>
      </c>
      <c r="E9" s="202">
        <v>43</v>
      </c>
      <c r="F9" s="202">
        <v>68</v>
      </c>
      <c r="G9" s="202">
        <v>226</v>
      </c>
      <c r="H9" s="202">
        <v>43</v>
      </c>
      <c r="I9" s="205">
        <v>225</v>
      </c>
      <c r="J9" s="203">
        <v>214</v>
      </c>
      <c r="K9" s="203">
        <v>152</v>
      </c>
      <c r="L9" s="203">
        <v>218</v>
      </c>
      <c r="M9" s="203">
        <v>241</v>
      </c>
      <c r="N9" s="203">
        <v>209</v>
      </c>
      <c r="O9" s="203">
        <v>250</v>
      </c>
      <c r="P9" s="203">
        <v>190</v>
      </c>
      <c r="Q9" s="203">
        <v>143</v>
      </c>
      <c r="R9" s="203">
        <v>196</v>
      </c>
      <c r="S9" s="203">
        <v>406</v>
      </c>
      <c r="T9" s="203">
        <v>181</v>
      </c>
      <c r="U9" s="203">
        <v>160</v>
      </c>
      <c r="V9" s="203">
        <v>165</v>
      </c>
      <c r="W9" s="203">
        <v>190</v>
      </c>
      <c r="X9" s="203">
        <v>183</v>
      </c>
      <c r="Y9" s="203">
        <v>189</v>
      </c>
      <c r="Z9" s="203">
        <v>201</v>
      </c>
      <c r="AA9" s="203">
        <v>202</v>
      </c>
      <c r="AB9" s="203">
        <v>105</v>
      </c>
    </row>
    <row r="10" spans="1:28" x14ac:dyDescent="0.35">
      <c r="A10" s="204" t="s">
        <v>182</v>
      </c>
      <c r="B10" s="204" t="s">
        <v>183</v>
      </c>
      <c r="C10" s="204" t="s">
        <v>272</v>
      </c>
      <c r="D10" s="204" t="s">
        <v>273</v>
      </c>
      <c r="E10" s="202">
        <v>16</v>
      </c>
      <c r="F10" s="202">
        <v>606</v>
      </c>
      <c r="G10" s="202">
        <v>1021</v>
      </c>
      <c r="H10" s="202">
        <v>319</v>
      </c>
      <c r="I10" s="205">
        <v>994</v>
      </c>
      <c r="J10" s="203">
        <v>462</v>
      </c>
      <c r="K10" s="203">
        <v>417</v>
      </c>
      <c r="L10" s="203">
        <v>439</v>
      </c>
      <c r="M10" s="203">
        <v>871</v>
      </c>
      <c r="N10" s="203">
        <v>450</v>
      </c>
      <c r="O10" s="203">
        <v>350</v>
      </c>
      <c r="P10" s="203">
        <v>250</v>
      </c>
      <c r="Q10" s="203">
        <v>441</v>
      </c>
      <c r="R10" s="203">
        <v>525</v>
      </c>
      <c r="S10" s="203">
        <v>1195</v>
      </c>
      <c r="T10" s="203">
        <v>485</v>
      </c>
      <c r="U10" s="203">
        <v>468</v>
      </c>
      <c r="V10" s="203">
        <v>390</v>
      </c>
      <c r="W10" s="203">
        <v>458</v>
      </c>
      <c r="X10" s="203">
        <v>470</v>
      </c>
      <c r="Y10" s="203">
        <v>484</v>
      </c>
      <c r="Z10" s="203">
        <v>516</v>
      </c>
      <c r="AA10" s="203">
        <v>487</v>
      </c>
      <c r="AB10" s="203">
        <v>259</v>
      </c>
    </row>
    <row r="11" spans="1:28" x14ac:dyDescent="0.35">
      <c r="A11" s="204" t="s">
        <v>188</v>
      </c>
      <c r="B11" s="204" t="s">
        <v>189</v>
      </c>
      <c r="C11" s="204" t="s">
        <v>272</v>
      </c>
      <c r="D11" s="204" t="s">
        <v>273</v>
      </c>
      <c r="E11" s="202">
        <v>333</v>
      </c>
      <c r="F11" s="202">
        <v>221</v>
      </c>
      <c r="G11" s="202">
        <v>320</v>
      </c>
      <c r="H11" s="202">
        <v>-124</v>
      </c>
      <c r="I11" s="205">
        <v>495</v>
      </c>
      <c r="J11" s="203">
        <v>15</v>
      </c>
      <c r="K11" s="203"/>
      <c r="L11" s="203">
        <v>-7</v>
      </c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</row>
    <row r="12" spans="1:28" x14ac:dyDescent="0.35">
      <c r="A12" s="204" t="s">
        <v>193</v>
      </c>
      <c r="B12" s="204" t="s">
        <v>194</v>
      </c>
      <c r="C12" s="204" t="s">
        <v>272</v>
      </c>
      <c r="D12" s="204" t="s">
        <v>273</v>
      </c>
      <c r="E12" s="202">
        <v>820</v>
      </c>
      <c r="F12" s="202">
        <v>2731</v>
      </c>
      <c r="G12" s="202">
        <v>4144</v>
      </c>
      <c r="H12" s="202">
        <v>2946</v>
      </c>
      <c r="I12" s="205">
        <v>2394</v>
      </c>
      <c r="J12" s="203">
        <v>2481</v>
      </c>
      <c r="K12" s="203">
        <v>2993</v>
      </c>
      <c r="L12" s="203">
        <v>3527</v>
      </c>
      <c r="M12" s="203">
        <v>2856</v>
      </c>
      <c r="N12" s="203">
        <v>3350</v>
      </c>
      <c r="O12" s="203">
        <v>3274</v>
      </c>
      <c r="P12" s="203">
        <v>1684</v>
      </c>
      <c r="Q12" s="203">
        <v>2417</v>
      </c>
      <c r="R12" s="203">
        <v>3109</v>
      </c>
      <c r="S12" s="203">
        <v>4420</v>
      </c>
      <c r="T12" s="203">
        <v>2548</v>
      </c>
      <c r="U12" s="203">
        <v>3190</v>
      </c>
      <c r="V12" s="203">
        <v>2718</v>
      </c>
      <c r="W12" s="203">
        <v>3062</v>
      </c>
      <c r="X12" s="203">
        <v>3358</v>
      </c>
      <c r="Y12" s="203">
        <v>3361</v>
      </c>
      <c r="Z12" s="203">
        <v>3201</v>
      </c>
      <c r="AA12" s="203">
        <v>3234</v>
      </c>
      <c r="AB12" s="203">
        <v>2384</v>
      </c>
    </row>
    <row r="13" spans="1:28" x14ac:dyDescent="0.35">
      <c r="A13" s="204" t="s">
        <v>130</v>
      </c>
      <c r="B13" s="204" t="s">
        <v>131</v>
      </c>
      <c r="C13" s="204" t="s">
        <v>272</v>
      </c>
      <c r="D13" s="204" t="s">
        <v>273</v>
      </c>
      <c r="E13" s="202">
        <v>1816</v>
      </c>
      <c r="F13" s="202">
        <v>5893</v>
      </c>
      <c r="G13" s="202">
        <v>10361</v>
      </c>
      <c r="H13" s="202">
        <v>3787</v>
      </c>
      <c r="I13" s="205">
        <v>7617</v>
      </c>
      <c r="J13" s="203">
        <v>5243</v>
      </c>
      <c r="K13" s="203">
        <v>6994</v>
      </c>
      <c r="L13" s="203">
        <v>4662</v>
      </c>
      <c r="M13" s="203">
        <v>5563</v>
      </c>
      <c r="N13" s="203">
        <v>7000</v>
      </c>
      <c r="O13" s="203">
        <v>7300</v>
      </c>
      <c r="P13" s="203">
        <v>4000</v>
      </c>
      <c r="Q13" s="203">
        <v>5160</v>
      </c>
      <c r="R13" s="203">
        <v>5850</v>
      </c>
      <c r="S13" s="203">
        <v>13100</v>
      </c>
      <c r="T13" s="203">
        <v>5180</v>
      </c>
      <c r="U13" s="203">
        <v>6405</v>
      </c>
      <c r="V13" s="203">
        <v>5576</v>
      </c>
      <c r="W13" s="203">
        <v>6500</v>
      </c>
      <c r="X13" s="203">
        <v>6200</v>
      </c>
      <c r="Y13" s="203">
        <v>6800</v>
      </c>
      <c r="Z13" s="203">
        <v>7050</v>
      </c>
      <c r="AA13" s="203">
        <v>6700</v>
      </c>
      <c r="AB13" s="203">
        <v>3500</v>
      </c>
    </row>
    <row r="14" spans="1:28" x14ac:dyDescent="0.35">
      <c r="A14" s="204" t="s">
        <v>154</v>
      </c>
      <c r="B14" s="204" t="s">
        <v>155</v>
      </c>
      <c r="C14" s="204" t="s">
        <v>272</v>
      </c>
      <c r="D14" s="204" t="s">
        <v>273</v>
      </c>
      <c r="E14" s="202">
        <v>27</v>
      </c>
      <c r="F14" s="202">
        <v>73</v>
      </c>
      <c r="G14" s="202">
        <v>119</v>
      </c>
      <c r="H14" s="202">
        <v>6</v>
      </c>
      <c r="I14" s="205">
        <v>-1</v>
      </c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</row>
    <row r="15" spans="1:28" x14ac:dyDescent="0.35">
      <c r="A15" s="204" t="s">
        <v>158</v>
      </c>
      <c r="B15" s="204" t="s">
        <v>159</v>
      </c>
      <c r="C15" s="204" t="s">
        <v>272</v>
      </c>
      <c r="D15" s="204" t="s">
        <v>273</v>
      </c>
      <c r="E15" s="202">
        <v>752</v>
      </c>
      <c r="F15" s="202">
        <v>567</v>
      </c>
      <c r="G15" s="202">
        <v>951</v>
      </c>
      <c r="H15" s="202">
        <v>450</v>
      </c>
      <c r="I15" s="205">
        <v>703</v>
      </c>
      <c r="J15" s="203">
        <v>753</v>
      </c>
      <c r="K15" s="203">
        <v>696</v>
      </c>
      <c r="L15" s="203">
        <v>445</v>
      </c>
      <c r="M15" s="203">
        <v>816</v>
      </c>
      <c r="N15" s="203">
        <v>729</v>
      </c>
      <c r="O15" s="203">
        <v>749</v>
      </c>
      <c r="P15" s="203">
        <v>500</v>
      </c>
      <c r="Q15" s="203">
        <v>500</v>
      </c>
      <c r="R15" s="203">
        <v>601</v>
      </c>
      <c r="S15" s="203">
        <v>908</v>
      </c>
      <c r="T15" s="203">
        <v>570</v>
      </c>
      <c r="U15" s="203">
        <v>645</v>
      </c>
      <c r="V15" s="203">
        <v>702</v>
      </c>
      <c r="W15" s="203">
        <v>826</v>
      </c>
      <c r="X15" s="203">
        <v>815</v>
      </c>
      <c r="Y15" s="203">
        <v>848</v>
      </c>
      <c r="Z15" s="203">
        <v>850</v>
      </c>
      <c r="AA15" s="203">
        <v>750</v>
      </c>
      <c r="AB15" s="203">
        <v>582</v>
      </c>
    </row>
    <row r="16" spans="1:28" x14ac:dyDescent="0.35">
      <c r="A16" s="204" t="s">
        <v>17</v>
      </c>
      <c r="B16" s="204" t="s">
        <v>280</v>
      </c>
      <c r="C16" s="204" t="s">
        <v>278</v>
      </c>
      <c r="D16" s="204" t="s">
        <v>273</v>
      </c>
      <c r="E16" s="202">
        <v>2</v>
      </c>
      <c r="F16" s="202"/>
      <c r="G16" s="202"/>
      <c r="H16" s="202">
        <v>2</v>
      </c>
      <c r="I16" s="205">
        <v>7</v>
      </c>
      <c r="J16" s="203">
        <v>1</v>
      </c>
      <c r="K16" s="203">
        <v>5</v>
      </c>
      <c r="L16" s="203">
        <v>13</v>
      </c>
      <c r="M16" s="203"/>
      <c r="N16" s="203">
        <v>2</v>
      </c>
      <c r="O16" s="203">
        <v>2</v>
      </c>
      <c r="P16" s="203">
        <v>2</v>
      </c>
      <c r="Q16" s="203">
        <v>3</v>
      </c>
      <c r="R16" s="203">
        <v>5</v>
      </c>
      <c r="S16" s="203">
        <v>10</v>
      </c>
      <c r="T16" s="203">
        <v>5</v>
      </c>
      <c r="U16" s="203">
        <v>5</v>
      </c>
      <c r="V16" s="203">
        <v>5</v>
      </c>
      <c r="W16" s="203">
        <v>5</v>
      </c>
      <c r="X16" s="203">
        <v>6</v>
      </c>
      <c r="Y16" s="203">
        <v>8</v>
      </c>
      <c r="Z16" s="203">
        <v>8</v>
      </c>
      <c r="AA16" s="203">
        <v>9</v>
      </c>
      <c r="AB16" s="203">
        <v>10</v>
      </c>
    </row>
    <row r="17" spans="1:29" x14ac:dyDescent="0.35">
      <c r="A17" s="204" t="s">
        <v>18</v>
      </c>
      <c r="B17" s="204" t="s">
        <v>281</v>
      </c>
      <c r="C17" s="204" t="s">
        <v>278</v>
      </c>
      <c r="D17" s="204" t="s">
        <v>273</v>
      </c>
      <c r="E17" s="202">
        <v>5</v>
      </c>
      <c r="F17" s="202">
        <v>1</v>
      </c>
      <c r="G17" s="202">
        <v>5</v>
      </c>
      <c r="H17" s="202">
        <v>5</v>
      </c>
      <c r="I17" s="205">
        <v>10</v>
      </c>
      <c r="J17" s="203">
        <v>4</v>
      </c>
      <c r="K17" s="203">
        <v>4</v>
      </c>
      <c r="L17" s="203">
        <v>16</v>
      </c>
      <c r="M17" s="203">
        <v>5</v>
      </c>
      <c r="N17" s="203">
        <v>10</v>
      </c>
      <c r="O17" s="203">
        <v>10</v>
      </c>
      <c r="P17" s="203">
        <v>10</v>
      </c>
      <c r="Q17" s="203">
        <v>12</v>
      </c>
      <c r="R17" s="203">
        <v>12</v>
      </c>
      <c r="S17" s="203">
        <v>15</v>
      </c>
      <c r="T17" s="203">
        <v>10</v>
      </c>
      <c r="U17" s="203">
        <v>10</v>
      </c>
      <c r="V17" s="203">
        <v>8</v>
      </c>
      <c r="W17" s="203">
        <v>9</v>
      </c>
      <c r="X17" s="203">
        <v>11</v>
      </c>
      <c r="Y17" s="203">
        <v>12</v>
      </c>
      <c r="Z17" s="203">
        <v>12</v>
      </c>
      <c r="AA17" s="203">
        <v>12</v>
      </c>
      <c r="AB17" s="203">
        <v>13</v>
      </c>
    </row>
    <row r="18" spans="1:29" x14ac:dyDescent="0.35">
      <c r="A18" s="204" t="s">
        <v>197</v>
      </c>
      <c r="B18" s="204" t="s">
        <v>198</v>
      </c>
      <c r="C18" s="204" t="s">
        <v>272</v>
      </c>
      <c r="D18" s="204" t="s">
        <v>273</v>
      </c>
      <c r="E18" s="202">
        <v>381</v>
      </c>
      <c r="F18" s="202">
        <v>837</v>
      </c>
      <c r="G18" s="202">
        <v>3323</v>
      </c>
      <c r="H18" s="202">
        <v>723</v>
      </c>
      <c r="I18" s="205">
        <v>567</v>
      </c>
      <c r="J18" s="203">
        <v>1365</v>
      </c>
      <c r="K18" s="203">
        <v>1453</v>
      </c>
      <c r="L18" s="203">
        <v>892</v>
      </c>
      <c r="M18" s="203">
        <v>1423</v>
      </c>
      <c r="N18" s="203">
        <v>733</v>
      </c>
      <c r="O18" s="203">
        <v>602</v>
      </c>
      <c r="P18" s="203">
        <v>405</v>
      </c>
      <c r="Q18" s="203">
        <v>413</v>
      </c>
      <c r="R18" s="203">
        <v>1050</v>
      </c>
      <c r="S18" s="203">
        <v>2470</v>
      </c>
      <c r="T18" s="203">
        <v>1167</v>
      </c>
      <c r="U18" s="203">
        <v>1282</v>
      </c>
      <c r="V18" s="203">
        <v>1043</v>
      </c>
      <c r="W18" s="203">
        <v>1264</v>
      </c>
      <c r="X18" s="203">
        <v>1342</v>
      </c>
      <c r="Y18" s="203">
        <v>1143</v>
      </c>
      <c r="Z18" s="203">
        <v>1195</v>
      </c>
      <c r="AA18" s="203">
        <v>1063</v>
      </c>
      <c r="AB18" s="203">
        <v>575</v>
      </c>
      <c r="AC18" s="295"/>
    </row>
    <row r="19" spans="1:29" x14ac:dyDescent="0.35">
      <c r="A19" s="204" t="s">
        <v>133</v>
      </c>
      <c r="B19" s="204" t="s">
        <v>134</v>
      </c>
      <c r="C19" s="204" t="s">
        <v>272</v>
      </c>
      <c r="D19" s="204" t="s">
        <v>273</v>
      </c>
      <c r="E19" s="202">
        <v>1531</v>
      </c>
      <c r="F19" s="202">
        <v>6007</v>
      </c>
      <c r="G19" s="202">
        <v>15508</v>
      </c>
      <c r="H19" s="202">
        <v>2907</v>
      </c>
      <c r="I19" s="205">
        <v>8666</v>
      </c>
      <c r="J19" s="203">
        <v>6905</v>
      </c>
      <c r="K19" s="203">
        <v>7515</v>
      </c>
      <c r="L19" s="203">
        <v>8068</v>
      </c>
      <c r="M19" s="203">
        <v>9994</v>
      </c>
      <c r="N19" s="203">
        <v>8750</v>
      </c>
      <c r="O19" s="203">
        <v>8750</v>
      </c>
      <c r="P19" s="203">
        <v>4875</v>
      </c>
      <c r="Q19" s="203">
        <v>5495</v>
      </c>
      <c r="R19" s="203">
        <v>7494</v>
      </c>
      <c r="S19" s="203">
        <v>13220</v>
      </c>
      <c r="T19" s="203">
        <v>6852</v>
      </c>
      <c r="U19" s="203">
        <v>8369</v>
      </c>
      <c r="V19" s="203">
        <v>7713</v>
      </c>
      <c r="W19" s="203">
        <v>7747</v>
      </c>
      <c r="X19" s="203">
        <v>8361</v>
      </c>
      <c r="Y19" s="203">
        <v>8594</v>
      </c>
      <c r="Z19" s="203">
        <v>8586</v>
      </c>
      <c r="AA19" s="203">
        <v>8939</v>
      </c>
      <c r="AB19" s="203">
        <v>4489</v>
      </c>
      <c r="AC19" s="295"/>
    </row>
    <row r="20" spans="1:29" x14ac:dyDescent="0.35">
      <c r="A20" s="204" t="s">
        <v>205</v>
      </c>
      <c r="B20" s="204" t="s">
        <v>206</v>
      </c>
      <c r="C20" s="204" t="s">
        <v>272</v>
      </c>
      <c r="D20" s="204" t="s">
        <v>273</v>
      </c>
      <c r="E20" s="202">
        <v>47</v>
      </c>
      <c r="F20" s="202">
        <v>169</v>
      </c>
      <c r="G20" s="202">
        <v>613</v>
      </c>
      <c r="H20" s="202">
        <v>144</v>
      </c>
      <c r="I20" s="205">
        <v>330</v>
      </c>
      <c r="J20" s="203">
        <v>438</v>
      </c>
      <c r="K20" s="203">
        <v>386</v>
      </c>
      <c r="L20" s="203">
        <v>288</v>
      </c>
      <c r="M20" s="203">
        <v>156</v>
      </c>
      <c r="N20" s="203">
        <v>300</v>
      </c>
      <c r="O20" s="203">
        <v>291</v>
      </c>
      <c r="P20" s="203">
        <v>66</v>
      </c>
      <c r="Q20" s="203">
        <v>234</v>
      </c>
      <c r="R20" s="203">
        <v>378</v>
      </c>
      <c r="S20" s="203">
        <v>566</v>
      </c>
      <c r="T20" s="203">
        <v>262</v>
      </c>
      <c r="U20" s="203">
        <v>293</v>
      </c>
      <c r="V20" s="203">
        <v>210</v>
      </c>
      <c r="W20" s="203">
        <v>319</v>
      </c>
      <c r="X20" s="203">
        <v>355</v>
      </c>
      <c r="Y20" s="203">
        <v>350</v>
      </c>
      <c r="Z20" s="203">
        <v>363</v>
      </c>
      <c r="AA20" s="203">
        <v>272</v>
      </c>
      <c r="AB20" s="203">
        <v>107</v>
      </c>
      <c r="AC20" s="295"/>
    </row>
    <row r="21" spans="1:29" x14ac:dyDescent="0.35">
      <c r="A21" s="204" t="s">
        <v>207</v>
      </c>
      <c r="B21" s="204" t="s">
        <v>208</v>
      </c>
      <c r="C21" s="204" t="s">
        <v>272</v>
      </c>
      <c r="D21" s="204" t="s">
        <v>273</v>
      </c>
      <c r="E21" s="202">
        <v>318</v>
      </c>
      <c r="F21" s="202">
        <v>1477</v>
      </c>
      <c r="G21" s="202">
        <v>2195</v>
      </c>
      <c r="H21" s="202">
        <v>631</v>
      </c>
      <c r="I21" s="205">
        <v>1445</v>
      </c>
      <c r="J21" s="203">
        <v>1241</v>
      </c>
      <c r="K21" s="203">
        <v>1361</v>
      </c>
      <c r="L21" s="203">
        <v>1786</v>
      </c>
      <c r="M21" s="203">
        <v>1577</v>
      </c>
      <c r="N21" s="203">
        <v>1466</v>
      </c>
      <c r="O21" s="203">
        <v>1583</v>
      </c>
      <c r="P21" s="203">
        <v>666</v>
      </c>
      <c r="Q21" s="203">
        <v>653</v>
      </c>
      <c r="R21" s="203">
        <v>1491</v>
      </c>
      <c r="S21" s="203">
        <v>2483</v>
      </c>
      <c r="T21" s="203">
        <v>1211</v>
      </c>
      <c r="U21" s="203">
        <v>1373</v>
      </c>
      <c r="V21" s="203">
        <v>1219</v>
      </c>
      <c r="W21" s="203">
        <v>1413</v>
      </c>
      <c r="X21" s="203">
        <v>1430</v>
      </c>
      <c r="Y21" s="203">
        <v>1473</v>
      </c>
      <c r="Z21" s="203">
        <v>1534</v>
      </c>
      <c r="AA21" s="203">
        <v>1566</v>
      </c>
      <c r="AB21" s="203">
        <v>705</v>
      </c>
      <c r="AC21" s="295"/>
    </row>
    <row r="22" spans="1:29" x14ac:dyDescent="0.35">
      <c r="A22" s="204" t="s">
        <v>122</v>
      </c>
      <c r="B22" s="204" t="s">
        <v>123</v>
      </c>
      <c r="C22" s="204" t="s">
        <v>275</v>
      </c>
      <c r="D22" s="204" t="s">
        <v>273</v>
      </c>
      <c r="E22" s="202">
        <v>50</v>
      </c>
      <c r="F22" s="202">
        <v>62</v>
      </c>
      <c r="G22" s="202"/>
      <c r="H22" s="202">
        <v>85</v>
      </c>
      <c r="I22" s="205">
        <v>138</v>
      </c>
      <c r="J22" s="203">
        <v>111</v>
      </c>
      <c r="K22" s="203">
        <v>208</v>
      </c>
      <c r="L22" s="203">
        <v>78</v>
      </c>
      <c r="M22" s="203">
        <v>150</v>
      </c>
      <c r="N22" s="203">
        <v>160</v>
      </c>
      <c r="O22" s="203">
        <v>170</v>
      </c>
      <c r="P22" s="203">
        <v>174</v>
      </c>
      <c r="Q22" s="203">
        <v>181</v>
      </c>
      <c r="R22" s="203">
        <v>165</v>
      </c>
      <c r="S22" s="203">
        <v>274</v>
      </c>
      <c r="T22" s="203">
        <v>213</v>
      </c>
      <c r="U22" s="203">
        <v>242</v>
      </c>
      <c r="V22" s="203">
        <v>255</v>
      </c>
      <c r="W22" s="203">
        <v>260</v>
      </c>
      <c r="X22" s="203">
        <v>276</v>
      </c>
      <c r="Y22" s="203">
        <v>292</v>
      </c>
      <c r="Z22" s="203">
        <v>298</v>
      </c>
      <c r="AA22" s="203">
        <v>315</v>
      </c>
      <c r="AB22" s="203">
        <v>323</v>
      </c>
    </row>
    <row r="23" spans="1:29" x14ac:dyDescent="0.35">
      <c r="A23" s="204" t="s">
        <v>124</v>
      </c>
      <c r="B23" s="204" t="s">
        <v>125</v>
      </c>
      <c r="C23" s="204" t="s">
        <v>275</v>
      </c>
      <c r="D23" s="204" t="s">
        <v>273</v>
      </c>
      <c r="E23" s="202"/>
      <c r="F23" s="202"/>
      <c r="G23" s="202"/>
      <c r="H23" s="202"/>
      <c r="I23" s="205"/>
      <c r="J23" s="203"/>
      <c r="K23" s="203"/>
      <c r="L23" s="203"/>
      <c r="M23" s="203"/>
      <c r="N23" s="203">
        <v>0</v>
      </c>
      <c r="O23" s="203">
        <v>0</v>
      </c>
      <c r="P23" s="203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3">
        <v>0</v>
      </c>
      <c r="W23" s="203">
        <v>0</v>
      </c>
      <c r="X23" s="203">
        <v>0</v>
      </c>
      <c r="Y23" s="203">
        <v>0</v>
      </c>
      <c r="Z23" s="203">
        <v>0</v>
      </c>
      <c r="AA23" s="203">
        <v>0</v>
      </c>
      <c r="AB23" s="203">
        <v>0</v>
      </c>
    </row>
    <row r="24" spans="1:29" x14ac:dyDescent="0.35">
      <c r="A24" s="204" t="s">
        <v>137</v>
      </c>
      <c r="B24" s="204" t="s">
        <v>138</v>
      </c>
      <c r="C24" s="204" t="s">
        <v>277</v>
      </c>
      <c r="D24" s="204" t="s">
        <v>273</v>
      </c>
      <c r="E24" s="202">
        <v>10883</v>
      </c>
      <c r="F24" s="202">
        <v>18316</v>
      </c>
      <c r="G24" s="202">
        <v>9472</v>
      </c>
      <c r="H24" s="202">
        <v>5474</v>
      </c>
      <c r="I24" s="205">
        <v>5685</v>
      </c>
      <c r="J24" s="203">
        <v>4358</v>
      </c>
      <c r="K24" s="203">
        <v>5128</v>
      </c>
      <c r="L24" s="203">
        <v>6546</v>
      </c>
      <c r="M24" s="203">
        <v>5109</v>
      </c>
      <c r="N24" s="203">
        <v>6206</v>
      </c>
      <c r="O24" s="203">
        <v>6703</v>
      </c>
      <c r="P24" s="203">
        <v>16512</v>
      </c>
      <c r="Q24" s="203">
        <v>4204</v>
      </c>
      <c r="R24" s="203">
        <v>6175</v>
      </c>
      <c r="S24" s="203">
        <v>10319</v>
      </c>
      <c r="T24" s="203">
        <v>6019</v>
      </c>
      <c r="U24" s="203">
        <v>4987</v>
      </c>
      <c r="V24" s="203">
        <v>19675</v>
      </c>
      <c r="W24" s="203">
        <v>5067</v>
      </c>
      <c r="X24" s="203">
        <v>7336</v>
      </c>
      <c r="Y24" s="203">
        <v>7374</v>
      </c>
      <c r="Z24" s="203">
        <v>7880</v>
      </c>
      <c r="AA24" s="203">
        <v>18878</v>
      </c>
      <c r="AB24" s="203">
        <v>10569</v>
      </c>
    </row>
    <row r="25" spans="1:29" x14ac:dyDescent="0.35">
      <c r="A25" s="204" t="s">
        <v>141</v>
      </c>
      <c r="B25" s="204" t="s">
        <v>142</v>
      </c>
      <c r="C25" s="204" t="s">
        <v>277</v>
      </c>
      <c r="D25" s="204" t="s">
        <v>273</v>
      </c>
      <c r="E25" s="202">
        <v>938</v>
      </c>
      <c r="F25" s="202">
        <v>1185</v>
      </c>
      <c r="G25" s="202">
        <v>1904</v>
      </c>
      <c r="H25" s="202">
        <v>937</v>
      </c>
      <c r="I25" s="205">
        <v>1444</v>
      </c>
      <c r="J25" s="203">
        <v>1475</v>
      </c>
      <c r="K25" s="203">
        <v>503</v>
      </c>
      <c r="L25" s="203">
        <v>1216</v>
      </c>
      <c r="M25" s="203">
        <v>1666</v>
      </c>
      <c r="N25" s="203">
        <v>1300</v>
      </c>
      <c r="O25" s="203">
        <v>1501</v>
      </c>
      <c r="P25" s="203">
        <v>1413</v>
      </c>
      <c r="Q25" s="203">
        <v>873</v>
      </c>
      <c r="R25" s="203">
        <v>1140</v>
      </c>
      <c r="S25" s="203">
        <v>1982</v>
      </c>
      <c r="T25" s="203">
        <v>1109</v>
      </c>
      <c r="U25" s="203">
        <v>1128</v>
      </c>
      <c r="V25" s="203">
        <v>1190</v>
      </c>
      <c r="W25" s="203">
        <v>1123</v>
      </c>
      <c r="X25" s="203">
        <v>1319</v>
      </c>
      <c r="Y25" s="203">
        <v>1312</v>
      </c>
      <c r="Z25" s="203">
        <v>1331</v>
      </c>
      <c r="AA25" s="203">
        <v>1364</v>
      </c>
      <c r="AB25" s="203">
        <v>1676</v>
      </c>
    </row>
    <row r="26" spans="1:29" x14ac:dyDescent="0.35">
      <c r="A26" s="204" t="s">
        <v>284</v>
      </c>
      <c r="B26" s="204" t="s">
        <v>282</v>
      </c>
      <c r="C26" s="204" t="s">
        <v>283</v>
      </c>
      <c r="D26" s="204" t="s">
        <v>273</v>
      </c>
      <c r="E26" s="202"/>
      <c r="F26" s="202"/>
      <c r="G26" s="202"/>
      <c r="H26" s="202"/>
      <c r="I26" s="205"/>
      <c r="J26" s="203"/>
      <c r="K26" s="203"/>
      <c r="L26" s="203"/>
      <c r="M26" s="203"/>
      <c r="N26" s="203">
        <v>8</v>
      </c>
      <c r="O26" s="203">
        <v>8</v>
      </c>
      <c r="P26" s="203">
        <v>4</v>
      </c>
      <c r="Q26" s="203">
        <v>6</v>
      </c>
      <c r="R26" s="203">
        <v>7</v>
      </c>
      <c r="S26" s="203">
        <v>8</v>
      </c>
      <c r="T26" s="203">
        <v>9</v>
      </c>
      <c r="U26" s="203">
        <v>10</v>
      </c>
      <c r="V26" s="203">
        <v>12</v>
      </c>
      <c r="W26" s="203">
        <v>13</v>
      </c>
      <c r="X26" s="203">
        <v>15</v>
      </c>
      <c r="Y26" s="203">
        <v>16</v>
      </c>
      <c r="Z26" s="203">
        <v>17</v>
      </c>
      <c r="AA26" s="203">
        <v>19</v>
      </c>
      <c r="AB26" s="203">
        <v>20</v>
      </c>
    </row>
    <row r="27" spans="1:29" x14ac:dyDescent="0.35">
      <c r="A27" s="204" t="s">
        <v>323</v>
      </c>
      <c r="B27" s="204" t="s">
        <v>325</v>
      </c>
      <c r="C27" s="204" t="s">
        <v>278</v>
      </c>
      <c r="D27" s="204" t="s">
        <v>273</v>
      </c>
      <c r="E27" s="202"/>
      <c r="F27" s="202"/>
      <c r="G27" s="202"/>
      <c r="H27" s="202"/>
      <c r="I27" s="205"/>
      <c r="J27" s="203"/>
      <c r="K27" s="203"/>
      <c r="L27" s="203"/>
      <c r="M27" s="203"/>
      <c r="N27" s="203">
        <v>0</v>
      </c>
      <c r="O27" s="203">
        <v>0</v>
      </c>
      <c r="P27" s="203">
        <v>0</v>
      </c>
      <c r="Q27" s="203">
        <v>28000</v>
      </c>
      <c r="R27" s="203">
        <v>0</v>
      </c>
      <c r="S27" s="203">
        <v>17600</v>
      </c>
      <c r="T27" s="203">
        <v>0</v>
      </c>
      <c r="U27" s="203">
        <v>0</v>
      </c>
      <c r="V27" s="203">
        <v>0</v>
      </c>
      <c r="W27" s="203">
        <v>0</v>
      </c>
      <c r="X27" s="203">
        <v>0</v>
      </c>
      <c r="Y27" s="203">
        <v>0</v>
      </c>
      <c r="Z27" s="203">
        <v>20000</v>
      </c>
      <c r="AA27" s="203">
        <v>0</v>
      </c>
      <c r="AB27" s="203">
        <v>20000</v>
      </c>
    </row>
    <row r="28" spans="1:29" x14ac:dyDescent="0.35">
      <c r="A28" s="204" t="s">
        <v>324</v>
      </c>
      <c r="B28" s="204" t="s">
        <v>326</v>
      </c>
      <c r="C28" s="204" t="s">
        <v>278</v>
      </c>
      <c r="D28" s="204" t="s">
        <v>273</v>
      </c>
      <c r="E28" s="202"/>
      <c r="F28" s="202"/>
      <c r="G28" s="202"/>
      <c r="H28" s="202"/>
      <c r="I28" s="205"/>
      <c r="J28" s="203"/>
      <c r="K28" s="203"/>
      <c r="L28" s="203"/>
      <c r="M28" s="203"/>
      <c r="N28" s="203">
        <v>0</v>
      </c>
      <c r="O28" s="203">
        <v>0</v>
      </c>
      <c r="P28" s="203">
        <v>0</v>
      </c>
      <c r="Q28" s="203">
        <v>96800</v>
      </c>
      <c r="R28" s="203">
        <v>0</v>
      </c>
      <c r="S28" s="203">
        <v>64800</v>
      </c>
      <c r="T28" s="203">
        <v>0</v>
      </c>
      <c r="U28" s="203">
        <v>0</v>
      </c>
      <c r="V28" s="203">
        <v>0</v>
      </c>
      <c r="W28" s="203">
        <v>0</v>
      </c>
      <c r="X28" s="203">
        <v>0</v>
      </c>
      <c r="Y28" s="203">
        <v>0</v>
      </c>
      <c r="Z28" s="203">
        <v>108000</v>
      </c>
      <c r="AA28" s="203">
        <v>0</v>
      </c>
      <c r="AB28" s="203">
        <v>72000</v>
      </c>
    </row>
  </sheetData>
  <autoFilter ref="A2:O28" xr:uid="{7A08B3F7-14A6-4CAD-8190-9488F3005538}"/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473A-3513-4FC2-8EE4-6303BE65B257}">
  <dimension ref="A1:D11"/>
  <sheetViews>
    <sheetView workbookViewId="0">
      <selection activeCell="D13" sqref="D13"/>
    </sheetView>
  </sheetViews>
  <sheetFormatPr defaultRowHeight="14.5" x14ac:dyDescent="0.35"/>
  <cols>
    <col min="1" max="1" width="19.54296875" bestFit="1" customWidth="1"/>
    <col min="2" max="2" width="27.1796875" bestFit="1" customWidth="1"/>
    <col min="3" max="3" width="10.26953125" bestFit="1" customWidth="1"/>
    <col min="4" max="4" width="65" customWidth="1"/>
  </cols>
  <sheetData>
    <row r="1" spans="1:4" x14ac:dyDescent="0.35">
      <c r="A1" s="285" t="s">
        <v>391</v>
      </c>
      <c r="B1" s="285" t="s">
        <v>392</v>
      </c>
      <c r="C1" s="285" t="s">
        <v>126</v>
      </c>
      <c r="D1" s="285" t="s">
        <v>393</v>
      </c>
    </row>
    <row r="2" spans="1:4" x14ac:dyDescent="0.35">
      <c r="A2" s="286">
        <v>3024171</v>
      </c>
      <c r="B2" s="287" t="s">
        <v>388</v>
      </c>
      <c r="C2" s="287" t="s">
        <v>311</v>
      </c>
      <c r="D2" s="55" t="s">
        <v>394</v>
      </c>
    </row>
    <row r="3" spans="1:4" x14ac:dyDescent="0.35">
      <c r="A3" s="286">
        <v>3097645</v>
      </c>
      <c r="B3" s="287" t="s">
        <v>389</v>
      </c>
      <c r="C3" s="287" t="s">
        <v>342</v>
      </c>
      <c r="D3" s="55" t="s">
        <v>394</v>
      </c>
    </row>
    <row r="4" spans="1:4" x14ac:dyDescent="0.35">
      <c r="A4" s="286">
        <v>3098167</v>
      </c>
      <c r="B4" s="287" t="s">
        <v>390</v>
      </c>
      <c r="C4" s="287" t="s">
        <v>337</v>
      </c>
      <c r="D4" s="55" t="s">
        <v>394</v>
      </c>
    </row>
    <row r="5" spans="1:4" ht="29" x14ac:dyDescent="0.35">
      <c r="A5" s="286" t="s">
        <v>397</v>
      </c>
      <c r="B5" s="287" t="s">
        <v>396</v>
      </c>
      <c r="C5" s="287" t="s">
        <v>331</v>
      </c>
      <c r="D5" s="288" t="s">
        <v>400</v>
      </c>
    </row>
    <row r="6" spans="1:4" x14ac:dyDescent="0.35">
      <c r="A6" s="286">
        <v>3070714</v>
      </c>
      <c r="B6" s="287" t="s">
        <v>113</v>
      </c>
      <c r="C6" s="287" t="s">
        <v>341</v>
      </c>
      <c r="D6" s="288" t="s">
        <v>401</v>
      </c>
    </row>
    <row r="7" spans="1:4" x14ac:dyDescent="0.35">
      <c r="A7" s="286">
        <v>3078901</v>
      </c>
      <c r="B7" s="287" t="s">
        <v>395</v>
      </c>
      <c r="C7" s="287" t="s">
        <v>377</v>
      </c>
      <c r="D7" s="55" t="s">
        <v>398</v>
      </c>
    </row>
    <row r="8" spans="1:4" x14ac:dyDescent="0.35">
      <c r="A8" s="327">
        <v>3014750</v>
      </c>
      <c r="B8" s="287" t="s">
        <v>113</v>
      </c>
      <c r="C8" s="287" t="s">
        <v>334</v>
      </c>
      <c r="D8" s="326" t="s">
        <v>399</v>
      </c>
    </row>
    <row r="9" spans="1:4" x14ac:dyDescent="0.35">
      <c r="A9" s="327"/>
      <c r="B9" s="287" t="s">
        <v>113</v>
      </c>
      <c r="C9" s="287" t="s">
        <v>315</v>
      </c>
      <c r="D9" s="326"/>
    </row>
    <row r="10" spans="1:4" x14ac:dyDescent="0.35">
      <c r="A10" s="284"/>
    </row>
    <row r="11" spans="1:4" x14ac:dyDescent="0.35">
      <c r="A11" s="284"/>
    </row>
  </sheetData>
  <mergeCells count="2">
    <mergeCell ref="D8:D9"/>
    <mergeCell ref="A8:A9"/>
  </mergeCells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90B6-A966-4BBA-A62C-7D827BD74DF5}">
  <sheetPr codeName="Planilha3"/>
  <dimension ref="B2:G27"/>
  <sheetViews>
    <sheetView showGridLines="0" topLeftCell="A7" zoomScale="90" zoomScaleNormal="90" workbookViewId="0">
      <selection activeCell="J26" sqref="J26"/>
    </sheetView>
  </sheetViews>
  <sheetFormatPr defaultRowHeight="14.5" x14ac:dyDescent="0.35"/>
  <cols>
    <col min="1" max="1" width="4.90625" customWidth="1"/>
    <col min="2" max="2" width="10.81640625" bestFit="1" customWidth="1"/>
    <col min="3" max="3" width="38" bestFit="1" customWidth="1"/>
    <col min="4" max="4" width="10.453125" customWidth="1"/>
    <col min="5" max="5" width="13.453125" bestFit="1" customWidth="1"/>
    <col min="6" max="6" width="11.1796875" bestFit="1" customWidth="1"/>
    <col min="7" max="7" width="28.81640625" bestFit="1" customWidth="1"/>
  </cols>
  <sheetData>
    <row r="2" spans="2:7" ht="18.5" customHeight="1" x14ac:dyDescent="0.35">
      <c r="B2" s="329" t="s">
        <v>291</v>
      </c>
      <c r="C2" s="330"/>
      <c r="D2" s="330"/>
      <c r="E2" s="330"/>
      <c r="F2" s="330"/>
      <c r="G2" s="330"/>
    </row>
    <row r="3" spans="2:7" x14ac:dyDescent="0.35">
      <c r="B3" s="190" t="s">
        <v>108</v>
      </c>
      <c r="C3" s="190" t="s">
        <v>218</v>
      </c>
      <c r="D3" s="190" t="s">
        <v>126</v>
      </c>
      <c r="E3" s="190" t="s">
        <v>238</v>
      </c>
      <c r="F3" s="190" t="s">
        <v>240</v>
      </c>
      <c r="G3" s="190" t="s">
        <v>318</v>
      </c>
    </row>
    <row r="4" spans="2:7" x14ac:dyDescent="0.35">
      <c r="B4" s="55" t="s">
        <v>133</v>
      </c>
      <c r="C4" s="55" t="s">
        <v>134</v>
      </c>
      <c r="D4" s="291" t="s">
        <v>379</v>
      </c>
      <c r="E4" s="102">
        <v>8541</v>
      </c>
      <c r="F4" s="231">
        <v>4</v>
      </c>
      <c r="G4" s="231" t="s">
        <v>720</v>
      </c>
    </row>
    <row r="5" spans="2:7" x14ac:dyDescent="0.35">
      <c r="B5" s="55" t="s">
        <v>137</v>
      </c>
      <c r="C5" s="55" t="s">
        <v>138</v>
      </c>
      <c r="D5" s="55" t="s">
        <v>722</v>
      </c>
      <c r="E5" s="276">
        <v>6006</v>
      </c>
      <c r="F5" s="231">
        <v>4</v>
      </c>
      <c r="G5" s="231" t="s">
        <v>720</v>
      </c>
    </row>
    <row r="6" spans="2:7" x14ac:dyDescent="0.35">
      <c r="B6" s="55"/>
      <c r="C6" s="55"/>
      <c r="D6" s="55"/>
      <c r="E6" s="276"/>
      <c r="F6" s="231"/>
      <c r="G6" s="231"/>
    </row>
    <row r="7" spans="2:7" x14ac:dyDescent="0.35">
      <c r="B7" s="55"/>
      <c r="C7" s="55"/>
      <c r="D7" s="55"/>
      <c r="E7" s="276"/>
      <c r="F7" s="231"/>
      <c r="G7" s="231"/>
    </row>
    <row r="8" spans="2:7" x14ac:dyDescent="0.35">
      <c r="B8" s="55"/>
      <c r="C8" s="55"/>
      <c r="D8" s="55"/>
      <c r="E8" s="276"/>
      <c r="F8" s="231"/>
      <c r="G8" s="231"/>
    </row>
    <row r="9" spans="2:7" x14ac:dyDescent="0.35">
      <c r="B9" s="55"/>
      <c r="C9" s="55"/>
      <c r="D9" s="55"/>
      <c r="E9" s="276"/>
      <c r="F9" s="231"/>
      <c r="G9" s="231"/>
    </row>
    <row r="10" spans="2:7" x14ac:dyDescent="0.35">
      <c r="B10" s="55"/>
      <c r="C10" s="55"/>
      <c r="D10" s="55"/>
      <c r="E10" s="276"/>
      <c r="F10" s="231"/>
      <c r="G10" s="231"/>
    </row>
    <row r="11" spans="2:7" x14ac:dyDescent="0.35">
      <c r="B11" s="55"/>
      <c r="C11" s="55"/>
      <c r="D11" s="55"/>
      <c r="E11" s="276"/>
      <c r="F11" s="231"/>
      <c r="G11" s="231"/>
    </row>
    <row r="12" spans="2:7" x14ac:dyDescent="0.35">
      <c r="B12" s="55"/>
      <c r="C12" s="55"/>
      <c r="D12" s="55"/>
      <c r="E12" s="276"/>
      <c r="F12" s="231"/>
      <c r="G12" s="231"/>
    </row>
    <row r="13" spans="2:7" x14ac:dyDescent="0.35">
      <c r="B13" s="55"/>
      <c r="C13" s="55"/>
      <c r="D13" s="55"/>
      <c r="E13" s="276"/>
      <c r="F13" s="231"/>
      <c r="G13" s="231"/>
    </row>
    <row r="14" spans="2:7" x14ac:dyDescent="0.35">
      <c r="B14" s="55"/>
      <c r="C14" s="55"/>
      <c r="D14" s="55"/>
      <c r="E14" s="276"/>
      <c r="F14" s="231"/>
      <c r="G14" s="231"/>
    </row>
    <row r="15" spans="2:7" x14ac:dyDescent="0.35">
      <c r="B15" s="55"/>
      <c r="C15" s="55"/>
      <c r="D15" s="55"/>
      <c r="E15" s="276"/>
      <c r="F15" s="231"/>
      <c r="G15" s="231"/>
    </row>
    <row r="16" spans="2:7" ht="15.5" x14ac:dyDescent="0.35">
      <c r="B16" s="46"/>
      <c r="C16" s="46"/>
      <c r="D16" s="46"/>
      <c r="E16" s="189">
        <f>SUM(E4:E12)</f>
        <v>14547</v>
      </c>
      <c r="F16" s="46"/>
    </row>
    <row r="18" spans="2:7" ht="15.5" x14ac:dyDescent="0.35">
      <c r="B18" s="328" t="s">
        <v>310</v>
      </c>
      <c r="C18" s="328"/>
      <c r="D18" s="328"/>
      <c r="E18" s="328"/>
      <c r="F18" s="328"/>
      <c r="G18" s="328"/>
    </row>
    <row r="19" spans="2:7" x14ac:dyDescent="0.35">
      <c r="B19" s="190" t="s">
        <v>108</v>
      </c>
      <c r="C19" s="190" t="s">
        <v>218</v>
      </c>
      <c r="D19" s="190" t="s">
        <v>126</v>
      </c>
      <c r="E19" s="190" t="s">
        <v>238</v>
      </c>
      <c r="F19" s="190" t="s">
        <v>241</v>
      </c>
      <c r="G19" s="190" t="s">
        <v>297</v>
      </c>
    </row>
    <row r="20" spans="2:7" x14ac:dyDescent="0.35">
      <c r="B20" s="55" t="s">
        <v>205</v>
      </c>
      <c r="C20" s="55" t="s">
        <v>206</v>
      </c>
      <c r="D20" s="55" t="s">
        <v>346</v>
      </c>
      <c r="E20" s="102">
        <v>57</v>
      </c>
      <c r="F20" s="102" t="s">
        <v>258</v>
      </c>
      <c r="G20" s="102" t="s">
        <v>480</v>
      </c>
    </row>
    <row r="21" spans="2:7" x14ac:dyDescent="0.35">
      <c r="B21" s="55"/>
      <c r="C21" s="55"/>
      <c r="D21" s="55"/>
      <c r="E21" s="102"/>
      <c r="F21" s="276"/>
      <c r="G21" s="276"/>
    </row>
    <row r="22" spans="2:7" x14ac:dyDescent="0.35">
      <c r="B22" s="55"/>
      <c r="C22" s="55"/>
      <c r="D22" s="55"/>
      <c r="E22" s="102"/>
      <c r="F22" s="102"/>
      <c r="G22" s="102"/>
    </row>
    <row r="23" spans="2:7" x14ac:dyDescent="0.35">
      <c r="B23" s="55"/>
      <c r="C23" s="55"/>
      <c r="D23" s="55"/>
      <c r="E23" s="102"/>
      <c r="F23" s="102"/>
      <c r="G23" s="102"/>
    </row>
    <row r="24" spans="2:7" x14ac:dyDescent="0.35">
      <c r="B24" s="55"/>
      <c r="C24" s="55"/>
      <c r="D24" s="55"/>
      <c r="E24" s="102"/>
      <c r="F24" s="102"/>
      <c r="G24" s="102"/>
    </row>
    <row r="25" spans="2:7" x14ac:dyDescent="0.35">
      <c r="B25" s="55"/>
      <c r="C25" s="55"/>
      <c r="D25" s="55"/>
      <c r="E25" s="102"/>
      <c r="F25" s="102"/>
      <c r="G25" s="102"/>
    </row>
    <row r="26" spans="2:7" x14ac:dyDescent="0.35">
      <c r="B26" s="55"/>
      <c r="C26" s="55"/>
      <c r="D26" s="55"/>
      <c r="E26" s="102"/>
      <c r="F26" s="102"/>
      <c r="G26" s="102"/>
    </row>
    <row r="27" spans="2:7" x14ac:dyDescent="0.35">
      <c r="B27" s="55"/>
      <c r="C27" s="55"/>
      <c r="D27" s="55"/>
      <c r="E27" s="102"/>
      <c r="F27" s="102"/>
      <c r="G27" s="102"/>
    </row>
  </sheetData>
  <mergeCells count="2">
    <mergeCell ref="B18:G18"/>
    <mergeCell ref="B2:G2"/>
  </mergeCells>
  <dataValidations count="1">
    <dataValidation type="list" allowBlank="1" showInputMessage="1" showErrorMessage="1" sqref="G20:G27" xr:uid="{38F9A443-E711-45B9-A3EA-0581D3110336}">
      <formula1>"BLOQUEAR,DESBLOQUEAR"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  <drawing r:id="rId4"/>
  <legacyDrawing r:id="rId5"/>
  <controls>
    <mc:AlternateContent xmlns:mc="http://schemas.openxmlformats.org/markup-compatibility/2006">
      <mc:Choice Requires="x14">
        <control shapeId="24577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25400</xdr:colOff>
                <xdr:row>0</xdr:row>
                <xdr:rowOff>0</xdr:rowOff>
              </to>
            </anchor>
          </controlPr>
        </control>
      </mc:Choice>
      <mc:Fallback>
        <control shapeId="24577" r:id="rId6" name="FPMExcelClientSheetOptionstb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2BF5-9B22-4728-A5F4-471D9778823D}">
  <dimension ref="A1:G24"/>
  <sheetViews>
    <sheetView workbookViewId="0">
      <selection activeCell="G7" sqref="G7"/>
    </sheetView>
  </sheetViews>
  <sheetFormatPr defaultRowHeight="14.5" x14ac:dyDescent="0.35"/>
  <cols>
    <col min="1" max="1" width="9.08984375" bestFit="1" customWidth="1"/>
    <col min="2" max="2" width="37.26953125" bestFit="1" customWidth="1"/>
    <col min="3" max="3" width="6.1796875" bestFit="1" customWidth="1"/>
    <col min="4" max="4" width="20.6328125" bestFit="1" customWidth="1"/>
    <col min="5" max="5" width="7.54296875" bestFit="1" customWidth="1"/>
    <col min="6" max="6" width="11.81640625" bestFit="1" customWidth="1"/>
    <col min="7" max="7" width="38.54296875" bestFit="1" customWidth="1"/>
  </cols>
  <sheetData>
    <row r="1" spans="1:7" x14ac:dyDescent="0.35">
      <c r="A1" s="272" t="s">
        <v>369</v>
      </c>
      <c r="B1" s="272" t="s">
        <v>370</v>
      </c>
      <c r="C1" s="272" t="s">
        <v>371</v>
      </c>
      <c r="D1" s="272" t="s">
        <v>375</v>
      </c>
      <c r="E1" s="272" t="s">
        <v>374</v>
      </c>
      <c r="F1" s="339" t="s">
        <v>1</v>
      </c>
      <c r="G1" s="339" t="s">
        <v>856</v>
      </c>
    </row>
    <row r="2" spans="1:7" x14ac:dyDescent="0.35">
      <c r="A2" s="273" t="s">
        <v>143</v>
      </c>
      <c r="B2" s="273" t="s">
        <v>144</v>
      </c>
      <c r="C2" s="273" t="s">
        <v>372</v>
      </c>
      <c r="D2" s="274">
        <v>60</v>
      </c>
      <c r="E2" s="274">
        <v>60</v>
      </c>
      <c r="F2">
        <f>E2/30</f>
        <v>2</v>
      </c>
      <c r="G2" t="s">
        <v>855</v>
      </c>
    </row>
    <row r="3" spans="1:7" x14ac:dyDescent="0.35">
      <c r="A3" s="273" t="s">
        <v>107</v>
      </c>
      <c r="B3" s="273" t="s">
        <v>336</v>
      </c>
      <c r="C3" s="273" t="s">
        <v>372</v>
      </c>
      <c r="D3" s="274">
        <v>1</v>
      </c>
      <c r="E3" s="274">
        <v>30</v>
      </c>
      <c r="F3">
        <f t="shared" ref="F3:F24" si="0">E3/30</f>
        <v>1</v>
      </c>
      <c r="G3" t="s">
        <v>857</v>
      </c>
    </row>
    <row r="4" spans="1:7" x14ac:dyDescent="0.35">
      <c r="A4" s="273" t="s">
        <v>10</v>
      </c>
      <c r="B4" s="273" t="s">
        <v>11</v>
      </c>
      <c r="C4" s="273" t="s">
        <v>372</v>
      </c>
      <c r="D4" s="274">
        <v>60</v>
      </c>
      <c r="E4" s="274">
        <v>60</v>
      </c>
      <c r="F4">
        <f t="shared" si="0"/>
        <v>2</v>
      </c>
    </row>
    <row r="5" spans="1:7" x14ac:dyDescent="0.35">
      <c r="A5" s="273" t="s">
        <v>6</v>
      </c>
      <c r="B5" s="273" t="s">
        <v>7</v>
      </c>
      <c r="C5" s="273" t="s">
        <v>372</v>
      </c>
      <c r="D5" s="274">
        <v>30</v>
      </c>
      <c r="E5" s="274">
        <v>40</v>
      </c>
      <c r="F5">
        <f t="shared" si="0"/>
        <v>1.3333333333333333</v>
      </c>
      <c r="G5" t="s">
        <v>858</v>
      </c>
    </row>
    <row r="6" spans="1:7" x14ac:dyDescent="0.35">
      <c r="A6" s="273" t="s">
        <v>8</v>
      </c>
      <c r="B6" s="273" t="s">
        <v>9</v>
      </c>
      <c r="C6" s="273" t="s">
        <v>372</v>
      </c>
      <c r="D6" s="274">
        <v>60</v>
      </c>
      <c r="E6" s="274">
        <v>60</v>
      </c>
      <c r="F6">
        <f t="shared" si="0"/>
        <v>2</v>
      </c>
    </row>
    <row r="7" spans="1:7" x14ac:dyDescent="0.35">
      <c r="A7" s="273" t="s">
        <v>5</v>
      </c>
      <c r="B7" s="273" t="s">
        <v>373</v>
      </c>
      <c r="C7" s="273" t="s">
        <v>372</v>
      </c>
      <c r="D7" s="274">
        <v>1</v>
      </c>
      <c r="E7" s="274">
        <v>1</v>
      </c>
      <c r="F7">
        <f t="shared" si="0"/>
        <v>3.3333333333333333E-2</v>
      </c>
    </row>
    <row r="8" spans="1:7" x14ac:dyDescent="0.35">
      <c r="A8" s="273" t="s">
        <v>163</v>
      </c>
      <c r="B8" s="273" t="s">
        <v>164</v>
      </c>
      <c r="C8" s="273" t="s">
        <v>372</v>
      </c>
      <c r="D8" s="274">
        <v>30</v>
      </c>
      <c r="E8" s="274">
        <v>1</v>
      </c>
      <c r="F8">
        <f t="shared" si="0"/>
        <v>3.3333333333333333E-2</v>
      </c>
    </row>
    <row r="9" spans="1:7" x14ac:dyDescent="0.35">
      <c r="A9" s="273" t="s">
        <v>169</v>
      </c>
      <c r="B9" s="273" t="s">
        <v>170</v>
      </c>
      <c r="C9" s="273" t="s">
        <v>372</v>
      </c>
      <c r="D9" s="274">
        <v>28</v>
      </c>
      <c r="E9" s="274">
        <v>40</v>
      </c>
      <c r="F9">
        <f t="shared" si="0"/>
        <v>1.3333333333333333</v>
      </c>
    </row>
    <row r="10" spans="1:7" x14ac:dyDescent="0.35">
      <c r="A10" s="273" t="s">
        <v>127</v>
      </c>
      <c r="B10" s="273" t="s">
        <v>128</v>
      </c>
      <c r="C10" s="273" t="s">
        <v>372</v>
      </c>
      <c r="D10" s="274">
        <v>28</v>
      </c>
      <c r="E10" s="274">
        <v>60</v>
      </c>
      <c r="F10">
        <f t="shared" si="0"/>
        <v>2</v>
      </c>
    </row>
    <row r="11" spans="1:7" x14ac:dyDescent="0.35">
      <c r="A11" s="273" t="s">
        <v>182</v>
      </c>
      <c r="B11" s="273" t="s">
        <v>183</v>
      </c>
      <c r="C11" s="273" t="s">
        <v>372</v>
      </c>
      <c r="D11" s="274">
        <v>28</v>
      </c>
      <c r="E11" s="274">
        <v>60</v>
      </c>
      <c r="F11">
        <f t="shared" si="0"/>
        <v>2</v>
      </c>
    </row>
    <row r="12" spans="1:7" x14ac:dyDescent="0.35">
      <c r="A12" s="273" t="s">
        <v>193</v>
      </c>
      <c r="B12" s="273" t="s">
        <v>194</v>
      </c>
      <c r="C12" s="273" t="s">
        <v>372</v>
      </c>
      <c r="D12" s="274">
        <v>31</v>
      </c>
      <c r="E12" s="274">
        <v>40</v>
      </c>
      <c r="F12">
        <f t="shared" si="0"/>
        <v>1.3333333333333333</v>
      </c>
    </row>
    <row r="13" spans="1:7" x14ac:dyDescent="0.35">
      <c r="A13" s="273" t="s">
        <v>130</v>
      </c>
      <c r="B13" s="273" t="s">
        <v>131</v>
      </c>
      <c r="C13" s="273" t="s">
        <v>372</v>
      </c>
      <c r="D13" s="274">
        <v>28</v>
      </c>
      <c r="E13" s="274">
        <v>60</v>
      </c>
      <c r="F13">
        <f t="shared" si="0"/>
        <v>2</v>
      </c>
    </row>
    <row r="14" spans="1:7" x14ac:dyDescent="0.35">
      <c r="A14" s="273" t="s">
        <v>158</v>
      </c>
      <c r="B14" s="273" t="s">
        <v>159</v>
      </c>
      <c r="C14" s="273" t="s">
        <v>372</v>
      </c>
      <c r="D14" s="274">
        <v>180</v>
      </c>
      <c r="E14" s="274">
        <v>60</v>
      </c>
      <c r="F14">
        <f t="shared" si="0"/>
        <v>2</v>
      </c>
    </row>
    <row r="15" spans="1:7" x14ac:dyDescent="0.35">
      <c r="A15" s="273" t="s">
        <v>17</v>
      </c>
      <c r="B15" s="273" t="s">
        <v>280</v>
      </c>
      <c r="C15" s="273" t="s">
        <v>372</v>
      </c>
      <c r="D15" s="274">
        <v>60</v>
      </c>
      <c r="E15" s="274"/>
      <c r="F15">
        <f t="shared" si="0"/>
        <v>0</v>
      </c>
    </row>
    <row r="16" spans="1:7" x14ac:dyDescent="0.35">
      <c r="A16" s="273" t="s">
        <v>18</v>
      </c>
      <c r="B16" s="273" t="s">
        <v>281</v>
      </c>
      <c r="C16" s="273" t="s">
        <v>372</v>
      </c>
      <c r="D16" s="274">
        <v>60</v>
      </c>
      <c r="E16" s="274"/>
      <c r="F16">
        <f t="shared" si="0"/>
        <v>0</v>
      </c>
    </row>
    <row r="17" spans="1:7" x14ac:dyDescent="0.35">
      <c r="A17" s="273" t="s">
        <v>197</v>
      </c>
      <c r="B17" s="273" t="s">
        <v>198</v>
      </c>
      <c r="C17" s="273" t="s">
        <v>372</v>
      </c>
      <c r="D17" s="274">
        <v>60</v>
      </c>
      <c r="E17" s="274">
        <v>40</v>
      </c>
      <c r="F17">
        <f t="shared" si="0"/>
        <v>1.3333333333333333</v>
      </c>
    </row>
    <row r="18" spans="1:7" x14ac:dyDescent="0.35">
      <c r="A18" s="273" t="s">
        <v>133</v>
      </c>
      <c r="B18" s="273" t="s">
        <v>134</v>
      </c>
      <c r="C18" s="273" t="s">
        <v>372</v>
      </c>
      <c r="D18" s="274">
        <v>45</v>
      </c>
      <c r="E18" s="274">
        <v>40</v>
      </c>
      <c r="F18">
        <f t="shared" si="0"/>
        <v>1.3333333333333333</v>
      </c>
    </row>
    <row r="19" spans="1:7" x14ac:dyDescent="0.35">
      <c r="A19" s="273" t="s">
        <v>205</v>
      </c>
      <c r="B19" s="273" t="s">
        <v>206</v>
      </c>
      <c r="C19" s="273" t="s">
        <v>372</v>
      </c>
      <c r="D19" s="274">
        <v>7</v>
      </c>
      <c r="E19" s="274">
        <v>40</v>
      </c>
      <c r="F19">
        <f t="shared" si="0"/>
        <v>1.3333333333333333</v>
      </c>
    </row>
    <row r="20" spans="1:7" x14ac:dyDescent="0.35">
      <c r="A20" s="273" t="s">
        <v>207</v>
      </c>
      <c r="B20" s="273" t="s">
        <v>208</v>
      </c>
      <c r="C20" s="273" t="s">
        <v>372</v>
      </c>
      <c r="D20" s="274">
        <v>45</v>
      </c>
      <c r="E20" s="274">
        <v>60</v>
      </c>
      <c r="F20">
        <f t="shared" si="0"/>
        <v>2</v>
      </c>
    </row>
    <row r="21" spans="1:7" x14ac:dyDescent="0.35">
      <c r="A21" s="273" t="s">
        <v>122</v>
      </c>
      <c r="B21" s="273" t="s">
        <v>123</v>
      </c>
      <c r="C21" s="273" t="s">
        <v>372</v>
      </c>
      <c r="D21" s="274">
        <v>60</v>
      </c>
      <c r="E21" s="274">
        <v>60</v>
      </c>
      <c r="F21">
        <f t="shared" si="0"/>
        <v>2</v>
      </c>
    </row>
    <row r="22" spans="1:7" x14ac:dyDescent="0.35">
      <c r="A22" s="273" t="s">
        <v>124</v>
      </c>
      <c r="B22" s="273" t="s">
        <v>125</v>
      </c>
      <c r="C22" s="273" t="s">
        <v>372</v>
      </c>
      <c r="D22" s="274">
        <v>60</v>
      </c>
      <c r="E22" s="274">
        <v>30</v>
      </c>
      <c r="F22">
        <f t="shared" si="0"/>
        <v>1</v>
      </c>
    </row>
    <row r="23" spans="1:7" x14ac:dyDescent="0.35">
      <c r="A23" s="273" t="s">
        <v>137</v>
      </c>
      <c r="B23" s="273" t="s">
        <v>138</v>
      </c>
      <c r="C23" s="273" t="s">
        <v>372</v>
      </c>
      <c r="D23" s="274">
        <v>28</v>
      </c>
      <c r="E23" s="274">
        <v>60</v>
      </c>
      <c r="F23">
        <f t="shared" si="0"/>
        <v>2</v>
      </c>
    </row>
    <row r="24" spans="1:7" x14ac:dyDescent="0.35">
      <c r="A24" s="273" t="s">
        <v>141</v>
      </c>
      <c r="B24" s="273" t="s">
        <v>142</v>
      </c>
      <c r="C24" s="273" t="s">
        <v>372</v>
      </c>
      <c r="D24" s="274">
        <v>28</v>
      </c>
      <c r="E24" s="274">
        <v>45</v>
      </c>
      <c r="F24">
        <f t="shared" si="0"/>
        <v>1.5</v>
      </c>
      <c r="G24" t="s">
        <v>859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76EB-A149-4D08-B10C-6CB70FCAC4B1}">
  <dimension ref="A1:Q6"/>
  <sheetViews>
    <sheetView showGridLines="0" zoomScale="70" zoomScaleNormal="7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6" sqref="O6"/>
    </sheetView>
  </sheetViews>
  <sheetFormatPr defaultRowHeight="14.5" x14ac:dyDescent="0.35"/>
  <cols>
    <col min="1" max="1" width="12.1796875" bestFit="1" customWidth="1"/>
    <col min="2" max="2" width="42.26953125" customWidth="1"/>
    <col min="3" max="14" width="15.90625" customWidth="1"/>
    <col min="15" max="15" width="65.54296875" customWidth="1"/>
    <col min="16" max="16" width="19.36328125" customWidth="1"/>
    <col min="17" max="17" width="41.90625" customWidth="1"/>
  </cols>
  <sheetData>
    <row r="1" spans="1:17" ht="34" customHeight="1" x14ac:dyDescent="0.35">
      <c r="A1" s="257" t="s">
        <v>4</v>
      </c>
      <c r="B1" s="257" t="s">
        <v>3</v>
      </c>
      <c r="C1" s="259" t="s">
        <v>354</v>
      </c>
      <c r="D1" s="259" t="s">
        <v>352</v>
      </c>
      <c r="E1" s="259" t="s">
        <v>339</v>
      </c>
      <c r="F1" s="259" t="s">
        <v>338</v>
      </c>
      <c r="G1" s="260" t="s">
        <v>353</v>
      </c>
      <c r="H1" s="260" t="s">
        <v>355</v>
      </c>
      <c r="I1" s="260" t="s">
        <v>340</v>
      </c>
      <c r="J1" s="260" t="s">
        <v>356</v>
      </c>
      <c r="K1" s="262" t="s">
        <v>357</v>
      </c>
      <c r="L1" s="262" t="s">
        <v>358</v>
      </c>
      <c r="M1" s="262" t="s">
        <v>359</v>
      </c>
      <c r="N1" s="262" t="s">
        <v>360</v>
      </c>
      <c r="O1" s="258" t="s">
        <v>318</v>
      </c>
      <c r="P1" s="258" t="s">
        <v>351</v>
      </c>
      <c r="Q1" s="258" t="s">
        <v>297</v>
      </c>
    </row>
    <row r="2" spans="1:17" ht="112.5" customHeight="1" x14ac:dyDescent="0.35">
      <c r="A2" s="252" t="s">
        <v>6</v>
      </c>
      <c r="B2" s="252" t="s">
        <v>7</v>
      </c>
      <c r="C2" s="253">
        <v>2477.7678753118989</v>
      </c>
      <c r="D2" s="253">
        <v>2381</v>
      </c>
      <c r="E2" s="254">
        <v>0.96</v>
      </c>
      <c r="F2" s="264">
        <f>2625+2331</f>
        <v>4956</v>
      </c>
      <c r="G2" s="253">
        <v>2725.1666666666665</v>
      </c>
      <c r="H2" s="253">
        <v>4859.2321246881011</v>
      </c>
      <c r="I2" s="261">
        <v>1.78</v>
      </c>
      <c r="J2" s="263">
        <f>3000+700</f>
        <v>3700</v>
      </c>
      <c r="K2" s="253">
        <v>2854.815970819433</v>
      </c>
      <c r="L2" s="253">
        <v>5837.0654580214341</v>
      </c>
      <c r="M2" s="261">
        <v>2.04</v>
      </c>
      <c r="N2" s="253">
        <v>1818</v>
      </c>
      <c r="O2" s="249" t="s">
        <v>349</v>
      </c>
      <c r="P2" s="55">
        <f>VLOOKUP(A2,[1]M_SKUPLANNINGPARAM_M223444_2107!$A:$J,10,0)</f>
        <v>45</v>
      </c>
      <c r="Q2" s="249" t="s">
        <v>361</v>
      </c>
    </row>
    <row r="3" spans="1:17" ht="93" customHeight="1" x14ac:dyDescent="0.35">
      <c r="A3" s="256" t="s">
        <v>141</v>
      </c>
      <c r="B3" s="252" t="s">
        <v>142</v>
      </c>
      <c r="C3" s="253">
        <v>1131</v>
      </c>
      <c r="D3" s="253">
        <v>3597</v>
      </c>
      <c r="E3" s="254">
        <v>3.180371352785146</v>
      </c>
      <c r="F3" s="255">
        <v>0</v>
      </c>
      <c r="G3" s="253">
        <v>1184</v>
      </c>
      <c r="H3" s="253">
        <v>2466</v>
      </c>
      <c r="I3" s="254">
        <v>2.08</v>
      </c>
      <c r="J3" s="263">
        <v>2700</v>
      </c>
      <c r="K3" s="253">
        <v>3274</v>
      </c>
      <c r="L3" s="253">
        <v>3982</v>
      </c>
      <c r="M3" s="254">
        <v>2.2937788018433181</v>
      </c>
      <c r="N3" s="253">
        <v>0</v>
      </c>
      <c r="O3" s="249" t="s">
        <v>348</v>
      </c>
      <c r="P3" s="55">
        <f>VLOOKUP(A3,[1]M_SKUPLANNINGPARAM_M223444_2107!$A:$J,10,0)</f>
        <v>60</v>
      </c>
      <c r="Q3" s="249" t="s">
        <v>364</v>
      </c>
    </row>
    <row r="4" spans="1:17" ht="123.5" customHeight="1" x14ac:dyDescent="0.35">
      <c r="A4" s="256" t="s">
        <v>207</v>
      </c>
      <c r="B4" s="252" t="s">
        <v>208</v>
      </c>
      <c r="C4" s="253">
        <v>1216</v>
      </c>
      <c r="D4" s="253">
        <v>1952</v>
      </c>
      <c r="E4" s="254">
        <v>1.61</v>
      </c>
      <c r="F4" s="255">
        <f>2142+578</f>
        <v>2720</v>
      </c>
      <c r="G4" s="253">
        <v>1466</v>
      </c>
      <c r="H4" s="253">
        <v>3456</v>
      </c>
      <c r="I4" s="261">
        <v>2.36</v>
      </c>
      <c r="J4" s="263">
        <v>2176</v>
      </c>
      <c r="K4" s="253">
        <v>1583</v>
      </c>
      <c r="L4" s="253">
        <v>4166</v>
      </c>
      <c r="M4" s="254">
        <v>2.63</v>
      </c>
      <c r="N4" s="265">
        <f>1972</f>
        <v>1972</v>
      </c>
      <c r="O4" s="249" t="s">
        <v>347</v>
      </c>
      <c r="P4" s="55">
        <f>VLOOKUP(A4,[1]M_SKUPLANNINGPARAM_M223444_2107!$A:$J,10,0)</f>
        <v>60</v>
      </c>
      <c r="Q4" s="249" t="s">
        <v>363</v>
      </c>
    </row>
    <row r="5" spans="1:17" ht="86.5" customHeight="1" x14ac:dyDescent="0.35">
      <c r="A5" s="256" t="s">
        <v>130</v>
      </c>
      <c r="B5" s="252" t="s">
        <v>131</v>
      </c>
      <c r="C5" s="253">
        <v>7500</v>
      </c>
      <c r="D5" s="253">
        <v>10615</v>
      </c>
      <c r="E5" s="254">
        <v>1.42</v>
      </c>
      <c r="F5" s="255">
        <v>10123</v>
      </c>
      <c r="G5" s="253">
        <v>7600</v>
      </c>
      <c r="H5" s="253">
        <v>13238</v>
      </c>
      <c r="I5" s="254">
        <v>1.74</v>
      </c>
      <c r="J5" s="263">
        <f>7500</f>
        <v>7500</v>
      </c>
      <c r="K5" s="253">
        <v>8200</v>
      </c>
      <c r="L5" s="253">
        <v>13138</v>
      </c>
      <c r="M5" s="254">
        <v>1.6</v>
      </c>
      <c r="N5" s="253">
        <v>7500</v>
      </c>
      <c r="O5" s="249" t="s">
        <v>350</v>
      </c>
      <c r="P5" s="55">
        <f>VLOOKUP(A5,[1]M_SKUPLANNINGPARAM_M223444_2107!$A:$J,10,0)</f>
        <v>60</v>
      </c>
      <c r="Q5" s="249" t="s">
        <v>365</v>
      </c>
    </row>
    <row r="6" spans="1:17" ht="58.5" customHeight="1" x14ac:dyDescent="0.35">
      <c r="A6" s="256" t="s">
        <v>193</v>
      </c>
      <c r="B6" s="252" t="s">
        <v>194</v>
      </c>
      <c r="C6" s="253">
        <v>3310</v>
      </c>
      <c r="D6" s="253">
        <v>4879</v>
      </c>
      <c r="E6" s="254">
        <v>1.47</v>
      </c>
      <c r="F6" s="264">
        <v>3400</v>
      </c>
      <c r="G6" s="253">
        <v>3350</v>
      </c>
      <c r="H6" s="253">
        <v>4969</v>
      </c>
      <c r="I6" s="254">
        <v>1.48</v>
      </c>
      <c r="J6" s="263">
        <f>1126+2176</f>
        <v>3302</v>
      </c>
      <c r="K6" s="253">
        <v>3274</v>
      </c>
      <c r="L6" s="253">
        <v>4921</v>
      </c>
      <c r="M6" s="254">
        <v>1.5</v>
      </c>
      <c r="N6" s="253">
        <v>2414</v>
      </c>
      <c r="O6" s="249"/>
      <c r="P6" s="55">
        <f>VLOOKUP(A6,[1]M_SKUPLANNINGPARAM_M223444_2107!$A:$J,10,0)</f>
        <v>45</v>
      </c>
      <c r="Q6" s="249" t="s">
        <v>362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D90-1ED0-484B-9047-081E177543B3}">
  <sheetPr codeName="Planilha11"/>
  <dimension ref="A1:AW20"/>
  <sheetViews>
    <sheetView showGridLines="0" zoomScale="70" zoomScaleNormal="70" zoomScaleSheetLayoutView="110" workbookViewId="0">
      <pane xSplit="2" ySplit="3" topLeftCell="C4" activePane="bottomRight" state="frozen"/>
      <selection activeCell="F8" sqref="F8"/>
      <selection pane="topRight" activeCell="F8" sqref="F8"/>
      <selection pane="bottomLeft" activeCell="F8" sqref="F8"/>
      <selection pane="bottomRight" activeCell="T12" sqref="T12"/>
    </sheetView>
  </sheetViews>
  <sheetFormatPr defaultRowHeight="14.5" x14ac:dyDescent="0.35"/>
  <cols>
    <col min="1" max="1" width="10.08984375" customWidth="1"/>
    <col min="2" max="2" width="34.36328125" bestFit="1" customWidth="1"/>
    <col min="3" max="5" width="8.36328125" customWidth="1"/>
    <col min="6" max="8" width="7.90625" customWidth="1"/>
    <col min="9" max="10" width="7.90625" bestFit="1" customWidth="1"/>
    <col min="11" max="11" width="7.36328125" customWidth="1"/>
    <col min="12" max="12" width="7.6328125" customWidth="1"/>
    <col min="13" max="13" width="7" customWidth="1"/>
    <col min="14" max="15" width="7.453125" customWidth="1"/>
    <col min="16" max="16" width="8.7265625" bestFit="1" customWidth="1"/>
    <col min="17" max="22" width="7.453125" customWidth="1"/>
    <col min="23" max="23" width="11" bestFit="1" customWidth="1"/>
    <col min="24" max="24" width="1.90625" customWidth="1"/>
    <col min="25" max="25" width="9" customWidth="1"/>
    <col min="26" max="26" width="9.453125" customWidth="1"/>
    <col min="27" max="27" width="13.36328125" bestFit="1" customWidth="1"/>
    <col min="28" max="28" width="10.54296875" customWidth="1"/>
    <col min="29" max="29" width="11.6328125" bestFit="1" customWidth="1"/>
    <col min="30" max="31" width="12.81640625" bestFit="1" customWidth="1"/>
    <col min="32" max="32" width="11" bestFit="1" customWidth="1"/>
    <col min="33" max="33" width="12.54296875" bestFit="1" customWidth="1"/>
    <col min="34" max="34" width="15.81640625" bestFit="1" customWidth="1"/>
    <col min="35" max="35" width="11.1796875" bestFit="1" customWidth="1"/>
    <col min="36" max="37" width="13.90625" bestFit="1" customWidth="1"/>
    <col min="38" max="40" width="12.453125" bestFit="1" customWidth="1"/>
    <col min="41" max="42" width="13.90625" bestFit="1" customWidth="1"/>
    <col min="43" max="45" width="13.90625" customWidth="1"/>
    <col min="46" max="46" width="20.08984375" bestFit="1" customWidth="1"/>
    <col min="47" max="47" width="7.90625" bestFit="1" customWidth="1"/>
    <col min="48" max="48" width="10.81640625" bestFit="1" customWidth="1"/>
    <col min="49" max="49" width="9.81640625" bestFit="1" customWidth="1"/>
  </cols>
  <sheetData>
    <row r="1" spans="1:49" s="46" customFormat="1" ht="44" customHeight="1" x14ac:dyDescent="0.35">
      <c r="A1" s="331" t="s">
        <v>254</v>
      </c>
      <c r="B1" s="331"/>
      <c r="C1" s="332" t="s">
        <v>223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/>
      <c r="Z1" s="145" t="s">
        <v>224</v>
      </c>
      <c r="AA1" s="145"/>
      <c r="AB1" s="145"/>
      <c r="AC1" s="145"/>
      <c r="AD1" s="145"/>
      <c r="AE1" s="145"/>
      <c r="AF1" s="145"/>
      <c r="AG1" s="332" t="s">
        <v>224</v>
      </c>
      <c r="AH1" s="332"/>
      <c r="AI1" s="332"/>
      <c r="AJ1" s="332"/>
      <c r="AK1" s="332"/>
      <c r="AL1" s="332"/>
      <c r="AM1" s="332"/>
      <c r="AN1" s="332"/>
      <c r="AO1" s="332"/>
      <c r="AP1" s="332"/>
      <c r="AQ1" s="332"/>
      <c r="AR1" s="332"/>
      <c r="AS1" s="332"/>
      <c r="AT1" s="332"/>
    </row>
    <row r="2" spans="1:49" s="46" customFormat="1" ht="13.5" hidden="1" customHeight="1" x14ac:dyDescent="0.35">
      <c r="A2" s="121">
        <v>1</v>
      </c>
      <c r="B2" s="121">
        <v>2</v>
      </c>
      <c r="C2" s="121">
        <v>3</v>
      </c>
      <c r="D2" s="121">
        <v>4</v>
      </c>
      <c r="E2" s="121">
        <v>5</v>
      </c>
      <c r="F2" s="121">
        <v>6</v>
      </c>
      <c r="G2" s="121">
        <v>7</v>
      </c>
      <c r="H2" s="121">
        <v>8</v>
      </c>
      <c r="I2" s="121">
        <v>9</v>
      </c>
      <c r="J2" s="121">
        <v>10</v>
      </c>
      <c r="K2" s="121">
        <v>11</v>
      </c>
      <c r="L2" s="121">
        <v>12</v>
      </c>
      <c r="M2" s="121">
        <v>13</v>
      </c>
      <c r="N2" s="121">
        <v>14</v>
      </c>
      <c r="O2" s="121">
        <v>15</v>
      </c>
      <c r="P2" s="121">
        <v>16</v>
      </c>
      <c r="Q2" s="121">
        <v>17</v>
      </c>
      <c r="R2" s="121">
        <v>18</v>
      </c>
      <c r="S2" s="121">
        <v>19</v>
      </c>
      <c r="T2" s="121">
        <v>20</v>
      </c>
      <c r="U2" s="121">
        <v>21</v>
      </c>
      <c r="V2" s="121">
        <v>22</v>
      </c>
      <c r="W2" s="121">
        <v>23</v>
      </c>
      <c r="X2" s="121">
        <v>24</v>
      </c>
      <c r="Y2" s="121">
        <v>25</v>
      </c>
      <c r="Z2" s="121">
        <v>26</v>
      </c>
      <c r="AA2" s="121">
        <v>27</v>
      </c>
      <c r="AB2" s="121">
        <v>28</v>
      </c>
      <c r="AC2" s="121">
        <v>29</v>
      </c>
      <c r="AD2" s="121">
        <v>30</v>
      </c>
      <c r="AE2" s="121">
        <v>31</v>
      </c>
      <c r="AF2" s="121">
        <v>32</v>
      </c>
      <c r="AG2" s="121">
        <v>33</v>
      </c>
      <c r="AH2" s="121">
        <v>34</v>
      </c>
      <c r="AI2" s="121">
        <v>35</v>
      </c>
      <c r="AJ2" s="121">
        <v>36</v>
      </c>
      <c r="AK2" s="121">
        <v>37</v>
      </c>
      <c r="AL2" s="121">
        <v>38</v>
      </c>
      <c r="AM2" s="121">
        <v>39</v>
      </c>
      <c r="AN2" s="121">
        <v>40</v>
      </c>
      <c r="AO2" s="121">
        <v>41</v>
      </c>
      <c r="AP2" s="121">
        <v>42</v>
      </c>
      <c r="AQ2" s="121">
        <v>43</v>
      </c>
      <c r="AR2" s="121">
        <v>44</v>
      </c>
      <c r="AS2" s="121">
        <v>45</v>
      </c>
      <c r="AT2" s="120"/>
    </row>
    <row r="3" spans="1:49" s="46" customFormat="1" x14ac:dyDescent="0.35">
      <c r="A3" s="77" t="s">
        <v>108</v>
      </c>
      <c r="B3" s="75" t="s">
        <v>218</v>
      </c>
      <c r="C3" s="70">
        <v>43983</v>
      </c>
      <c r="D3" s="70">
        <v>44013</v>
      </c>
      <c r="E3" s="70">
        <v>44044</v>
      </c>
      <c r="F3" s="70">
        <v>44075</v>
      </c>
      <c r="G3" s="70">
        <v>44105</v>
      </c>
      <c r="H3" s="70">
        <v>44136</v>
      </c>
      <c r="I3" s="70">
        <v>44166</v>
      </c>
      <c r="J3" s="70">
        <v>44197</v>
      </c>
      <c r="K3" s="70">
        <v>44228</v>
      </c>
      <c r="L3" s="70">
        <v>44256</v>
      </c>
      <c r="M3" s="70">
        <v>44287</v>
      </c>
      <c r="N3" s="70">
        <v>44317</v>
      </c>
      <c r="O3" s="70">
        <v>44348</v>
      </c>
      <c r="P3" s="70">
        <v>44378</v>
      </c>
      <c r="Q3" s="70">
        <v>44409</v>
      </c>
      <c r="R3" s="70">
        <v>44440</v>
      </c>
      <c r="S3" s="70">
        <v>44470</v>
      </c>
      <c r="T3" s="70">
        <v>44501</v>
      </c>
      <c r="U3" s="70">
        <v>44531</v>
      </c>
      <c r="V3" s="267">
        <v>2022</v>
      </c>
      <c r="W3" s="70" t="s">
        <v>228</v>
      </c>
      <c r="X3"/>
      <c r="Y3" s="69" t="s">
        <v>257</v>
      </c>
      <c r="Z3" s="70">
        <v>43983</v>
      </c>
      <c r="AA3" s="70">
        <v>44013</v>
      </c>
      <c r="AB3" s="70">
        <v>44044</v>
      </c>
      <c r="AC3" s="70">
        <v>44075</v>
      </c>
      <c r="AD3" s="70">
        <v>44105</v>
      </c>
      <c r="AE3" s="70">
        <v>44136</v>
      </c>
      <c r="AF3" s="70">
        <v>44166</v>
      </c>
      <c r="AG3" s="70">
        <v>44197</v>
      </c>
      <c r="AH3" s="70">
        <v>44228</v>
      </c>
      <c r="AI3" s="70">
        <v>44256</v>
      </c>
      <c r="AJ3" s="70">
        <v>44287</v>
      </c>
      <c r="AK3" s="70">
        <v>44317</v>
      </c>
      <c r="AL3" s="70">
        <v>44348</v>
      </c>
      <c r="AM3" s="70">
        <v>44378</v>
      </c>
      <c r="AN3" s="70">
        <v>44409</v>
      </c>
      <c r="AO3" s="70">
        <v>44440</v>
      </c>
      <c r="AP3" s="70">
        <v>44470</v>
      </c>
      <c r="AQ3" s="70">
        <v>44501</v>
      </c>
      <c r="AR3" s="70">
        <v>44531</v>
      </c>
      <c r="AS3" s="267">
        <v>2022</v>
      </c>
      <c r="AT3" s="70" t="s">
        <v>228</v>
      </c>
    </row>
    <row r="4" spans="1:49" s="46" customFormat="1" x14ac:dyDescent="0.35">
      <c r="A4" s="139" t="s">
        <v>130</v>
      </c>
      <c r="B4" s="76" t="s">
        <v>131</v>
      </c>
      <c r="C4" s="107"/>
      <c r="D4" s="107">
        <v>6770</v>
      </c>
      <c r="E4" s="107"/>
      <c r="F4" s="107">
        <v>12349</v>
      </c>
      <c r="G4" s="107">
        <v>1334</v>
      </c>
      <c r="H4" s="107"/>
      <c r="I4" s="107">
        <v>10535</v>
      </c>
      <c r="J4" s="107"/>
      <c r="K4" s="107"/>
      <c r="L4" s="107"/>
      <c r="M4" s="107">
        <v>51</v>
      </c>
      <c r="N4" s="107"/>
      <c r="O4" s="107"/>
      <c r="P4" s="107"/>
      <c r="Q4" s="107"/>
      <c r="R4" s="107"/>
      <c r="S4" s="72"/>
      <c r="T4" s="72"/>
      <c r="U4" s="72"/>
      <c r="V4" s="72"/>
      <c r="W4" s="72">
        <f>SUM(C4:V4)</f>
        <v>31039</v>
      </c>
      <c r="X4"/>
      <c r="Y4" s="69">
        <v>68.150000000000006</v>
      </c>
      <c r="Z4" s="109">
        <f t="shared" ref="Z4:Z16" si="0">$Y4*C4</f>
        <v>0</v>
      </c>
      <c r="AA4" s="109">
        <f t="shared" ref="AA4:AA16" si="1">$Y4*D4</f>
        <v>461375.50000000006</v>
      </c>
      <c r="AB4" s="109">
        <f t="shared" ref="AB4:AB16" si="2">$Y4*E4</f>
        <v>0</v>
      </c>
      <c r="AC4" s="109">
        <f t="shared" ref="AC4:AC16" si="3">$Y4*F4</f>
        <v>841584.35000000009</v>
      </c>
      <c r="AD4" s="109">
        <f t="shared" ref="AD4:AD16" si="4">$Y4*G4</f>
        <v>90912.1</v>
      </c>
      <c r="AE4" s="109">
        <f t="shared" ref="AE4:AE16" si="5">$Y4*H4</f>
        <v>0</v>
      </c>
      <c r="AF4" s="109">
        <f t="shared" ref="AF4:AF16" si="6">$Y4*I4</f>
        <v>717960.25000000012</v>
      </c>
      <c r="AG4" s="109">
        <f t="shared" ref="AG4:AG16" si="7">$Y4*J4</f>
        <v>0</v>
      </c>
      <c r="AH4" s="109">
        <f t="shared" ref="AH4:AH16" si="8">$Y4*K4</f>
        <v>0</v>
      </c>
      <c r="AI4" s="109">
        <f t="shared" ref="AI4:AI16" si="9">$Y4*L4</f>
        <v>0</v>
      </c>
      <c r="AJ4" s="109">
        <f t="shared" ref="AJ4:AJ16" si="10">$Y4*M4</f>
        <v>3475.65</v>
      </c>
      <c r="AK4" s="109">
        <f t="shared" ref="AK4:AK16" si="11">$Y4*N4</f>
        <v>0</v>
      </c>
      <c r="AL4" s="109">
        <f t="shared" ref="AL4:AL16" si="12">$Y4*O4</f>
        <v>0</v>
      </c>
      <c r="AM4" s="109">
        <f t="shared" ref="AM4:AM16" si="13">$Y4*P4</f>
        <v>0</v>
      </c>
      <c r="AN4" s="109">
        <f t="shared" ref="AN4:AN16" si="14">$Y4*Q4</f>
        <v>0</v>
      </c>
      <c r="AO4" s="109">
        <f t="shared" ref="AO4:AO16" si="15">$Y4*R4</f>
        <v>0</v>
      </c>
      <c r="AP4" s="73">
        <f t="shared" ref="AP4:AP16" si="16">$Y4*S4</f>
        <v>0</v>
      </c>
      <c r="AQ4" s="73">
        <f>$Y4*T4</f>
        <v>0</v>
      </c>
      <c r="AR4" s="73">
        <f t="shared" ref="AR4:AS16" si="17">$Y4*U4</f>
        <v>0</v>
      </c>
      <c r="AS4" s="73">
        <f t="shared" si="17"/>
        <v>0</v>
      </c>
      <c r="AT4" s="73">
        <f>SUM(Z4:AS4)</f>
        <v>2115307.85</v>
      </c>
    </row>
    <row r="5" spans="1:49" s="46" customFormat="1" x14ac:dyDescent="0.35">
      <c r="A5" s="139" t="s">
        <v>154</v>
      </c>
      <c r="B5" s="76" t="s">
        <v>155</v>
      </c>
      <c r="C5" s="107"/>
      <c r="D5" s="107">
        <v>0</v>
      </c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72"/>
      <c r="T5" s="72"/>
      <c r="U5" s="72"/>
      <c r="V5" s="72"/>
      <c r="W5" s="72">
        <f t="shared" ref="W5:W16" si="18">SUM(C5:V5)</f>
        <v>0</v>
      </c>
      <c r="X5"/>
      <c r="Y5" s="69">
        <v>78.05</v>
      </c>
      <c r="Z5" s="109">
        <f t="shared" si="0"/>
        <v>0</v>
      </c>
      <c r="AA5" s="109">
        <f t="shared" si="1"/>
        <v>0</v>
      </c>
      <c r="AB5" s="109">
        <f t="shared" si="2"/>
        <v>0</v>
      </c>
      <c r="AC5" s="109">
        <f t="shared" si="3"/>
        <v>0</v>
      </c>
      <c r="AD5" s="109">
        <f t="shared" si="4"/>
        <v>0</v>
      </c>
      <c r="AE5" s="109">
        <f t="shared" si="5"/>
        <v>0</v>
      </c>
      <c r="AF5" s="109">
        <f t="shared" si="6"/>
        <v>0</v>
      </c>
      <c r="AG5" s="109">
        <f t="shared" si="7"/>
        <v>0</v>
      </c>
      <c r="AH5" s="109">
        <f t="shared" si="8"/>
        <v>0</v>
      </c>
      <c r="AI5" s="109">
        <f t="shared" si="9"/>
        <v>0</v>
      </c>
      <c r="AJ5" s="109">
        <f t="shared" si="10"/>
        <v>0</v>
      </c>
      <c r="AK5" s="109">
        <f t="shared" si="11"/>
        <v>0</v>
      </c>
      <c r="AL5" s="109">
        <f t="shared" si="12"/>
        <v>0</v>
      </c>
      <c r="AM5" s="109">
        <f t="shared" si="13"/>
        <v>0</v>
      </c>
      <c r="AN5" s="109">
        <f t="shared" si="14"/>
        <v>0</v>
      </c>
      <c r="AO5" s="109">
        <f t="shared" si="15"/>
        <v>0</v>
      </c>
      <c r="AP5" s="73">
        <f t="shared" si="16"/>
        <v>0</v>
      </c>
      <c r="AQ5" s="73">
        <f t="shared" ref="AQ5:AQ16" si="19">$Y5*T5</f>
        <v>0</v>
      </c>
      <c r="AR5" s="73">
        <f t="shared" ref="AR5:AR16" si="20">$Y5*U5</f>
        <v>0</v>
      </c>
      <c r="AS5" s="73">
        <f t="shared" si="17"/>
        <v>0</v>
      </c>
      <c r="AT5" s="73">
        <f t="shared" ref="AT5:AT16" si="21">SUM(Z5:AS5)</f>
        <v>0</v>
      </c>
    </row>
    <row r="6" spans="1:49" s="46" customFormat="1" x14ac:dyDescent="0.35">
      <c r="A6" s="139" t="s">
        <v>158</v>
      </c>
      <c r="B6" s="76" t="s">
        <v>159</v>
      </c>
      <c r="C6" s="107"/>
      <c r="D6" s="107">
        <v>0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72"/>
      <c r="T6" s="72"/>
      <c r="U6" s="72"/>
      <c r="V6" s="72"/>
      <c r="W6" s="72">
        <f t="shared" si="18"/>
        <v>0</v>
      </c>
      <c r="X6"/>
      <c r="Y6" s="69">
        <v>138.86000000000001</v>
      </c>
      <c r="Z6" s="109">
        <f t="shared" si="0"/>
        <v>0</v>
      </c>
      <c r="AA6" s="109">
        <f t="shared" si="1"/>
        <v>0</v>
      </c>
      <c r="AB6" s="109">
        <f t="shared" si="2"/>
        <v>0</v>
      </c>
      <c r="AC6" s="109">
        <f t="shared" si="3"/>
        <v>0</v>
      </c>
      <c r="AD6" s="109">
        <f t="shared" si="4"/>
        <v>0</v>
      </c>
      <c r="AE6" s="109">
        <f t="shared" si="5"/>
        <v>0</v>
      </c>
      <c r="AF6" s="109">
        <f t="shared" si="6"/>
        <v>0</v>
      </c>
      <c r="AG6" s="109">
        <f t="shared" si="7"/>
        <v>0</v>
      </c>
      <c r="AH6" s="109">
        <f t="shared" si="8"/>
        <v>0</v>
      </c>
      <c r="AI6" s="109">
        <f t="shared" si="9"/>
        <v>0</v>
      </c>
      <c r="AJ6" s="109">
        <f t="shared" si="10"/>
        <v>0</v>
      </c>
      <c r="AK6" s="109">
        <f t="shared" si="11"/>
        <v>0</v>
      </c>
      <c r="AL6" s="109">
        <f t="shared" si="12"/>
        <v>0</v>
      </c>
      <c r="AM6" s="109">
        <f t="shared" si="13"/>
        <v>0</v>
      </c>
      <c r="AN6" s="109">
        <f t="shared" si="14"/>
        <v>0</v>
      </c>
      <c r="AO6" s="109">
        <f t="shared" si="15"/>
        <v>0</v>
      </c>
      <c r="AP6" s="73">
        <f t="shared" si="16"/>
        <v>0</v>
      </c>
      <c r="AQ6" s="73">
        <f t="shared" si="19"/>
        <v>0</v>
      </c>
      <c r="AR6" s="73">
        <f t="shared" si="20"/>
        <v>0</v>
      </c>
      <c r="AS6" s="73">
        <f t="shared" si="17"/>
        <v>0</v>
      </c>
      <c r="AT6" s="73">
        <f t="shared" si="21"/>
        <v>0</v>
      </c>
    </row>
    <row r="7" spans="1:49" s="46" customFormat="1" x14ac:dyDescent="0.35">
      <c r="A7" s="139" t="s">
        <v>163</v>
      </c>
      <c r="B7" s="76" t="s">
        <v>164</v>
      </c>
      <c r="C7" s="107"/>
      <c r="D7" s="107">
        <v>4516</v>
      </c>
      <c r="E7" s="107"/>
      <c r="F7" s="107">
        <v>134</v>
      </c>
      <c r="G7" s="107"/>
      <c r="H7" s="107"/>
      <c r="I7" s="107"/>
      <c r="J7" s="107"/>
      <c r="K7" s="107"/>
      <c r="L7" s="107"/>
      <c r="M7" s="107">
        <v>10</v>
      </c>
      <c r="N7" s="107"/>
      <c r="O7" s="107"/>
      <c r="P7" s="107"/>
      <c r="Q7" s="107"/>
      <c r="R7" s="107"/>
      <c r="S7" s="72"/>
      <c r="T7" s="72"/>
      <c r="U7" s="72"/>
      <c r="V7" s="72"/>
      <c r="W7" s="72">
        <f t="shared" si="18"/>
        <v>4660</v>
      </c>
      <c r="X7"/>
      <c r="Y7" s="69">
        <v>51.43</v>
      </c>
      <c r="Z7" s="109">
        <f t="shared" si="0"/>
        <v>0</v>
      </c>
      <c r="AA7" s="109">
        <f t="shared" si="1"/>
        <v>232257.88</v>
      </c>
      <c r="AB7" s="109">
        <f t="shared" si="2"/>
        <v>0</v>
      </c>
      <c r="AC7" s="109">
        <f t="shared" si="3"/>
        <v>6891.62</v>
      </c>
      <c r="AD7" s="109">
        <f t="shared" si="4"/>
        <v>0</v>
      </c>
      <c r="AE7" s="109">
        <f t="shared" si="5"/>
        <v>0</v>
      </c>
      <c r="AF7" s="109">
        <f t="shared" si="6"/>
        <v>0</v>
      </c>
      <c r="AG7" s="109">
        <f t="shared" si="7"/>
        <v>0</v>
      </c>
      <c r="AH7" s="109">
        <f t="shared" si="8"/>
        <v>0</v>
      </c>
      <c r="AI7" s="109">
        <f t="shared" si="9"/>
        <v>0</v>
      </c>
      <c r="AJ7" s="109">
        <f t="shared" si="10"/>
        <v>514.29999999999995</v>
      </c>
      <c r="AK7" s="109">
        <f t="shared" si="11"/>
        <v>0</v>
      </c>
      <c r="AL7" s="109">
        <f t="shared" si="12"/>
        <v>0</v>
      </c>
      <c r="AM7" s="109">
        <f t="shared" si="13"/>
        <v>0</v>
      </c>
      <c r="AN7" s="109">
        <f t="shared" si="14"/>
        <v>0</v>
      </c>
      <c r="AO7" s="109">
        <f t="shared" si="15"/>
        <v>0</v>
      </c>
      <c r="AP7" s="73">
        <f t="shared" si="16"/>
        <v>0</v>
      </c>
      <c r="AQ7" s="73">
        <f t="shared" si="19"/>
        <v>0</v>
      </c>
      <c r="AR7" s="73">
        <f t="shared" si="20"/>
        <v>0</v>
      </c>
      <c r="AS7" s="73">
        <f t="shared" si="17"/>
        <v>0</v>
      </c>
      <c r="AT7" s="73">
        <f t="shared" si="21"/>
        <v>239663.8</v>
      </c>
    </row>
    <row r="8" spans="1:49" s="46" customFormat="1" x14ac:dyDescent="0.35">
      <c r="A8" s="139" t="s">
        <v>169</v>
      </c>
      <c r="B8" s="76" t="s">
        <v>170</v>
      </c>
      <c r="C8" s="107"/>
      <c r="D8" s="107">
        <v>3523</v>
      </c>
      <c r="E8" s="107"/>
      <c r="F8" s="107"/>
      <c r="G8" s="107"/>
      <c r="H8" s="107"/>
      <c r="I8" s="107"/>
      <c r="J8" s="107"/>
      <c r="K8" s="107">
        <v>7376</v>
      </c>
      <c r="L8" s="107"/>
      <c r="M8" s="107">
        <v>20</v>
      </c>
      <c r="N8" s="107">
        <v>692</v>
      </c>
      <c r="O8" s="107"/>
      <c r="P8" s="107"/>
      <c r="Q8" s="107"/>
      <c r="R8" s="107"/>
      <c r="S8" s="72"/>
      <c r="T8" s="72"/>
      <c r="U8" s="72"/>
      <c r="V8" s="72"/>
      <c r="W8" s="72">
        <f t="shared" si="18"/>
        <v>11611</v>
      </c>
      <c r="X8"/>
      <c r="Y8" s="69">
        <v>204.53</v>
      </c>
      <c r="Z8" s="109">
        <f t="shared" si="0"/>
        <v>0</v>
      </c>
      <c r="AA8" s="109">
        <f t="shared" si="1"/>
        <v>720559.19000000006</v>
      </c>
      <c r="AB8" s="109">
        <f t="shared" si="2"/>
        <v>0</v>
      </c>
      <c r="AC8" s="109">
        <f t="shared" si="3"/>
        <v>0</v>
      </c>
      <c r="AD8" s="109">
        <f t="shared" si="4"/>
        <v>0</v>
      </c>
      <c r="AE8" s="109">
        <f t="shared" si="5"/>
        <v>0</v>
      </c>
      <c r="AF8" s="109">
        <f t="shared" si="6"/>
        <v>0</v>
      </c>
      <c r="AG8" s="109">
        <f t="shared" si="7"/>
        <v>0</v>
      </c>
      <c r="AH8" s="109">
        <f t="shared" si="8"/>
        <v>1508613.28</v>
      </c>
      <c r="AI8" s="109">
        <f t="shared" si="9"/>
        <v>0</v>
      </c>
      <c r="AJ8" s="109">
        <f t="shared" si="10"/>
        <v>4090.6</v>
      </c>
      <c r="AK8" s="109">
        <f t="shared" si="11"/>
        <v>141534.76</v>
      </c>
      <c r="AL8" s="109">
        <f t="shared" si="12"/>
        <v>0</v>
      </c>
      <c r="AM8" s="109">
        <f t="shared" si="13"/>
        <v>0</v>
      </c>
      <c r="AN8" s="109">
        <f t="shared" si="14"/>
        <v>0</v>
      </c>
      <c r="AO8" s="109">
        <f t="shared" si="15"/>
        <v>0</v>
      </c>
      <c r="AP8" s="73">
        <f t="shared" si="16"/>
        <v>0</v>
      </c>
      <c r="AQ8" s="73">
        <f t="shared" si="19"/>
        <v>0</v>
      </c>
      <c r="AR8" s="73">
        <f t="shared" si="20"/>
        <v>0</v>
      </c>
      <c r="AS8" s="73">
        <f t="shared" si="17"/>
        <v>0</v>
      </c>
      <c r="AT8" s="73">
        <f t="shared" si="21"/>
        <v>2374797.83</v>
      </c>
    </row>
    <row r="9" spans="1:49" s="46" customFormat="1" x14ac:dyDescent="0.35">
      <c r="A9" s="139" t="s">
        <v>127</v>
      </c>
      <c r="B9" s="76" t="s">
        <v>128</v>
      </c>
      <c r="C9" s="107"/>
      <c r="D9" s="107">
        <v>181</v>
      </c>
      <c r="E9" s="107"/>
      <c r="F9" s="107">
        <v>603</v>
      </c>
      <c r="G9" s="107"/>
      <c r="H9" s="107"/>
      <c r="I9" s="107"/>
      <c r="J9" s="107"/>
      <c r="K9" s="107">
        <v>276</v>
      </c>
      <c r="L9" s="107"/>
      <c r="M9" s="107">
        <v>5</v>
      </c>
      <c r="N9" s="107"/>
      <c r="O9" s="107"/>
      <c r="P9" s="107"/>
      <c r="Q9" s="107"/>
      <c r="R9" s="107"/>
      <c r="S9" s="127"/>
      <c r="T9" s="127"/>
      <c r="U9" s="127"/>
      <c r="V9" s="127"/>
      <c r="W9" s="72">
        <f t="shared" si="18"/>
        <v>1065</v>
      </c>
      <c r="X9"/>
      <c r="Y9" s="69">
        <v>651.83000000000004</v>
      </c>
      <c r="Z9" s="109">
        <f t="shared" si="0"/>
        <v>0</v>
      </c>
      <c r="AA9" s="109">
        <f t="shared" si="1"/>
        <v>117981.23000000001</v>
      </c>
      <c r="AB9" s="109">
        <f t="shared" si="2"/>
        <v>0</v>
      </c>
      <c r="AC9" s="109">
        <f t="shared" si="3"/>
        <v>393053.49000000005</v>
      </c>
      <c r="AD9" s="109">
        <f t="shared" si="4"/>
        <v>0</v>
      </c>
      <c r="AE9" s="109">
        <f t="shared" si="5"/>
        <v>0</v>
      </c>
      <c r="AF9" s="109">
        <f t="shared" si="6"/>
        <v>0</v>
      </c>
      <c r="AG9" s="109">
        <f t="shared" si="7"/>
        <v>0</v>
      </c>
      <c r="AH9" s="109">
        <f t="shared" si="8"/>
        <v>179905.08000000002</v>
      </c>
      <c r="AI9" s="109">
        <f t="shared" si="9"/>
        <v>0</v>
      </c>
      <c r="AJ9" s="109">
        <f t="shared" si="10"/>
        <v>3259.15</v>
      </c>
      <c r="AK9" s="109">
        <f t="shared" si="11"/>
        <v>0</v>
      </c>
      <c r="AL9" s="109">
        <f t="shared" si="12"/>
        <v>0</v>
      </c>
      <c r="AM9" s="109">
        <f t="shared" si="13"/>
        <v>0</v>
      </c>
      <c r="AN9" s="109">
        <f t="shared" si="14"/>
        <v>0</v>
      </c>
      <c r="AO9" s="109">
        <f t="shared" si="15"/>
        <v>0</v>
      </c>
      <c r="AP9" s="73">
        <f t="shared" si="16"/>
        <v>0</v>
      </c>
      <c r="AQ9" s="73">
        <f t="shared" si="19"/>
        <v>0</v>
      </c>
      <c r="AR9" s="73">
        <f t="shared" si="20"/>
        <v>0</v>
      </c>
      <c r="AS9" s="73">
        <f t="shared" si="17"/>
        <v>0</v>
      </c>
      <c r="AT9" s="73">
        <f t="shared" si="21"/>
        <v>694198.95000000007</v>
      </c>
    </row>
    <row r="10" spans="1:49" s="46" customFormat="1" x14ac:dyDescent="0.35">
      <c r="A10" s="139" t="s">
        <v>182</v>
      </c>
      <c r="B10" s="76" t="s">
        <v>183</v>
      </c>
      <c r="C10" s="107"/>
      <c r="D10" s="107">
        <v>5209</v>
      </c>
      <c r="E10" s="107"/>
      <c r="F10" s="107"/>
      <c r="G10" s="107"/>
      <c r="H10" s="107">
        <v>1843</v>
      </c>
      <c r="I10" s="107"/>
      <c r="J10" s="107"/>
      <c r="K10" s="107"/>
      <c r="L10" s="107"/>
      <c r="M10" s="107">
        <v>1886</v>
      </c>
      <c r="N10" s="107"/>
      <c r="O10" s="107"/>
      <c r="P10" s="107"/>
      <c r="Q10" s="107"/>
      <c r="R10" s="107"/>
      <c r="S10" s="119"/>
      <c r="T10" s="119"/>
      <c r="U10" s="119"/>
      <c r="V10" s="119"/>
      <c r="W10" s="72">
        <f t="shared" si="18"/>
        <v>8938</v>
      </c>
      <c r="X10"/>
      <c r="Y10" s="69">
        <v>285.3</v>
      </c>
      <c r="Z10" s="109">
        <f t="shared" si="0"/>
        <v>0</v>
      </c>
      <c r="AA10" s="109">
        <f t="shared" si="1"/>
        <v>1486127.7</v>
      </c>
      <c r="AB10" s="109">
        <f t="shared" si="2"/>
        <v>0</v>
      </c>
      <c r="AC10" s="109">
        <f t="shared" si="3"/>
        <v>0</v>
      </c>
      <c r="AD10" s="109">
        <f t="shared" si="4"/>
        <v>0</v>
      </c>
      <c r="AE10" s="109">
        <f t="shared" si="5"/>
        <v>525807.9</v>
      </c>
      <c r="AF10" s="109">
        <f t="shared" si="6"/>
        <v>0</v>
      </c>
      <c r="AG10" s="109">
        <f t="shared" si="7"/>
        <v>0</v>
      </c>
      <c r="AH10" s="109">
        <f t="shared" si="8"/>
        <v>0</v>
      </c>
      <c r="AI10" s="109">
        <f t="shared" si="9"/>
        <v>0</v>
      </c>
      <c r="AJ10" s="109">
        <f t="shared" si="10"/>
        <v>538075.80000000005</v>
      </c>
      <c r="AK10" s="109">
        <f t="shared" si="11"/>
        <v>0</v>
      </c>
      <c r="AL10" s="109">
        <f t="shared" si="12"/>
        <v>0</v>
      </c>
      <c r="AM10" s="109">
        <f t="shared" si="13"/>
        <v>0</v>
      </c>
      <c r="AN10" s="109">
        <f t="shared" si="14"/>
        <v>0</v>
      </c>
      <c r="AO10" s="109">
        <f t="shared" si="15"/>
        <v>0</v>
      </c>
      <c r="AP10" s="73">
        <f t="shared" si="16"/>
        <v>0</v>
      </c>
      <c r="AQ10" s="73">
        <f t="shared" si="19"/>
        <v>0</v>
      </c>
      <c r="AR10" s="73">
        <f t="shared" si="20"/>
        <v>0</v>
      </c>
      <c r="AS10" s="73">
        <f t="shared" si="17"/>
        <v>0</v>
      </c>
      <c r="AT10" s="73">
        <f t="shared" si="21"/>
        <v>2550011.4000000004</v>
      </c>
      <c r="AV10" s="140"/>
      <c r="AW10" s="140"/>
    </row>
    <row r="11" spans="1:49" s="46" customFormat="1" x14ac:dyDescent="0.35">
      <c r="A11" s="139" t="s">
        <v>188</v>
      </c>
      <c r="B11" s="76" t="s">
        <v>189</v>
      </c>
      <c r="C11" s="107"/>
      <c r="D11" s="107">
        <v>0</v>
      </c>
      <c r="E11" s="107"/>
      <c r="F11" s="107"/>
      <c r="G11" s="107"/>
      <c r="H11" s="107">
        <v>1</v>
      </c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72"/>
      <c r="T11" s="72"/>
      <c r="U11" s="72"/>
      <c r="V11" s="72"/>
      <c r="W11" s="72">
        <f t="shared" si="18"/>
        <v>1</v>
      </c>
      <c r="X11"/>
      <c r="Y11" s="69">
        <v>34.06</v>
      </c>
      <c r="Z11" s="109">
        <f t="shared" si="0"/>
        <v>0</v>
      </c>
      <c r="AA11" s="109">
        <f t="shared" si="1"/>
        <v>0</v>
      </c>
      <c r="AB11" s="109">
        <f t="shared" si="2"/>
        <v>0</v>
      </c>
      <c r="AC11" s="109">
        <f t="shared" si="3"/>
        <v>0</v>
      </c>
      <c r="AD11" s="109">
        <f t="shared" si="4"/>
        <v>0</v>
      </c>
      <c r="AE11" s="109">
        <f t="shared" si="5"/>
        <v>34.06</v>
      </c>
      <c r="AF11" s="109">
        <f t="shared" si="6"/>
        <v>0</v>
      </c>
      <c r="AG11" s="109">
        <f t="shared" si="7"/>
        <v>0</v>
      </c>
      <c r="AH11" s="109">
        <f t="shared" si="8"/>
        <v>0</v>
      </c>
      <c r="AI11" s="109">
        <f t="shared" si="9"/>
        <v>0</v>
      </c>
      <c r="AJ11" s="109">
        <f t="shared" si="10"/>
        <v>0</v>
      </c>
      <c r="AK11" s="109">
        <f t="shared" si="11"/>
        <v>0</v>
      </c>
      <c r="AL11" s="109">
        <f t="shared" si="12"/>
        <v>0</v>
      </c>
      <c r="AM11" s="109">
        <f t="shared" si="13"/>
        <v>0</v>
      </c>
      <c r="AN11" s="109">
        <f t="shared" si="14"/>
        <v>0</v>
      </c>
      <c r="AO11" s="109">
        <f t="shared" si="15"/>
        <v>0</v>
      </c>
      <c r="AP11" s="73">
        <f t="shared" si="16"/>
        <v>0</v>
      </c>
      <c r="AQ11" s="73">
        <f t="shared" si="19"/>
        <v>0</v>
      </c>
      <c r="AR11" s="73">
        <f t="shared" si="20"/>
        <v>0</v>
      </c>
      <c r="AS11" s="73">
        <f t="shared" si="17"/>
        <v>0</v>
      </c>
      <c r="AT11" s="73">
        <f t="shared" si="21"/>
        <v>34.06</v>
      </c>
    </row>
    <row r="12" spans="1:49" s="46" customFormat="1" x14ac:dyDescent="0.35">
      <c r="A12" s="139" t="s">
        <v>193</v>
      </c>
      <c r="B12" s="76" t="s">
        <v>194</v>
      </c>
      <c r="C12" s="107"/>
      <c r="D12" s="107">
        <v>1079</v>
      </c>
      <c r="E12" s="107"/>
      <c r="F12" s="107"/>
      <c r="G12" s="107"/>
      <c r="H12" s="107">
        <v>2461</v>
      </c>
      <c r="I12" s="107"/>
      <c r="J12" s="107"/>
      <c r="K12" s="107"/>
      <c r="L12" s="107"/>
      <c r="M12" s="107">
        <v>70</v>
      </c>
      <c r="N12" s="107"/>
      <c r="O12" s="107"/>
      <c r="P12" s="107"/>
      <c r="Q12" s="107"/>
      <c r="R12" s="107"/>
      <c r="S12" s="72"/>
      <c r="T12" s="72"/>
      <c r="U12" s="72"/>
      <c r="V12" s="72"/>
      <c r="W12" s="72">
        <f t="shared" si="18"/>
        <v>3610</v>
      </c>
      <c r="X12"/>
      <c r="Y12" s="69">
        <v>70.63</v>
      </c>
      <c r="Z12" s="109">
        <f t="shared" si="0"/>
        <v>0</v>
      </c>
      <c r="AA12" s="109">
        <f t="shared" si="1"/>
        <v>76209.76999999999</v>
      </c>
      <c r="AB12" s="109">
        <f t="shared" si="2"/>
        <v>0</v>
      </c>
      <c r="AC12" s="109">
        <f t="shared" si="3"/>
        <v>0</v>
      </c>
      <c r="AD12" s="109">
        <f t="shared" si="4"/>
        <v>0</v>
      </c>
      <c r="AE12" s="109">
        <f t="shared" si="5"/>
        <v>173820.43</v>
      </c>
      <c r="AF12" s="109">
        <f t="shared" si="6"/>
        <v>0</v>
      </c>
      <c r="AG12" s="109">
        <f t="shared" si="7"/>
        <v>0</v>
      </c>
      <c r="AH12" s="109">
        <f t="shared" si="8"/>
        <v>0</v>
      </c>
      <c r="AI12" s="109">
        <f t="shared" si="9"/>
        <v>0</v>
      </c>
      <c r="AJ12" s="109">
        <f t="shared" si="10"/>
        <v>4944.0999999999995</v>
      </c>
      <c r="AK12" s="109">
        <f t="shared" si="11"/>
        <v>0</v>
      </c>
      <c r="AL12" s="109">
        <f t="shared" si="12"/>
        <v>0</v>
      </c>
      <c r="AM12" s="109">
        <f t="shared" si="13"/>
        <v>0</v>
      </c>
      <c r="AN12" s="109">
        <f t="shared" si="14"/>
        <v>0</v>
      </c>
      <c r="AO12" s="109">
        <f t="shared" si="15"/>
        <v>0</v>
      </c>
      <c r="AP12" s="73">
        <f t="shared" si="16"/>
        <v>0</v>
      </c>
      <c r="AQ12" s="73">
        <f t="shared" si="19"/>
        <v>0</v>
      </c>
      <c r="AR12" s="73">
        <f t="shared" si="20"/>
        <v>0</v>
      </c>
      <c r="AS12" s="73">
        <f t="shared" si="17"/>
        <v>0</v>
      </c>
      <c r="AT12" s="73">
        <f t="shared" si="21"/>
        <v>254974.3</v>
      </c>
    </row>
    <row r="13" spans="1:49" s="46" customFormat="1" x14ac:dyDescent="0.35">
      <c r="A13" s="139" t="s">
        <v>197</v>
      </c>
      <c r="B13" s="76" t="s">
        <v>198</v>
      </c>
      <c r="C13" s="107"/>
      <c r="D13" s="107">
        <v>0</v>
      </c>
      <c r="E13" s="107"/>
      <c r="F13" s="107"/>
      <c r="G13" s="107"/>
      <c r="H13" s="107">
        <v>3343</v>
      </c>
      <c r="I13" s="107"/>
      <c r="J13" s="107"/>
      <c r="K13" s="107">
        <v>3775</v>
      </c>
      <c r="L13" s="107"/>
      <c r="M13" s="107">
        <v>5432</v>
      </c>
      <c r="N13" s="107"/>
      <c r="O13" s="107"/>
      <c r="P13" s="107"/>
      <c r="Q13" s="107"/>
      <c r="R13" s="107"/>
      <c r="S13" s="127">
        <v>3077</v>
      </c>
      <c r="T13" s="127"/>
      <c r="U13" s="127"/>
      <c r="V13" s="127"/>
      <c r="W13" s="72">
        <f t="shared" si="18"/>
        <v>15627</v>
      </c>
      <c r="X13"/>
      <c r="Y13" s="69">
        <v>74.47</v>
      </c>
      <c r="Z13" s="109">
        <f t="shared" si="0"/>
        <v>0</v>
      </c>
      <c r="AA13" s="109">
        <f t="shared" si="1"/>
        <v>0</v>
      </c>
      <c r="AB13" s="109">
        <f t="shared" si="2"/>
        <v>0</v>
      </c>
      <c r="AC13" s="109">
        <f t="shared" si="3"/>
        <v>0</v>
      </c>
      <c r="AD13" s="109">
        <f t="shared" si="4"/>
        <v>0</v>
      </c>
      <c r="AE13" s="109">
        <f t="shared" si="5"/>
        <v>248953.21</v>
      </c>
      <c r="AF13" s="109">
        <f t="shared" si="6"/>
        <v>0</v>
      </c>
      <c r="AG13" s="109">
        <f t="shared" si="7"/>
        <v>0</v>
      </c>
      <c r="AH13" s="109">
        <f t="shared" si="8"/>
        <v>281124.25</v>
      </c>
      <c r="AI13" s="109">
        <f t="shared" si="9"/>
        <v>0</v>
      </c>
      <c r="AJ13" s="109">
        <f t="shared" si="10"/>
        <v>404521.04</v>
      </c>
      <c r="AK13" s="109">
        <f t="shared" si="11"/>
        <v>0</v>
      </c>
      <c r="AL13" s="109">
        <f t="shared" si="12"/>
        <v>0</v>
      </c>
      <c r="AM13" s="109">
        <f t="shared" si="13"/>
        <v>0</v>
      </c>
      <c r="AN13" s="109">
        <v>0</v>
      </c>
      <c r="AO13" s="109">
        <f t="shared" si="15"/>
        <v>0</v>
      </c>
      <c r="AP13" s="73">
        <f t="shared" si="16"/>
        <v>229144.19</v>
      </c>
      <c r="AQ13" s="73">
        <f t="shared" si="19"/>
        <v>0</v>
      </c>
      <c r="AR13" s="73">
        <f t="shared" si="20"/>
        <v>0</v>
      </c>
      <c r="AS13" s="73">
        <f t="shared" si="17"/>
        <v>0</v>
      </c>
      <c r="AT13" s="73">
        <f t="shared" si="21"/>
        <v>1163742.69</v>
      </c>
      <c r="AV13" s="140"/>
    </row>
    <row r="14" spans="1:49" s="46" customFormat="1" x14ac:dyDescent="0.35">
      <c r="A14" s="139" t="s">
        <v>133</v>
      </c>
      <c r="B14" s="76" t="s">
        <v>134</v>
      </c>
      <c r="C14" s="107"/>
      <c r="D14" s="107">
        <v>0</v>
      </c>
      <c r="E14" s="107"/>
      <c r="F14" s="107">
        <v>3333</v>
      </c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72"/>
      <c r="T14" s="72"/>
      <c r="U14" s="72"/>
      <c r="V14" s="72"/>
      <c r="W14" s="72">
        <f t="shared" si="18"/>
        <v>3333</v>
      </c>
      <c r="X14"/>
      <c r="Y14" s="69">
        <v>170.81</v>
      </c>
      <c r="Z14" s="109">
        <f t="shared" si="0"/>
        <v>0</v>
      </c>
      <c r="AA14" s="109">
        <f t="shared" si="1"/>
        <v>0</v>
      </c>
      <c r="AB14" s="109">
        <f t="shared" si="2"/>
        <v>0</v>
      </c>
      <c r="AC14" s="109">
        <f t="shared" si="3"/>
        <v>569309.73</v>
      </c>
      <c r="AD14" s="109">
        <f t="shared" si="4"/>
        <v>0</v>
      </c>
      <c r="AE14" s="109">
        <f t="shared" si="5"/>
        <v>0</v>
      </c>
      <c r="AF14" s="109">
        <f t="shared" si="6"/>
        <v>0</v>
      </c>
      <c r="AG14" s="109">
        <f t="shared" si="7"/>
        <v>0</v>
      </c>
      <c r="AH14" s="109">
        <f t="shared" si="8"/>
        <v>0</v>
      </c>
      <c r="AI14" s="109">
        <f t="shared" si="9"/>
        <v>0</v>
      </c>
      <c r="AJ14" s="109">
        <f t="shared" si="10"/>
        <v>0</v>
      </c>
      <c r="AK14" s="109">
        <f t="shared" si="11"/>
        <v>0</v>
      </c>
      <c r="AL14" s="109">
        <f t="shared" si="12"/>
        <v>0</v>
      </c>
      <c r="AM14" s="109">
        <f t="shared" si="13"/>
        <v>0</v>
      </c>
      <c r="AN14" s="109">
        <f t="shared" si="14"/>
        <v>0</v>
      </c>
      <c r="AO14" s="109">
        <f t="shared" si="15"/>
        <v>0</v>
      </c>
      <c r="AP14" s="73">
        <f t="shared" si="16"/>
        <v>0</v>
      </c>
      <c r="AQ14" s="73">
        <f t="shared" si="19"/>
        <v>0</v>
      </c>
      <c r="AR14" s="73">
        <f t="shared" si="20"/>
        <v>0</v>
      </c>
      <c r="AS14" s="73">
        <f t="shared" si="17"/>
        <v>0</v>
      </c>
      <c r="AT14" s="73">
        <f t="shared" si="21"/>
        <v>569309.73</v>
      </c>
    </row>
    <row r="15" spans="1:49" s="46" customFormat="1" x14ac:dyDescent="0.35">
      <c r="A15" s="139" t="s">
        <v>205</v>
      </c>
      <c r="B15" s="76" t="s">
        <v>206</v>
      </c>
      <c r="C15" s="107"/>
      <c r="D15" s="107">
        <v>0</v>
      </c>
      <c r="E15" s="107"/>
      <c r="F15" s="107"/>
      <c r="G15" s="107"/>
      <c r="H15" s="107">
        <v>2290</v>
      </c>
      <c r="I15" s="107">
        <v>841</v>
      </c>
      <c r="J15" s="107"/>
      <c r="K15" s="107"/>
      <c r="L15" s="107"/>
      <c r="M15" s="107"/>
      <c r="N15" s="107"/>
      <c r="O15" s="107"/>
      <c r="P15" s="107">
        <v>56</v>
      </c>
      <c r="Q15" s="107"/>
      <c r="R15" s="107"/>
      <c r="S15" s="72">
        <v>534</v>
      </c>
      <c r="T15" s="72"/>
      <c r="U15" s="72"/>
      <c r="V15" s="72">
        <v>514</v>
      </c>
      <c r="W15" s="72">
        <f t="shared" si="18"/>
        <v>4235</v>
      </c>
      <c r="X15"/>
      <c r="Y15" s="69">
        <v>512.42999999999995</v>
      </c>
      <c r="Z15" s="109">
        <f t="shared" si="0"/>
        <v>0</v>
      </c>
      <c r="AA15" s="109">
        <f t="shared" si="1"/>
        <v>0</v>
      </c>
      <c r="AB15" s="109">
        <f t="shared" si="2"/>
        <v>0</v>
      </c>
      <c r="AC15" s="109">
        <f t="shared" si="3"/>
        <v>0</v>
      </c>
      <c r="AD15" s="109">
        <f t="shared" si="4"/>
        <v>0</v>
      </c>
      <c r="AE15" s="109">
        <f t="shared" si="5"/>
        <v>1173464.7</v>
      </c>
      <c r="AF15" s="109">
        <f t="shared" si="6"/>
        <v>430953.62999999995</v>
      </c>
      <c r="AG15" s="109">
        <f t="shared" si="7"/>
        <v>0</v>
      </c>
      <c r="AH15" s="109">
        <f t="shared" si="8"/>
        <v>0</v>
      </c>
      <c r="AI15" s="109">
        <f t="shared" si="9"/>
        <v>0</v>
      </c>
      <c r="AJ15" s="109">
        <f t="shared" si="10"/>
        <v>0</v>
      </c>
      <c r="AK15" s="109">
        <f t="shared" si="11"/>
        <v>0</v>
      </c>
      <c r="AL15" s="109">
        <f t="shared" si="12"/>
        <v>0</v>
      </c>
      <c r="AM15" s="109">
        <f t="shared" si="13"/>
        <v>28696.079999999998</v>
      </c>
      <c r="AN15" s="109">
        <f t="shared" si="14"/>
        <v>0</v>
      </c>
      <c r="AO15" s="109">
        <f t="shared" si="15"/>
        <v>0</v>
      </c>
      <c r="AP15" s="73">
        <f t="shared" si="16"/>
        <v>273637.62</v>
      </c>
      <c r="AQ15" s="73">
        <f t="shared" si="19"/>
        <v>0</v>
      </c>
      <c r="AR15" s="73">
        <f t="shared" si="20"/>
        <v>0</v>
      </c>
      <c r="AS15" s="73">
        <f t="shared" si="17"/>
        <v>263389.01999999996</v>
      </c>
      <c r="AT15" s="73">
        <f t="shared" si="21"/>
        <v>2170141.0499999998</v>
      </c>
    </row>
    <row r="16" spans="1:49" s="46" customFormat="1" x14ac:dyDescent="0.35">
      <c r="A16" s="139" t="s">
        <v>207</v>
      </c>
      <c r="B16" s="76" t="s">
        <v>208</v>
      </c>
      <c r="C16" s="107"/>
      <c r="D16" s="107">
        <v>251</v>
      </c>
      <c r="E16" s="107"/>
      <c r="F16" s="107">
        <v>1654</v>
      </c>
      <c r="G16" s="107">
        <v>19081</v>
      </c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19"/>
      <c r="T16" s="119"/>
      <c r="U16" s="119"/>
      <c r="V16" s="119"/>
      <c r="W16" s="72">
        <f t="shared" si="18"/>
        <v>20986</v>
      </c>
      <c r="X16"/>
      <c r="Y16" s="69">
        <v>256.20999999999998</v>
      </c>
      <c r="Z16" s="109">
        <f t="shared" si="0"/>
        <v>0</v>
      </c>
      <c r="AA16" s="109">
        <f t="shared" si="1"/>
        <v>64308.709999999992</v>
      </c>
      <c r="AB16" s="109">
        <f t="shared" si="2"/>
        <v>0</v>
      </c>
      <c r="AC16" s="109">
        <f t="shared" si="3"/>
        <v>423771.33999999997</v>
      </c>
      <c r="AD16" s="109">
        <f t="shared" si="4"/>
        <v>4888743.01</v>
      </c>
      <c r="AE16" s="109">
        <f t="shared" si="5"/>
        <v>0</v>
      </c>
      <c r="AF16" s="109">
        <f t="shared" si="6"/>
        <v>0</v>
      </c>
      <c r="AG16" s="109">
        <f t="shared" si="7"/>
        <v>0</v>
      </c>
      <c r="AH16" s="109">
        <f t="shared" si="8"/>
        <v>0</v>
      </c>
      <c r="AI16" s="109">
        <f t="shared" si="9"/>
        <v>0</v>
      </c>
      <c r="AJ16" s="109">
        <f t="shared" si="10"/>
        <v>0</v>
      </c>
      <c r="AK16" s="109">
        <f t="shared" si="11"/>
        <v>0</v>
      </c>
      <c r="AL16" s="109">
        <f t="shared" si="12"/>
        <v>0</v>
      </c>
      <c r="AM16" s="109">
        <f t="shared" si="13"/>
        <v>0</v>
      </c>
      <c r="AN16" s="109">
        <f t="shared" si="14"/>
        <v>0</v>
      </c>
      <c r="AO16" s="109">
        <f t="shared" si="15"/>
        <v>0</v>
      </c>
      <c r="AP16" s="73">
        <f t="shared" si="16"/>
        <v>0</v>
      </c>
      <c r="AQ16" s="73">
        <f t="shared" si="19"/>
        <v>0</v>
      </c>
      <c r="AR16" s="73">
        <f t="shared" si="20"/>
        <v>0</v>
      </c>
      <c r="AS16" s="73">
        <f t="shared" si="17"/>
        <v>0</v>
      </c>
      <c r="AT16" s="73">
        <f t="shared" si="21"/>
        <v>5376823.0599999996</v>
      </c>
    </row>
    <row r="17" spans="1:46" ht="21" x14ac:dyDescent="0.5">
      <c r="A17" s="131" t="s">
        <v>0</v>
      </c>
      <c r="B17" s="132"/>
      <c r="C17" s="133"/>
      <c r="D17" s="133"/>
      <c r="E17" s="133"/>
      <c r="F17" s="133"/>
      <c r="G17" s="133"/>
      <c r="H17" s="133"/>
      <c r="I17" s="133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4">
        <f>SUM(W4:W16)</f>
        <v>105105</v>
      </c>
      <c r="X17" s="132"/>
      <c r="Y17" s="135"/>
      <c r="Z17" s="132"/>
      <c r="AA17" s="132"/>
      <c r="AB17" s="132"/>
      <c r="AC17" s="132"/>
      <c r="AD17" s="132"/>
      <c r="AE17" s="132"/>
      <c r="AF17" s="132"/>
      <c r="AG17" s="136">
        <f>SUM(AG4:AG16)</f>
        <v>0</v>
      </c>
      <c r="AH17" s="136">
        <f>SUM(AH4:AH16)</f>
        <v>1969642.61</v>
      </c>
      <c r="AI17" s="136">
        <f>SUM(AI4:AI16)</f>
        <v>0</v>
      </c>
      <c r="AJ17" s="136">
        <f t="shared" ref="AJ17:AS17" si="22">SUM(AJ4:AJ16)</f>
        <v>958880.6399999999</v>
      </c>
      <c r="AK17" s="136">
        <f t="shared" si="22"/>
        <v>141534.76</v>
      </c>
      <c r="AL17" s="136">
        <f t="shared" si="22"/>
        <v>0</v>
      </c>
      <c r="AM17" s="136">
        <f t="shared" si="22"/>
        <v>28696.079999999998</v>
      </c>
      <c r="AN17" s="136">
        <f t="shared" si="22"/>
        <v>0</v>
      </c>
      <c r="AO17" s="136">
        <f t="shared" si="22"/>
        <v>0</v>
      </c>
      <c r="AP17" s="136">
        <f t="shared" si="22"/>
        <v>502781.81</v>
      </c>
      <c r="AQ17" s="136">
        <f t="shared" si="22"/>
        <v>0</v>
      </c>
      <c r="AR17" s="136">
        <f t="shared" si="22"/>
        <v>0</v>
      </c>
      <c r="AS17" s="136">
        <f t="shared" si="22"/>
        <v>263389.01999999996</v>
      </c>
      <c r="AT17" s="78">
        <f>SUM(AT4:AT16)</f>
        <v>17509004.719999999</v>
      </c>
    </row>
    <row r="18" spans="1:46" x14ac:dyDescent="0.35">
      <c r="A18" s="128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Y18" s="69"/>
    </row>
    <row r="19" spans="1:46" x14ac:dyDescent="0.35">
      <c r="A19" s="128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Y19" s="69"/>
    </row>
    <row r="20" spans="1:46" x14ac:dyDescent="0.35">
      <c r="AT20" s="88"/>
    </row>
  </sheetData>
  <mergeCells count="3">
    <mergeCell ref="A1:B1"/>
    <mergeCell ref="C1:W1"/>
    <mergeCell ref="AG1:AT1"/>
  </mergeCells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4425-75AF-4F81-9F61-235F2DD49D48}">
  <sheetPr codeName="Planilha12"/>
  <dimension ref="A2:L24"/>
  <sheetViews>
    <sheetView showGridLines="0" topLeftCell="A4" zoomScale="90" zoomScaleNormal="90" workbookViewId="0">
      <selection activeCell="F21" sqref="F21"/>
    </sheetView>
  </sheetViews>
  <sheetFormatPr defaultRowHeight="14.5" x14ac:dyDescent="0.35"/>
  <cols>
    <col min="1" max="1" width="9" bestFit="1" customWidth="1"/>
    <col min="2" max="2" width="37.36328125" bestFit="1" customWidth="1"/>
    <col min="3" max="3" width="10.453125" bestFit="1" customWidth="1"/>
    <col min="4" max="5" width="10.54296875" bestFit="1" customWidth="1"/>
    <col min="6" max="8" width="9.453125" customWidth="1"/>
    <col min="9" max="9" width="9.90625" bestFit="1" customWidth="1"/>
    <col min="10" max="10" width="15.453125" bestFit="1" customWidth="1"/>
    <col min="12" max="12" width="17.453125" bestFit="1" customWidth="1"/>
  </cols>
  <sheetData>
    <row r="2" spans="1:12" s="46" customFormat="1" ht="29" x14ac:dyDescent="0.35">
      <c r="A2" s="57" t="s">
        <v>108</v>
      </c>
      <c r="B2" s="57" t="s">
        <v>218</v>
      </c>
      <c r="C2" s="57" t="s">
        <v>126</v>
      </c>
      <c r="D2" s="57" t="s">
        <v>238</v>
      </c>
      <c r="E2" s="57" t="s">
        <v>242</v>
      </c>
      <c r="F2" s="104" t="s">
        <v>243</v>
      </c>
      <c r="G2" s="57" t="s">
        <v>240</v>
      </c>
      <c r="H2" s="57" t="s">
        <v>241</v>
      </c>
      <c r="I2" s="57" t="s">
        <v>219</v>
      </c>
      <c r="J2" s="57" t="s">
        <v>239</v>
      </c>
      <c r="K2" s="57" t="s">
        <v>244</v>
      </c>
      <c r="L2" s="46" t="s">
        <v>246</v>
      </c>
    </row>
    <row r="3" spans="1:12" s="46" customFormat="1" x14ac:dyDescent="0.35">
      <c r="A3" s="55" t="s">
        <v>169</v>
      </c>
      <c r="B3" s="55" t="s">
        <v>170</v>
      </c>
      <c r="C3" s="55" t="s">
        <v>171</v>
      </c>
      <c r="D3" s="102">
        <v>3711</v>
      </c>
      <c r="E3" s="101">
        <v>44316</v>
      </c>
      <c r="F3" s="105">
        <f t="shared" ref="F3:F20" ca="1" si="0">(E3-TODAY())/31</f>
        <v>-5.419354838709677</v>
      </c>
      <c r="G3" s="55">
        <v>0</v>
      </c>
      <c r="H3" s="55" t="s">
        <v>258</v>
      </c>
      <c r="I3" s="103">
        <f>VLOOKUP($A3,'Write Off Fertilidade - 9 meses'!$A$4:$Y$16,17,0)</f>
        <v>0</v>
      </c>
      <c r="J3" s="103">
        <f t="shared" ref="J3:J20" si="1">I3*D3</f>
        <v>0</v>
      </c>
      <c r="K3" s="55" t="s">
        <v>245</v>
      </c>
      <c r="L3" s="106">
        <v>44228</v>
      </c>
    </row>
    <row r="4" spans="1:12" s="46" customFormat="1" x14ac:dyDescent="0.35">
      <c r="A4" s="55" t="s">
        <v>169</v>
      </c>
      <c r="B4" s="55" t="s">
        <v>170</v>
      </c>
      <c r="C4" s="55" t="s">
        <v>172</v>
      </c>
      <c r="D4" s="102">
        <v>791</v>
      </c>
      <c r="E4" s="101">
        <v>44316</v>
      </c>
      <c r="F4" s="105">
        <f t="shared" ca="1" si="0"/>
        <v>-5.419354838709677</v>
      </c>
      <c r="G4" s="55">
        <v>0</v>
      </c>
      <c r="H4" s="55" t="s">
        <v>258</v>
      </c>
      <c r="I4" s="103">
        <f>VLOOKUP($A4,'Write Off Fertilidade - 9 meses'!$A$4:$Y$16,17,0)</f>
        <v>0</v>
      </c>
      <c r="J4" s="103">
        <f t="shared" si="1"/>
        <v>0</v>
      </c>
      <c r="K4" s="55" t="s">
        <v>245</v>
      </c>
      <c r="L4" s="106">
        <v>44228</v>
      </c>
    </row>
    <row r="5" spans="1:12" s="46" customFormat="1" x14ac:dyDescent="0.35">
      <c r="A5" s="55" t="s">
        <v>169</v>
      </c>
      <c r="B5" s="55" t="s">
        <v>170</v>
      </c>
      <c r="C5" s="55" t="s">
        <v>178</v>
      </c>
      <c r="D5" s="102">
        <v>2783</v>
      </c>
      <c r="E5" s="101">
        <v>44347</v>
      </c>
      <c r="F5" s="105">
        <f t="shared" ca="1" si="0"/>
        <v>-4.419354838709677</v>
      </c>
      <c r="G5" s="55">
        <v>0</v>
      </c>
      <c r="H5" s="55" t="s">
        <v>258</v>
      </c>
      <c r="I5" s="103">
        <f>VLOOKUP($A5,'Write Off Fertilidade - 9 meses'!$A$4:$Y$16,17,0)</f>
        <v>0</v>
      </c>
      <c r="J5" s="103">
        <f t="shared" si="1"/>
        <v>0</v>
      </c>
      <c r="K5" s="55" t="s">
        <v>245</v>
      </c>
      <c r="L5" s="106">
        <v>44228</v>
      </c>
    </row>
    <row r="6" spans="1:12" s="46" customFormat="1" x14ac:dyDescent="0.35">
      <c r="A6" s="55" t="s">
        <v>169</v>
      </c>
      <c r="B6" s="55" t="s">
        <v>170</v>
      </c>
      <c r="C6" s="55" t="s">
        <v>248</v>
      </c>
      <c r="D6" s="102">
        <v>91</v>
      </c>
      <c r="E6" s="101">
        <v>44347</v>
      </c>
      <c r="F6" s="105">
        <f t="shared" ca="1" si="0"/>
        <v>-4.419354838709677</v>
      </c>
      <c r="G6" s="55">
        <v>0</v>
      </c>
      <c r="H6" s="55" t="s">
        <v>255</v>
      </c>
      <c r="I6" s="103">
        <f>VLOOKUP($A6,'Write Off Fertilidade - 9 meses'!$A$4:$Y$16,17,0)</f>
        <v>0</v>
      </c>
      <c r="J6" s="103">
        <f t="shared" si="1"/>
        <v>0</v>
      </c>
      <c r="K6" s="55" t="s">
        <v>245</v>
      </c>
      <c r="L6" s="106">
        <v>44228</v>
      </c>
    </row>
    <row r="7" spans="1:12" s="46" customFormat="1" x14ac:dyDescent="0.35">
      <c r="A7" s="55" t="s">
        <v>127</v>
      </c>
      <c r="B7" s="55" t="s">
        <v>128</v>
      </c>
      <c r="C7" s="55" t="s">
        <v>129</v>
      </c>
      <c r="D7" s="102">
        <v>276</v>
      </c>
      <c r="E7" s="101">
        <v>44316</v>
      </c>
      <c r="F7" s="105">
        <f t="shared" ca="1" si="0"/>
        <v>-5.419354838709677</v>
      </c>
      <c r="G7" s="55">
        <v>0</v>
      </c>
      <c r="H7" s="55" t="s">
        <v>258</v>
      </c>
      <c r="I7" s="103">
        <f>VLOOKUP($A7,'Write Off Fertilidade - 9 meses'!$A$4:$Y$16,17,0)</f>
        <v>0</v>
      </c>
      <c r="J7" s="103">
        <f t="shared" si="1"/>
        <v>0</v>
      </c>
      <c r="K7" s="55" t="s">
        <v>245</v>
      </c>
      <c r="L7" s="106">
        <v>44228</v>
      </c>
    </row>
    <row r="8" spans="1:12" s="46" customFormat="1" x14ac:dyDescent="0.35">
      <c r="A8" s="55" t="s">
        <v>197</v>
      </c>
      <c r="B8" s="55" t="s">
        <v>198</v>
      </c>
      <c r="C8" s="55" t="s">
        <v>199</v>
      </c>
      <c r="D8" s="102">
        <v>40</v>
      </c>
      <c r="E8" s="101">
        <v>44439</v>
      </c>
      <c r="F8" s="105">
        <f t="shared" ca="1" si="0"/>
        <v>-1.4516129032258065</v>
      </c>
      <c r="G8" s="55">
        <v>0</v>
      </c>
      <c r="H8" s="55" t="s">
        <v>258</v>
      </c>
      <c r="I8" s="103">
        <f>VLOOKUP($A8,'Write Off Fertilidade - 9 meses'!$A$4:$Y$16,17,0)</f>
        <v>0</v>
      </c>
      <c r="J8" s="103">
        <f t="shared" si="1"/>
        <v>0</v>
      </c>
      <c r="K8" s="55" t="s">
        <v>245</v>
      </c>
      <c r="L8" s="106">
        <v>44228</v>
      </c>
    </row>
    <row r="9" spans="1:12" s="46" customFormat="1" x14ac:dyDescent="0.35">
      <c r="A9" s="55" t="s">
        <v>197</v>
      </c>
      <c r="B9" s="55" t="s">
        <v>198</v>
      </c>
      <c r="C9" s="55" t="s">
        <v>203</v>
      </c>
      <c r="D9" s="102">
        <v>1097</v>
      </c>
      <c r="E9" s="101">
        <v>44439</v>
      </c>
      <c r="F9" s="105">
        <f t="shared" ca="1" si="0"/>
        <v>-1.4516129032258065</v>
      </c>
      <c r="G9" s="55">
        <v>0</v>
      </c>
      <c r="H9" s="55" t="s">
        <v>258</v>
      </c>
      <c r="I9" s="103">
        <f>VLOOKUP($A9,'Write Off Fertilidade - 9 meses'!$A$4:$Y$16,17,0)</f>
        <v>0</v>
      </c>
      <c r="J9" s="103">
        <f t="shared" si="1"/>
        <v>0</v>
      </c>
      <c r="K9" s="55" t="s">
        <v>245</v>
      </c>
      <c r="L9" s="106">
        <v>44228</v>
      </c>
    </row>
    <row r="10" spans="1:12" s="46" customFormat="1" x14ac:dyDescent="0.35">
      <c r="A10" s="55" t="s">
        <v>197</v>
      </c>
      <c r="B10" s="55" t="s">
        <v>198</v>
      </c>
      <c r="C10" s="55" t="s">
        <v>204</v>
      </c>
      <c r="D10" s="102">
        <v>2638</v>
      </c>
      <c r="E10" s="101">
        <v>44439</v>
      </c>
      <c r="F10" s="105">
        <f t="shared" ca="1" si="0"/>
        <v>-1.4516129032258065</v>
      </c>
      <c r="G10" s="55">
        <v>0</v>
      </c>
      <c r="H10" s="55" t="s">
        <v>258</v>
      </c>
      <c r="I10" s="103">
        <f>VLOOKUP($A10,'Write Off Fertilidade - 9 meses'!$A$4:$Y$16,17,0)</f>
        <v>0</v>
      </c>
      <c r="J10" s="103">
        <f t="shared" si="1"/>
        <v>0</v>
      </c>
      <c r="K10" s="55" t="s">
        <v>245</v>
      </c>
      <c r="L10" s="106">
        <v>44228</v>
      </c>
    </row>
    <row r="11" spans="1:12" s="46" customFormat="1" x14ac:dyDescent="0.35">
      <c r="A11" s="55" t="s">
        <v>130</v>
      </c>
      <c r="B11" s="55" t="s">
        <v>131</v>
      </c>
      <c r="C11" s="151" t="s">
        <v>285</v>
      </c>
      <c r="D11" s="102">
        <v>51</v>
      </c>
      <c r="E11" s="101">
        <v>44469</v>
      </c>
      <c r="F11" s="105">
        <f t="shared" ca="1" si="0"/>
        <v>-0.4838709677419355</v>
      </c>
      <c r="G11" s="55">
        <v>0</v>
      </c>
      <c r="H11" s="55" t="s">
        <v>258</v>
      </c>
      <c r="I11" s="103">
        <v>65.19</v>
      </c>
      <c r="J11" s="103">
        <f t="shared" si="1"/>
        <v>3324.69</v>
      </c>
      <c r="K11" s="55"/>
      <c r="L11" s="150">
        <v>44287</v>
      </c>
    </row>
    <row r="12" spans="1:12" s="46" customFormat="1" x14ac:dyDescent="0.35">
      <c r="A12" s="55" t="s">
        <v>163</v>
      </c>
      <c r="B12" s="55" t="s">
        <v>164</v>
      </c>
      <c r="C12" s="151" t="s">
        <v>168</v>
      </c>
      <c r="D12" s="102">
        <v>10</v>
      </c>
      <c r="E12" s="101">
        <v>44469</v>
      </c>
      <c r="F12" s="105">
        <f t="shared" ca="1" si="0"/>
        <v>-0.4838709677419355</v>
      </c>
      <c r="G12" s="55">
        <v>0</v>
      </c>
      <c r="H12" s="55" t="s">
        <v>258</v>
      </c>
      <c r="I12" s="103">
        <v>51.43</v>
      </c>
      <c r="J12" s="103">
        <f t="shared" si="1"/>
        <v>514.29999999999995</v>
      </c>
      <c r="K12" s="55"/>
      <c r="L12" s="150">
        <v>44287</v>
      </c>
    </row>
    <row r="13" spans="1:12" s="46" customFormat="1" x14ac:dyDescent="0.35">
      <c r="A13" s="55" t="s">
        <v>169</v>
      </c>
      <c r="B13" s="55" t="s">
        <v>170</v>
      </c>
      <c r="C13" s="151" t="s">
        <v>286</v>
      </c>
      <c r="D13" s="102">
        <v>20</v>
      </c>
      <c r="E13" s="101">
        <v>44469</v>
      </c>
      <c r="F13" s="105">
        <f t="shared" ca="1" si="0"/>
        <v>-0.4838709677419355</v>
      </c>
      <c r="G13" s="55">
        <v>0</v>
      </c>
      <c r="H13" s="55" t="s">
        <v>258</v>
      </c>
      <c r="I13" s="103">
        <v>195.64</v>
      </c>
      <c r="J13" s="103">
        <f t="shared" si="1"/>
        <v>3912.7999999999997</v>
      </c>
      <c r="K13" s="55"/>
      <c r="L13" s="150">
        <v>44287</v>
      </c>
    </row>
    <row r="14" spans="1:12" s="46" customFormat="1" x14ac:dyDescent="0.35">
      <c r="A14" s="55" t="s">
        <v>127</v>
      </c>
      <c r="B14" s="55" t="s">
        <v>128</v>
      </c>
      <c r="C14" s="151" t="s">
        <v>287</v>
      </c>
      <c r="D14" s="102">
        <v>5</v>
      </c>
      <c r="E14" s="101">
        <v>44439</v>
      </c>
      <c r="F14" s="105">
        <f t="shared" ca="1" si="0"/>
        <v>-1.4516129032258065</v>
      </c>
      <c r="G14" s="55">
        <v>0</v>
      </c>
      <c r="H14" s="55" t="s">
        <v>258</v>
      </c>
      <c r="I14" s="103">
        <v>623.49</v>
      </c>
      <c r="J14" s="103">
        <f t="shared" si="1"/>
        <v>3117.45</v>
      </c>
      <c r="K14" s="55"/>
      <c r="L14" s="150">
        <v>44287</v>
      </c>
    </row>
    <row r="15" spans="1:12" s="46" customFormat="1" x14ac:dyDescent="0.35">
      <c r="A15" s="55" t="s">
        <v>182</v>
      </c>
      <c r="B15" s="55" t="s">
        <v>183</v>
      </c>
      <c r="C15" s="151" t="s">
        <v>266</v>
      </c>
      <c r="D15" s="102">
        <v>20</v>
      </c>
      <c r="E15" s="101">
        <v>44469</v>
      </c>
      <c r="F15" s="105">
        <f t="shared" ca="1" si="0"/>
        <v>-0.4838709677419355</v>
      </c>
      <c r="G15" s="55">
        <v>0</v>
      </c>
      <c r="H15" s="55" t="s">
        <v>258</v>
      </c>
      <c r="I15" s="103">
        <v>272.89999999999998</v>
      </c>
      <c r="J15" s="103">
        <f t="shared" si="1"/>
        <v>5458</v>
      </c>
      <c r="K15" s="55"/>
      <c r="L15" s="150">
        <v>44287</v>
      </c>
    </row>
    <row r="16" spans="1:12" s="46" customFormat="1" x14ac:dyDescent="0.35">
      <c r="A16" s="55" t="s">
        <v>182</v>
      </c>
      <c r="B16" s="55" t="s">
        <v>183</v>
      </c>
      <c r="C16" s="151" t="s">
        <v>253</v>
      </c>
      <c r="D16" s="102">
        <v>1866</v>
      </c>
      <c r="E16" s="101">
        <v>44469</v>
      </c>
      <c r="F16" s="105">
        <f t="shared" ca="1" si="0"/>
        <v>-0.4838709677419355</v>
      </c>
      <c r="G16" s="55">
        <v>0</v>
      </c>
      <c r="H16" s="55" t="s">
        <v>258</v>
      </c>
      <c r="I16" s="103">
        <v>272.89999999999998</v>
      </c>
      <c r="J16" s="103">
        <f t="shared" si="1"/>
        <v>509231.39999999997</v>
      </c>
      <c r="K16" s="55"/>
      <c r="L16" s="150">
        <v>44287</v>
      </c>
    </row>
    <row r="17" spans="1:12" s="46" customFormat="1" x14ac:dyDescent="0.35">
      <c r="A17" s="55" t="s">
        <v>193</v>
      </c>
      <c r="B17" s="55" t="s">
        <v>194</v>
      </c>
      <c r="C17" s="151" t="s">
        <v>267</v>
      </c>
      <c r="D17" s="102">
        <v>70</v>
      </c>
      <c r="E17" s="101">
        <v>44439</v>
      </c>
      <c r="F17" s="105">
        <f t="shared" ca="1" si="0"/>
        <v>-1.4516129032258065</v>
      </c>
      <c r="G17" s="55">
        <v>0</v>
      </c>
      <c r="H17" s="55" t="s">
        <v>258</v>
      </c>
      <c r="I17" s="103">
        <v>64.98</v>
      </c>
      <c r="J17" s="103">
        <f t="shared" si="1"/>
        <v>4548.6000000000004</v>
      </c>
      <c r="K17" s="55"/>
      <c r="L17" s="150">
        <v>44287</v>
      </c>
    </row>
    <row r="18" spans="1:12" s="46" customFormat="1" x14ac:dyDescent="0.35">
      <c r="A18" s="55" t="s">
        <v>197</v>
      </c>
      <c r="B18" s="55" t="s">
        <v>198</v>
      </c>
      <c r="C18" s="151" t="s">
        <v>202</v>
      </c>
      <c r="D18" s="102">
        <v>5432</v>
      </c>
      <c r="E18" s="101">
        <v>44469</v>
      </c>
      <c r="F18" s="105">
        <f t="shared" ca="1" si="0"/>
        <v>-0.4838709677419355</v>
      </c>
      <c r="G18" s="55">
        <v>0</v>
      </c>
      <c r="H18" s="55" t="s">
        <v>258</v>
      </c>
      <c r="I18" s="103">
        <v>74.47</v>
      </c>
      <c r="J18" s="103">
        <f t="shared" si="1"/>
        <v>404521.04</v>
      </c>
      <c r="K18" s="55"/>
      <c r="L18" s="150">
        <v>44287</v>
      </c>
    </row>
    <row r="19" spans="1:12" s="46" customFormat="1" x14ac:dyDescent="0.35">
      <c r="A19" s="55" t="s">
        <v>169</v>
      </c>
      <c r="B19" s="55" t="s">
        <v>170</v>
      </c>
      <c r="C19" s="151" t="s">
        <v>261</v>
      </c>
      <c r="D19" s="102">
        <v>692</v>
      </c>
      <c r="E19" s="101">
        <v>44500</v>
      </c>
      <c r="F19" s="105">
        <f t="shared" ca="1" si="0"/>
        <v>0.5161290322580645</v>
      </c>
      <c r="G19" s="55">
        <v>0</v>
      </c>
      <c r="H19" s="55" t="s">
        <v>258</v>
      </c>
      <c r="I19" s="103">
        <v>195.64</v>
      </c>
      <c r="J19" s="103">
        <f t="shared" si="1"/>
        <v>135382.88</v>
      </c>
      <c r="K19" s="55"/>
      <c r="L19" s="150">
        <v>44348</v>
      </c>
    </row>
    <row r="20" spans="1:12" s="46" customFormat="1" x14ac:dyDescent="0.35">
      <c r="A20" s="55" t="s">
        <v>205</v>
      </c>
      <c r="B20" s="55" t="s">
        <v>206</v>
      </c>
      <c r="C20" s="151" t="s">
        <v>252</v>
      </c>
      <c r="D20" s="102">
        <v>56</v>
      </c>
      <c r="E20" s="101">
        <v>44530</v>
      </c>
      <c r="F20" s="105">
        <f t="shared" ca="1" si="0"/>
        <v>1.4838709677419355</v>
      </c>
      <c r="G20" s="55">
        <v>0</v>
      </c>
      <c r="H20" s="55" t="s">
        <v>258</v>
      </c>
      <c r="I20" s="103">
        <v>490.15</v>
      </c>
      <c r="J20" s="103">
        <f t="shared" si="1"/>
        <v>27448.399999999998</v>
      </c>
      <c r="K20" s="55"/>
      <c r="L20" s="150">
        <v>44378</v>
      </c>
    </row>
    <row r="21" spans="1:12" s="46" customFormat="1" x14ac:dyDescent="0.35">
      <c r="A21" s="55" t="s">
        <v>205</v>
      </c>
      <c r="B21" s="55" t="s">
        <v>206</v>
      </c>
      <c r="C21" s="151" t="s">
        <v>265</v>
      </c>
      <c r="D21" s="276">
        <v>321</v>
      </c>
      <c r="E21" s="101"/>
      <c r="F21" s="105"/>
      <c r="G21" s="55"/>
      <c r="H21" s="55"/>
      <c r="I21" s="103"/>
      <c r="J21" s="103"/>
      <c r="K21" s="55"/>
      <c r="L21" s="150"/>
    </row>
    <row r="22" spans="1:12" s="46" customFormat="1" x14ac:dyDescent="0.35">
      <c r="A22" s="55" t="s">
        <v>205</v>
      </c>
      <c r="B22" s="55" t="s">
        <v>206</v>
      </c>
      <c r="C22" s="151" t="s">
        <v>263</v>
      </c>
      <c r="D22" s="276">
        <v>213</v>
      </c>
      <c r="E22" s="101"/>
      <c r="F22" s="105"/>
      <c r="G22" s="55"/>
      <c r="H22" s="55"/>
      <c r="I22" s="103"/>
      <c r="J22" s="103"/>
      <c r="K22" s="55"/>
      <c r="L22" s="150"/>
    </row>
    <row r="23" spans="1:12" s="46" customFormat="1" x14ac:dyDescent="0.35">
      <c r="A23" s="55" t="s">
        <v>197</v>
      </c>
      <c r="B23" s="55" t="s">
        <v>198</v>
      </c>
      <c r="C23" s="151" t="s">
        <v>264</v>
      </c>
      <c r="D23" s="276">
        <v>3077</v>
      </c>
      <c r="E23" s="101"/>
      <c r="F23" s="105"/>
      <c r="G23" s="55"/>
      <c r="H23" s="55"/>
      <c r="I23" s="103"/>
      <c r="J23" s="103"/>
      <c r="K23" s="55"/>
      <c r="L23" s="150"/>
    </row>
    <row r="24" spans="1:12" x14ac:dyDescent="0.35">
      <c r="D24" s="111">
        <f>SUM(D3:D19)</f>
        <v>19593</v>
      </c>
      <c r="E24" s="40"/>
      <c r="F24" s="40"/>
      <c r="G24" s="40"/>
      <c r="H24" s="40"/>
      <c r="I24" s="40"/>
      <c r="J24" s="110">
        <f>SUM(J3:J19)</f>
        <v>1070011.1600000001</v>
      </c>
    </row>
  </sheetData>
  <conditionalFormatting sqref="C24:C1048576 C1:C13">
    <cfRule type="duplicateValues" dxfId="9" priority="8"/>
  </conditionalFormatting>
  <conditionalFormatting sqref="C14:C16">
    <cfRule type="duplicateValues" dxfId="8" priority="7"/>
  </conditionalFormatting>
  <conditionalFormatting sqref="C17">
    <cfRule type="duplicateValues" dxfId="7" priority="6"/>
  </conditionalFormatting>
  <conditionalFormatting sqref="C19">
    <cfRule type="duplicateValues" dxfId="6" priority="4"/>
  </conditionalFormatting>
  <conditionalFormatting sqref="C18">
    <cfRule type="duplicateValues" dxfId="5" priority="60"/>
  </conditionalFormatting>
  <conditionalFormatting sqref="C20:C21">
    <cfRule type="duplicateValues" dxfId="4" priority="3"/>
  </conditionalFormatting>
  <conditionalFormatting sqref="C22">
    <cfRule type="duplicateValues" dxfId="3" priority="2"/>
  </conditionalFormatting>
  <conditionalFormatting sqref="C23">
    <cfRule type="duplicateValues" dxfId="2" priority="1"/>
  </conditionalFormatting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AE75-6834-4F88-8797-752CECF02ADA}">
  <sheetPr codeName="Planilha13">
    <tabColor rgb="FFC00000"/>
  </sheetPr>
  <dimension ref="A1:AV54"/>
  <sheetViews>
    <sheetView showGridLines="0" zoomScale="70" zoomScaleNormal="70" zoomScaleSheetLayoutView="110" workbookViewId="0">
      <pane xSplit="2" ySplit="2" topLeftCell="AG36" activePane="bottomRight" state="frozen"/>
      <selection activeCell="H8" sqref="H8"/>
      <selection pane="topRight" activeCell="H8" sqref="H8"/>
      <selection pane="bottomLeft" activeCell="H8" sqref="H8"/>
      <selection pane="bottomRight" activeCell="AT53" sqref="AT53"/>
    </sheetView>
  </sheetViews>
  <sheetFormatPr defaultRowHeight="14.5" x14ac:dyDescent="0.35"/>
  <cols>
    <col min="1" max="1" width="10.08984375" bestFit="1" customWidth="1"/>
    <col min="2" max="2" width="34.36328125" bestFit="1" customWidth="1"/>
    <col min="3" max="5" width="8.36328125" customWidth="1"/>
    <col min="6" max="6" width="8.36328125" bestFit="1" customWidth="1"/>
    <col min="7" max="7" width="8.36328125" customWidth="1"/>
    <col min="8" max="8" width="8.36328125" bestFit="1" customWidth="1"/>
    <col min="9" max="11" width="7.6328125" bestFit="1" customWidth="1"/>
    <col min="12" max="12" width="7.6328125" customWidth="1"/>
    <col min="13" max="13" width="7.36328125" bestFit="1" customWidth="1"/>
    <col min="14" max="16" width="7.453125" customWidth="1"/>
    <col min="17" max="17" width="8.1796875" bestFit="1" customWidth="1"/>
    <col min="18" max="22" width="7.453125" customWidth="1"/>
    <col min="23" max="23" width="10.36328125" customWidth="1"/>
    <col min="24" max="24" width="1.90625" customWidth="1"/>
    <col min="25" max="25" width="6" customWidth="1"/>
    <col min="26" max="31" width="13.36328125" bestFit="1" customWidth="1"/>
    <col min="32" max="32" width="11.6328125" bestFit="1" customWidth="1"/>
    <col min="33" max="33" width="13.36328125" bestFit="1" customWidth="1"/>
    <col min="34" max="34" width="12.26953125" bestFit="1" customWidth="1"/>
    <col min="35" max="35" width="10.54296875" bestFit="1" customWidth="1"/>
    <col min="36" max="36" width="11.6328125" bestFit="1" customWidth="1"/>
    <col min="37" max="37" width="10.81640625" bestFit="1" customWidth="1"/>
    <col min="38" max="44" width="10.81640625" customWidth="1"/>
    <col min="45" max="45" width="10.7265625" bestFit="1" customWidth="1"/>
    <col min="46" max="46" width="21.36328125" bestFit="1" customWidth="1"/>
    <col min="47" max="47" width="11.1796875" bestFit="1" customWidth="1"/>
    <col min="48" max="48" width="13.36328125" bestFit="1" customWidth="1"/>
  </cols>
  <sheetData>
    <row r="1" spans="1:46" s="46" customFormat="1" ht="33" customHeight="1" x14ac:dyDescent="0.35">
      <c r="A1" s="333" t="s">
        <v>225</v>
      </c>
      <c r="B1" s="333"/>
      <c r="C1" s="332" t="s">
        <v>223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/>
      <c r="Z1" s="332" t="s">
        <v>224</v>
      </c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  <c r="AR1" s="332"/>
      <c r="AS1" s="332"/>
      <c r="AT1" s="332"/>
    </row>
    <row r="2" spans="1:46" s="46" customFormat="1" x14ac:dyDescent="0.35">
      <c r="A2" s="77" t="s">
        <v>108</v>
      </c>
      <c r="B2" s="75" t="s">
        <v>218</v>
      </c>
      <c r="C2" s="70">
        <v>43983</v>
      </c>
      <c r="D2" s="70">
        <v>44013</v>
      </c>
      <c r="E2" s="70">
        <v>44044</v>
      </c>
      <c r="F2" s="70">
        <v>44075</v>
      </c>
      <c r="G2" s="70">
        <v>44105</v>
      </c>
      <c r="H2" s="70">
        <v>44136</v>
      </c>
      <c r="I2" s="70">
        <v>44166</v>
      </c>
      <c r="J2" s="70">
        <v>44197</v>
      </c>
      <c r="K2" s="70">
        <v>44228</v>
      </c>
      <c r="L2" s="70">
        <v>44256</v>
      </c>
      <c r="M2" s="70">
        <v>44287</v>
      </c>
      <c r="N2" s="70">
        <v>44317</v>
      </c>
      <c r="O2" s="70">
        <v>44348</v>
      </c>
      <c r="P2" s="70">
        <v>44378</v>
      </c>
      <c r="Q2" s="70">
        <v>44409</v>
      </c>
      <c r="R2" s="70">
        <v>44440</v>
      </c>
      <c r="S2" s="70">
        <v>44470</v>
      </c>
      <c r="T2" s="70">
        <v>44501</v>
      </c>
      <c r="U2" s="70">
        <v>44531</v>
      </c>
      <c r="V2" s="267">
        <v>2022</v>
      </c>
      <c r="W2" s="70" t="s">
        <v>228</v>
      </c>
      <c r="X2"/>
      <c r="Y2" s="69" t="s">
        <v>219</v>
      </c>
      <c r="Z2" s="70">
        <v>43983</v>
      </c>
      <c r="AA2" s="70">
        <v>44013</v>
      </c>
      <c r="AB2" s="70">
        <v>44044</v>
      </c>
      <c r="AC2" s="70">
        <v>44075</v>
      </c>
      <c r="AD2" s="70">
        <v>44105</v>
      </c>
      <c r="AE2" s="70">
        <v>44136</v>
      </c>
      <c r="AF2" s="70">
        <v>44166</v>
      </c>
      <c r="AG2" s="70">
        <v>44197</v>
      </c>
      <c r="AH2" s="70">
        <v>44228</v>
      </c>
      <c r="AI2" s="70">
        <v>44256</v>
      </c>
      <c r="AJ2" s="70">
        <v>44287</v>
      </c>
      <c r="AK2" s="70">
        <v>44317</v>
      </c>
      <c r="AL2" s="70">
        <v>44348</v>
      </c>
      <c r="AM2" s="70">
        <v>44378</v>
      </c>
      <c r="AN2" s="70">
        <v>44409</v>
      </c>
      <c r="AO2" s="70">
        <v>44440</v>
      </c>
      <c r="AP2" s="70">
        <v>44470</v>
      </c>
      <c r="AQ2" s="70">
        <v>44501</v>
      </c>
      <c r="AR2" s="70">
        <v>44531</v>
      </c>
      <c r="AS2" s="267">
        <v>2022</v>
      </c>
      <c r="AT2" s="70" t="s">
        <v>228</v>
      </c>
    </row>
    <row r="3" spans="1:46" s="46" customFormat="1" x14ac:dyDescent="0.35">
      <c r="A3" s="71" t="s">
        <v>130</v>
      </c>
      <c r="B3" s="76" t="s">
        <v>131</v>
      </c>
      <c r="C3" s="72">
        <v>18868</v>
      </c>
      <c r="D3" s="72">
        <v>1316</v>
      </c>
      <c r="E3" s="72">
        <v>14397</v>
      </c>
      <c r="F3" s="72"/>
      <c r="G3" s="72"/>
      <c r="H3" s="72"/>
      <c r="I3" s="72"/>
      <c r="J3" s="72"/>
      <c r="K3" s="72">
        <v>704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>
        <f>SUM(C3:V3)</f>
        <v>35285</v>
      </c>
      <c r="X3"/>
      <c r="Y3" s="69">
        <v>68.150000000000006</v>
      </c>
      <c r="Z3" s="73">
        <f t="shared" ref="Z3:Z15" si="0">$Y3*C3</f>
        <v>1285854.2000000002</v>
      </c>
      <c r="AA3" s="73">
        <f t="shared" ref="AA3:AA15" si="1">$Y3*D3</f>
        <v>89685.400000000009</v>
      </c>
      <c r="AB3" s="73">
        <f t="shared" ref="AB3:AB15" si="2">$Y3*E3</f>
        <v>981155.55</v>
      </c>
      <c r="AC3" s="73">
        <f t="shared" ref="AC3:AC15" si="3">$Y3*F3</f>
        <v>0</v>
      </c>
      <c r="AD3" s="73">
        <f t="shared" ref="AD3:AD15" si="4">$Y3*G3</f>
        <v>0</v>
      </c>
      <c r="AE3" s="73">
        <f t="shared" ref="AE3:AE15" si="5">$Y3*H3</f>
        <v>0</v>
      </c>
      <c r="AF3" s="73">
        <f t="shared" ref="AF3:AF15" si="6">$Y3*I3</f>
        <v>0</v>
      </c>
      <c r="AG3" s="73">
        <f t="shared" ref="AG3:AG15" si="7">$Y3*J3</f>
        <v>0</v>
      </c>
      <c r="AH3" s="73">
        <f t="shared" ref="AH3:AH15" si="8">$Y3*K3</f>
        <v>47977.600000000006</v>
      </c>
      <c r="AI3" s="73">
        <f t="shared" ref="AI3:AI15" si="9">$Y3*L3</f>
        <v>0</v>
      </c>
      <c r="AJ3" s="73">
        <f t="shared" ref="AJ3:AJ15" si="10">$Y3*M3</f>
        <v>0</v>
      </c>
      <c r="AK3" s="73">
        <f t="shared" ref="AK3:AK15" si="11">$Y3*N3</f>
        <v>0</v>
      </c>
      <c r="AL3" s="73">
        <f t="shared" ref="AL3:AL15" si="12">$Y3*O3</f>
        <v>0</v>
      </c>
      <c r="AM3" s="73">
        <f t="shared" ref="AM3:AM15" si="13">$Y3*P3</f>
        <v>0</v>
      </c>
      <c r="AN3" s="73">
        <f t="shared" ref="AN3:AN15" si="14">$Y3*Q3</f>
        <v>0</v>
      </c>
      <c r="AO3" s="73">
        <f t="shared" ref="AO3:AO15" si="15">$Y3*R3</f>
        <v>0</v>
      </c>
      <c r="AP3" s="73">
        <f t="shared" ref="AP3:AP15" si="16">$Y3*S3</f>
        <v>0</v>
      </c>
      <c r="AQ3" s="73">
        <f>$Y3*T3</f>
        <v>0</v>
      </c>
      <c r="AR3" s="73">
        <f>$Y3*U3</f>
        <v>0</v>
      </c>
      <c r="AS3" s="73">
        <f t="shared" ref="AS3:AS15" si="17">$Y3*V3</f>
        <v>0</v>
      </c>
      <c r="AT3" s="73">
        <f>SUM(Z3:AS3)</f>
        <v>2404672.7500000005</v>
      </c>
    </row>
    <row r="4" spans="1:46" s="46" customFormat="1" x14ac:dyDescent="0.35">
      <c r="A4" s="71" t="s">
        <v>154</v>
      </c>
      <c r="B4" s="76" t="s">
        <v>155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>
        <f t="shared" ref="W4:W15" si="18">SUM(C4:V4)</f>
        <v>0</v>
      </c>
      <c r="X4"/>
      <c r="Y4" s="69">
        <v>78.05</v>
      </c>
      <c r="Z4" s="73">
        <f t="shared" si="0"/>
        <v>0</v>
      </c>
      <c r="AA4" s="73">
        <f t="shared" si="1"/>
        <v>0</v>
      </c>
      <c r="AB4" s="73">
        <f t="shared" si="2"/>
        <v>0</v>
      </c>
      <c r="AC4" s="73">
        <f t="shared" si="3"/>
        <v>0</v>
      </c>
      <c r="AD4" s="73">
        <f t="shared" si="4"/>
        <v>0</v>
      </c>
      <c r="AE4" s="73">
        <f t="shared" si="5"/>
        <v>0</v>
      </c>
      <c r="AF4" s="73">
        <f t="shared" si="6"/>
        <v>0</v>
      </c>
      <c r="AG4" s="73">
        <f t="shared" si="7"/>
        <v>0</v>
      </c>
      <c r="AH4" s="73">
        <f t="shared" si="8"/>
        <v>0</v>
      </c>
      <c r="AI4" s="73">
        <f t="shared" si="9"/>
        <v>0</v>
      </c>
      <c r="AJ4" s="73">
        <f t="shared" si="10"/>
        <v>0</v>
      </c>
      <c r="AK4" s="73">
        <f t="shared" si="11"/>
        <v>0</v>
      </c>
      <c r="AL4" s="73">
        <f t="shared" si="12"/>
        <v>0</v>
      </c>
      <c r="AM4" s="73">
        <f t="shared" si="13"/>
        <v>0</v>
      </c>
      <c r="AN4" s="73">
        <f t="shared" si="14"/>
        <v>0</v>
      </c>
      <c r="AO4" s="73">
        <f t="shared" si="15"/>
        <v>0</v>
      </c>
      <c r="AP4" s="73">
        <f t="shared" si="16"/>
        <v>0</v>
      </c>
      <c r="AQ4" s="73">
        <f t="shared" ref="AQ4:AQ15" si="19">$Y4*T4</f>
        <v>0</v>
      </c>
      <c r="AR4" s="73">
        <f t="shared" ref="AR4:AR15" si="20">$Y4*U4</f>
        <v>0</v>
      </c>
      <c r="AS4" s="73">
        <f t="shared" si="17"/>
        <v>0</v>
      </c>
      <c r="AT4" s="73">
        <f t="shared" ref="AT4:AT15" si="21">SUM(Z4:AS4)</f>
        <v>0</v>
      </c>
    </row>
    <row r="5" spans="1:46" s="46" customFormat="1" x14ac:dyDescent="0.35">
      <c r="A5" s="71" t="s">
        <v>158</v>
      </c>
      <c r="B5" s="76" t="s">
        <v>159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>
        <f t="shared" si="18"/>
        <v>0</v>
      </c>
      <c r="X5"/>
      <c r="Y5" s="69">
        <v>138.86000000000001</v>
      </c>
      <c r="Z5" s="73">
        <f t="shared" si="0"/>
        <v>0</v>
      </c>
      <c r="AA5" s="73">
        <f t="shared" si="1"/>
        <v>0</v>
      </c>
      <c r="AB5" s="73">
        <f t="shared" si="2"/>
        <v>0</v>
      </c>
      <c r="AC5" s="73">
        <f t="shared" si="3"/>
        <v>0</v>
      </c>
      <c r="AD5" s="73">
        <f t="shared" si="4"/>
        <v>0</v>
      </c>
      <c r="AE5" s="73">
        <f t="shared" si="5"/>
        <v>0</v>
      </c>
      <c r="AF5" s="73">
        <f t="shared" si="6"/>
        <v>0</v>
      </c>
      <c r="AG5" s="73">
        <f t="shared" si="7"/>
        <v>0</v>
      </c>
      <c r="AH5" s="73">
        <f t="shared" si="8"/>
        <v>0</v>
      </c>
      <c r="AI5" s="73">
        <f t="shared" si="9"/>
        <v>0</v>
      </c>
      <c r="AJ5" s="73">
        <f t="shared" si="10"/>
        <v>0</v>
      </c>
      <c r="AK5" s="73">
        <f t="shared" si="11"/>
        <v>0</v>
      </c>
      <c r="AL5" s="73">
        <f t="shared" si="12"/>
        <v>0</v>
      </c>
      <c r="AM5" s="73">
        <f t="shared" si="13"/>
        <v>0</v>
      </c>
      <c r="AN5" s="73">
        <f t="shared" si="14"/>
        <v>0</v>
      </c>
      <c r="AO5" s="73">
        <f t="shared" si="15"/>
        <v>0</v>
      </c>
      <c r="AP5" s="73">
        <f t="shared" si="16"/>
        <v>0</v>
      </c>
      <c r="AQ5" s="73">
        <f t="shared" si="19"/>
        <v>0</v>
      </c>
      <c r="AR5" s="73">
        <f t="shared" si="20"/>
        <v>0</v>
      </c>
      <c r="AS5" s="73">
        <f t="shared" si="17"/>
        <v>0</v>
      </c>
      <c r="AT5" s="73">
        <f t="shared" si="21"/>
        <v>0</v>
      </c>
    </row>
    <row r="6" spans="1:46" s="46" customFormat="1" x14ac:dyDescent="0.35">
      <c r="A6" s="71" t="s">
        <v>163</v>
      </c>
      <c r="B6" s="76" t="s">
        <v>164</v>
      </c>
      <c r="C6" s="72">
        <v>4650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>
        <f t="shared" si="18"/>
        <v>4650</v>
      </c>
      <c r="X6"/>
      <c r="Y6" s="69">
        <v>51.43</v>
      </c>
      <c r="Z6" s="73">
        <f t="shared" si="0"/>
        <v>239149.5</v>
      </c>
      <c r="AA6" s="73">
        <f t="shared" si="1"/>
        <v>0</v>
      </c>
      <c r="AB6" s="73">
        <f t="shared" si="2"/>
        <v>0</v>
      </c>
      <c r="AC6" s="73">
        <f t="shared" si="3"/>
        <v>0</v>
      </c>
      <c r="AD6" s="73">
        <f t="shared" si="4"/>
        <v>0</v>
      </c>
      <c r="AE6" s="73">
        <f t="shared" si="5"/>
        <v>0</v>
      </c>
      <c r="AF6" s="73">
        <f t="shared" si="6"/>
        <v>0</v>
      </c>
      <c r="AG6" s="73">
        <f t="shared" si="7"/>
        <v>0</v>
      </c>
      <c r="AH6" s="73">
        <f t="shared" si="8"/>
        <v>0</v>
      </c>
      <c r="AI6" s="73">
        <f t="shared" si="9"/>
        <v>0</v>
      </c>
      <c r="AJ6" s="73">
        <f t="shared" si="10"/>
        <v>0</v>
      </c>
      <c r="AK6" s="73">
        <f t="shared" si="11"/>
        <v>0</v>
      </c>
      <c r="AL6" s="73">
        <f t="shared" si="12"/>
        <v>0</v>
      </c>
      <c r="AM6" s="73">
        <f t="shared" si="13"/>
        <v>0</v>
      </c>
      <c r="AN6" s="73">
        <f t="shared" si="14"/>
        <v>0</v>
      </c>
      <c r="AO6" s="73">
        <f t="shared" si="15"/>
        <v>0</v>
      </c>
      <c r="AP6" s="73">
        <f t="shared" si="16"/>
        <v>0</v>
      </c>
      <c r="AQ6" s="73">
        <f t="shared" si="19"/>
        <v>0</v>
      </c>
      <c r="AR6" s="73">
        <f t="shared" si="20"/>
        <v>0</v>
      </c>
      <c r="AS6" s="73">
        <f t="shared" si="17"/>
        <v>0</v>
      </c>
      <c r="AT6" s="73">
        <f t="shared" si="21"/>
        <v>239149.5</v>
      </c>
    </row>
    <row r="7" spans="1:46" s="46" customFormat="1" x14ac:dyDescent="0.35">
      <c r="A7" s="71" t="s">
        <v>169</v>
      </c>
      <c r="B7" s="76" t="s">
        <v>170</v>
      </c>
      <c r="C7" s="72">
        <v>3523</v>
      </c>
      <c r="D7" s="72">
        <v>40</v>
      </c>
      <c r="E7" s="72">
        <v>6259</v>
      </c>
      <c r="F7" s="72">
        <v>5330</v>
      </c>
      <c r="G7" s="72"/>
      <c r="H7" s="72"/>
      <c r="I7" s="72"/>
      <c r="J7" s="72">
        <v>1894</v>
      </c>
      <c r="K7" s="72">
        <v>3208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>
        <f t="shared" si="18"/>
        <v>20254</v>
      </c>
      <c r="X7"/>
      <c r="Y7" s="69">
        <v>204.53</v>
      </c>
      <c r="Z7" s="73">
        <f t="shared" si="0"/>
        <v>720559.19000000006</v>
      </c>
      <c r="AA7" s="73">
        <f t="shared" si="1"/>
        <v>8181.2</v>
      </c>
      <c r="AB7" s="73">
        <f t="shared" si="2"/>
        <v>1280153.27</v>
      </c>
      <c r="AC7" s="73">
        <f t="shared" si="3"/>
        <v>1090144.8999999999</v>
      </c>
      <c r="AD7" s="73">
        <f t="shared" si="4"/>
        <v>0</v>
      </c>
      <c r="AE7" s="73">
        <f t="shared" si="5"/>
        <v>0</v>
      </c>
      <c r="AF7" s="73">
        <f t="shared" si="6"/>
        <v>0</v>
      </c>
      <c r="AG7" s="73">
        <f t="shared" si="7"/>
        <v>387379.82</v>
      </c>
      <c r="AH7" s="73">
        <f t="shared" si="8"/>
        <v>656132.24</v>
      </c>
      <c r="AI7" s="73">
        <f t="shared" si="9"/>
        <v>0</v>
      </c>
      <c r="AJ7" s="73">
        <f t="shared" si="10"/>
        <v>0</v>
      </c>
      <c r="AK7" s="73">
        <f t="shared" si="11"/>
        <v>0</v>
      </c>
      <c r="AL7" s="73">
        <f t="shared" si="12"/>
        <v>0</v>
      </c>
      <c r="AM7" s="73">
        <f t="shared" si="13"/>
        <v>0</v>
      </c>
      <c r="AN7" s="73">
        <f t="shared" si="14"/>
        <v>0</v>
      </c>
      <c r="AO7" s="73">
        <f t="shared" si="15"/>
        <v>0</v>
      </c>
      <c r="AP7" s="73">
        <f t="shared" si="16"/>
        <v>0</v>
      </c>
      <c r="AQ7" s="73">
        <f t="shared" si="19"/>
        <v>0</v>
      </c>
      <c r="AR7" s="73">
        <f t="shared" si="20"/>
        <v>0</v>
      </c>
      <c r="AS7" s="73">
        <f t="shared" si="17"/>
        <v>0</v>
      </c>
      <c r="AT7" s="73">
        <f t="shared" si="21"/>
        <v>4142550.62</v>
      </c>
    </row>
    <row r="8" spans="1:46" s="46" customFormat="1" x14ac:dyDescent="0.35">
      <c r="A8" s="71" t="s">
        <v>127</v>
      </c>
      <c r="B8" s="76" t="s">
        <v>128</v>
      </c>
      <c r="C8" s="72">
        <v>784</v>
      </c>
      <c r="D8" s="72"/>
      <c r="E8" s="72">
        <v>427.89367800000002</v>
      </c>
      <c r="F8" s="72"/>
      <c r="G8" s="72"/>
      <c r="H8" s="72"/>
      <c r="I8" s="72">
        <v>204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>
        <f t="shared" si="18"/>
        <v>1415.8936779999999</v>
      </c>
      <c r="X8"/>
      <c r="Y8" s="69">
        <v>651.83000000000004</v>
      </c>
      <c r="Z8" s="73">
        <f t="shared" si="0"/>
        <v>511034.72000000003</v>
      </c>
      <c r="AA8" s="73">
        <f t="shared" si="1"/>
        <v>0</v>
      </c>
      <c r="AB8" s="73">
        <f t="shared" si="2"/>
        <v>278913.93613074004</v>
      </c>
      <c r="AC8" s="73">
        <f t="shared" si="3"/>
        <v>0</v>
      </c>
      <c r="AD8" s="73">
        <f t="shared" si="4"/>
        <v>0</v>
      </c>
      <c r="AE8" s="73">
        <f t="shared" si="5"/>
        <v>0</v>
      </c>
      <c r="AF8" s="73">
        <f t="shared" si="6"/>
        <v>132973.32</v>
      </c>
      <c r="AG8" s="73">
        <f t="shared" si="7"/>
        <v>0</v>
      </c>
      <c r="AH8" s="73">
        <f t="shared" si="8"/>
        <v>0</v>
      </c>
      <c r="AI8" s="73">
        <f t="shared" si="9"/>
        <v>0</v>
      </c>
      <c r="AJ8" s="73">
        <f t="shared" si="10"/>
        <v>0</v>
      </c>
      <c r="AK8" s="73">
        <f t="shared" si="11"/>
        <v>0</v>
      </c>
      <c r="AL8" s="73">
        <f t="shared" si="12"/>
        <v>0</v>
      </c>
      <c r="AM8" s="73">
        <f t="shared" si="13"/>
        <v>0</v>
      </c>
      <c r="AN8" s="73">
        <f t="shared" si="14"/>
        <v>0</v>
      </c>
      <c r="AO8" s="73">
        <f t="shared" si="15"/>
        <v>0</v>
      </c>
      <c r="AP8" s="73">
        <f t="shared" si="16"/>
        <v>0</v>
      </c>
      <c r="AQ8" s="73">
        <f t="shared" si="19"/>
        <v>0</v>
      </c>
      <c r="AR8" s="73">
        <f t="shared" si="20"/>
        <v>0</v>
      </c>
      <c r="AS8" s="73">
        <f t="shared" si="17"/>
        <v>0</v>
      </c>
      <c r="AT8" s="73">
        <f t="shared" si="21"/>
        <v>922921.97613074002</v>
      </c>
    </row>
    <row r="9" spans="1:46" s="46" customFormat="1" x14ac:dyDescent="0.35">
      <c r="A9" s="71" t="s">
        <v>182</v>
      </c>
      <c r="B9" s="76" t="s">
        <v>183</v>
      </c>
      <c r="C9" s="72">
        <v>5209</v>
      </c>
      <c r="D9" s="72"/>
      <c r="E9" s="72">
        <v>2340</v>
      </c>
      <c r="F9" s="72"/>
      <c r="G9" s="72"/>
      <c r="H9" s="72"/>
      <c r="I9" s="72"/>
      <c r="J9" s="72">
        <v>1048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>
        <f t="shared" si="18"/>
        <v>8597</v>
      </c>
      <c r="X9"/>
      <c r="Y9" s="69">
        <v>285.3</v>
      </c>
      <c r="Z9" s="73">
        <f t="shared" si="0"/>
        <v>1486127.7</v>
      </c>
      <c r="AA9" s="73">
        <f t="shared" si="1"/>
        <v>0</v>
      </c>
      <c r="AB9" s="73">
        <f t="shared" si="2"/>
        <v>667602</v>
      </c>
      <c r="AC9" s="73">
        <f t="shared" si="3"/>
        <v>0</v>
      </c>
      <c r="AD9" s="73">
        <f t="shared" si="4"/>
        <v>0</v>
      </c>
      <c r="AE9" s="73">
        <f t="shared" si="5"/>
        <v>0</v>
      </c>
      <c r="AF9" s="73">
        <f t="shared" si="6"/>
        <v>0</v>
      </c>
      <c r="AG9" s="73">
        <f t="shared" si="7"/>
        <v>298994.40000000002</v>
      </c>
      <c r="AH9" s="73">
        <f t="shared" si="8"/>
        <v>0</v>
      </c>
      <c r="AI9" s="73">
        <f t="shared" si="9"/>
        <v>0</v>
      </c>
      <c r="AJ9" s="73">
        <f t="shared" si="10"/>
        <v>0</v>
      </c>
      <c r="AK9" s="73">
        <f t="shared" si="11"/>
        <v>0</v>
      </c>
      <c r="AL9" s="73">
        <f t="shared" si="12"/>
        <v>0</v>
      </c>
      <c r="AM9" s="73">
        <f t="shared" si="13"/>
        <v>0</v>
      </c>
      <c r="AN9" s="73">
        <f t="shared" si="14"/>
        <v>0</v>
      </c>
      <c r="AO9" s="73">
        <f t="shared" si="15"/>
        <v>0</v>
      </c>
      <c r="AP9" s="73">
        <f t="shared" si="16"/>
        <v>0</v>
      </c>
      <c r="AQ9" s="73">
        <f t="shared" si="19"/>
        <v>0</v>
      </c>
      <c r="AR9" s="73">
        <f t="shared" si="20"/>
        <v>0</v>
      </c>
      <c r="AS9" s="73">
        <f t="shared" si="17"/>
        <v>0</v>
      </c>
      <c r="AT9" s="73">
        <f t="shared" si="21"/>
        <v>2452724.1</v>
      </c>
    </row>
    <row r="10" spans="1:46" s="46" customFormat="1" x14ac:dyDescent="0.35">
      <c r="A10" s="71" t="s">
        <v>188</v>
      </c>
      <c r="B10" s="76" t="s">
        <v>189</v>
      </c>
      <c r="C10" s="72"/>
      <c r="D10" s="72"/>
      <c r="E10" s="72"/>
      <c r="F10" s="72"/>
      <c r="G10" s="72"/>
      <c r="H10" s="72"/>
      <c r="I10" s="72"/>
      <c r="J10" s="72">
        <v>1870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>
        <f t="shared" si="18"/>
        <v>1870</v>
      </c>
      <c r="X10"/>
      <c r="Y10" s="69">
        <v>34.06</v>
      </c>
      <c r="Z10" s="73">
        <f t="shared" si="0"/>
        <v>0</v>
      </c>
      <c r="AA10" s="73">
        <f t="shared" si="1"/>
        <v>0</v>
      </c>
      <c r="AB10" s="73">
        <f t="shared" si="2"/>
        <v>0</v>
      </c>
      <c r="AC10" s="73">
        <f t="shared" si="3"/>
        <v>0</v>
      </c>
      <c r="AD10" s="73">
        <f t="shared" si="4"/>
        <v>0</v>
      </c>
      <c r="AE10" s="73">
        <f t="shared" si="5"/>
        <v>0</v>
      </c>
      <c r="AF10" s="73">
        <f t="shared" si="6"/>
        <v>0</v>
      </c>
      <c r="AG10" s="73">
        <f t="shared" si="7"/>
        <v>63692.200000000004</v>
      </c>
      <c r="AH10" s="73">
        <f t="shared" si="8"/>
        <v>0</v>
      </c>
      <c r="AI10" s="73">
        <f t="shared" si="9"/>
        <v>0</v>
      </c>
      <c r="AJ10" s="73">
        <f t="shared" si="10"/>
        <v>0</v>
      </c>
      <c r="AK10" s="73">
        <f t="shared" si="11"/>
        <v>0</v>
      </c>
      <c r="AL10" s="73">
        <f t="shared" si="12"/>
        <v>0</v>
      </c>
      <c r="AM10" s="73">
        <f t="shared" si="13"/>
        <v>0</v>
      </c>
      <c r="AN10" s="73">
        <f t="shared" si="14"/>
        <v>0</v>
      </c>
      <c r="AO10" s="73">
        <f t="shared" si="15"/>
        <v>0</v>
      </c>
      <c r="AP10" s="73">
        <f t="shared" si="16"/>
        <v>0</v>
      </c>
      <c r="AQ10" s="73">
        <f t="shared" si="19"/>
        <v>0</v>
      </c>
      <c r="AR10" s="73">
        <f t="shared" si="20"/>
        <v>0</v>
      </c>
      <c r="AS10" s="73">
        <f t="shared" si="17"/>
        <v>0</v>
      </c>
      <c r="AT10" s="73">
        <f t="shared" si="21"/>
        <v>63692.200000000004</v>
      </c>
    </row>
    <row r="11" spans="1:46" s="46" customFormat="1" x14ac:dyDescent="0.35">
      <c r="A11" s="71" t="s">
        <v>193</v>
      </c>
      <c r="B11" s="76" t="s">
        <v>194</v>
      </c>
      <c r="C11" s="72">
        <v>1079</v>
      </c>
      <c r="D11" s="72"/>
      <c r="E11" s="72">
        <v>5597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>
        <f t="shared" si="18"/>
        <v>6676</v>
      </c>
      <c r="X11"/>
      <c r="Y11" s="69">
        <v>70.63</v>
      </c>
      <c r="Z11" s="73">
        <f t="shared" si="0"/>
        <v>76209.76999999999</v>
      </c>
      <c r="AA11" s="73">
        <f t="shared" si="1"/>
        <v>0</v>
      </c>
      <c r="AB11" s="73">
        <f t="shared" si="2"/>
        <v>395316.11</v>
      </c>
      <c r="AC11" s="73">
        <f t="shared" si="3"/>
        <v>0</v>
      </c>
      <c r="AD11" s="73">
        <f t="shared" si="4"/>
        <v>0</v>
      </c>
      <c r="AE11" s="73">
        <f t="shared" si="5"/>
        <v>0</v>
      </c>
      <c r="AF11" s="73">
        <f t="shared" si="6"/>
        <v>0</v>
      </c>
      <c r="AG11" s="73">
        <f t="shared" si="7"/>
        <v>0</v>
      </c>
      <c r="AH11" s="73">
        <f t="shared" si="8"/>
        <v>0</v>
      </c>
      <c r="AI11" s="73">
        <f t="shared" si="9"/>
        <v>0</v>
      </c>
      <c r="AJ11" s="73">
        <f t="shared" si="10"/>
        <v>0</v>
      </c>
      <c r="AK11" s="73">
        <f t="shared" si="11"/>
        <v>0</v>
      </c>
      <c r="AL11" s="73">
        <f t="shared" si="12"/>
        <v>0</v>
      </c>
      <c r="AM11" s="73">
        <f t="shared" si="13"/>
        <v>0</v>
      </c>
      <c r="AN11" s="73">
        <f t="shared" si="14"/>
        <v>0</v>
      </c>
      <c r="AO11" s="73">
        <f t="shared" si="15"/>
        <v>0</v>
      </c>
      <c r="AP11" s="73">
        <f t="shared" si="16"/>
        <v>0</v>
      </c>
      <c r="AQ11" s="73">
        <f t="shared" si="19"/>
        <v>0</v>
      </c>
      <c r="AR11" s="73">
        <f t="shared" si="20"/>
        <v>0</v>
      </c>
      <c r="AS11" s="73">
        <f t="shared" si="17"/>
        <v>0</v>
      </c>
      <c r="AT11" s="73">
        <f t="shared" si="21"/>
        <v>471525.88</v>
      </c>
    </row>
    <row r="12" spans="1:46" s="46" customFormat="1" x14ac:dyDescent="0.35">
      <c r="A12" s="71" t="s">
        <v>197</v>
      </c>
      <c r="B12" s="76" t="s">
        <v>198</v>
      </c>
      <c r="C12" s="72"/>
      <c r="D12" s="72"/>
      <c r="E12" s="72">
        <v>3020</v>
      </c>
      <c r="F12" s="72"/>
      <c r="G12" s="72"/>
      <c r="H12" s="72"/>
      <c r="I12" s="72">
        <v>1501</v>
      </c>
      <c r="J12" s="72">
        <v>2892.0973899999999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f t="shared" si="18"/>
        <v>7413.0973899999999</v>
      </c>
      <c r="X12"/>
      <c r="Y12" s="69">
        <v>74.47</v>
      </c>
      <c r="Z12" s="73">
        <f t="shared" si="0"/>
        <v>0</v>
      </c>
      <c r="AA12" s="73">
        <f t="shared" si="1"/>
        <v>0</v>
      </c>
      <c r="AB12" s="73">
        <f t="shared" si="2"/>
        <v>224899.4</v>
      </c>
      <c r="AC12" s="73">
        <f t="shared" si="3"/>
        <v>0</v>
      </c>
      <c r="AD12" s="73">
        <f t="shared" si="4"/>
        <v>0</v>
      </c>
      <c r="AE12" s="73">
        <f t="shared" si="5"/>
        <v>0</v>
      </c>
      <c r="AF12" s="73">
        <f t="shared" si="6"/>
        <v>111779.47</v>
      </c>
      <c r="AG12" s="73">
        <f t="shared" si="7"/>
        <v>215374.49263329999</v>
      </c>
      <c r="AH12" s="73">
        <f t="shared" si="8"/>
        <v>0</v>
      </c>
      <c r="AI12" s="73">
        <f t="shared" si="9"/>
        <v>0</v>
      </c>
      <c r="AJ12" s="73">
        <f t="shared" si="10"/>
        <v>0</v>
      </c>
      <c r="AK12" s="73">
        <f t="shared" si="11"/>
        <v>0</v>
      </c>
      <c r="AL12" s="73">
        <f t="shared" si="12"/>
        <v>0</v>
      </c>
      <c r="AM12" s="73">
        <f t="shared" si="13"/>
        <v>0</v>
      </c>
      <c r="AN12" s="73">
        <f t="shared" si="14"/>
        <v>0</v>
      </c>
      <c r="AO12" s="73">
        <f t="shared" si="15"/>
        <v>0</v>
      </c>
      <c r="AP12" s="73">
        <f t="shared" si="16"/>
        <v>0</v>
      </c>
      <c r="AQ12" s="73">
        <f t="shared" si="19"/>
        <v>0</v>
      </c>
      <c r="AR12" s="73">
        <f t="shared" si="20"/>
        <v>0</v>
      </c>
      <c r="AS12" s="73">
        <f t="shared" si="17"/>
        <v>0</v>
      </c>
      <c r="AT12" s="73">
        <f t="shared" si="21"/>
        <v>552053.36263330001</v>
      </c>
    </row>
    <row r="13" spans="1:46" s="46" customFormat="1" x14ac:dyDescent="0.35">
      <c r="A13" s="71" t="s">
        <v>133</v>
      </c>
      <c r="B13" s="76" t="s">
        <v>134</v>
      </c>
      <c r="C13" s="72">
        <v>3333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f t="shared" si="18"/>
        <v>3333</v>
      </c>
      <c r="X13"/>
      <c r="Y13" s="69">
        <v>170.81</v>
      </c>
      <c r="Z13" s="73">
        <f t="shared" si="0"/>
        <v>569309.73</v>
      </c>
      <c r="AA13" s="73">
        <f t="shared" si="1"/>
        <v>0</v>
      </c>
      <c r="AB13" s="73">
        <f t="shared" si="2"/>
        <v>0</v>
      </c>
      <c r="AC13" s="73">
        <f t="shared" si="3"/>
        <v>0</v>
      </c>
      <c r="AD13" s="73">
        <f t="shared" si="4"/>
        <v>0</v>
      </c>
      <c r="AE13" s="73">
        <f t="shared" si="5"/>
        <v>0</v>
      </c>
      <c r="AF13" s="73">
        <f t="shared" si="6"/>
        <v>0</v>
      </c>
      <c r="AG13" s="73">
        <f t="shared" si="7"/>
        <v>0</v>
      </c>
      <c r="AH13" s="73">
        <f t="shared" si="8"/>
        <v>0</v>
      </c>
      <c r="AI13" s="73">
        <f t="shared" si="9"/>
        <v>0</v>
      </c>
      <c r="AJ13" s="73">
        <f t="shared" si="10"/>
        <v>0</v>
      </c>
      <c r="AK13" s="73">
        <f t="shared" si="11"/>
        <v>0</v>
      </c>
      <c r="AL13" s="73">
        <f t="shared" si="12"/>
        <v>0</v>
      </c>
      <c r="AM13" s="73">
        <f t="shared" si="13"/>
        <v>0</v>
      </c>
      <c r="AN13" s="73">
        <f t="shared" si="14"/>
        <v>0</v>
      </c>
      <c r="AO13" s="73">
        <f t="shared" si="15"/>
        <v>0</v>
      </c>
      <c r="AP13" s="73">
        <f t="shared" si="16"/>
        <v>0</v>
      </c>
      <c r="AQ13" s="73">
        <f t="shared" si="19"/>
        <v>0</v>
      </c>
      <c r="AR13" s="73">
        <f t="shared" si="20"/>
        <v>0</v>
      </c>
      <c r="AS13" s="73">
        <f t="shared" si="17"/>
        <v>0</v>
      </c>
      <c r="AT13" s="73">
        <f t="shared" si="21"/>
        <v>569309.73</v>
      </c>
    </row>
    <row r="14" spans="1:46" s="46" customFormat="1" x14ac:dyDescent="0.35">
      <c r="A14" s="71" t="s">
        <v>205</v>
      </c>
      <c r="B14" s="76" t="s">
        <v>206</v>
      </c>
      <c r="C14" s="72"/>
      <c r="D14" s="72"/>
      <c r="E14" s="72">
        <v>2635.7766680000004</v>
      </c>
      <c r="F14" s="72">
        <v>1047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f t="shared" si="18"/>
        <v>3682.7766680000004</v>
      </c>
      <c r="X14"/>
      <c r="Y14" s="69">
        <v>512.42999999999995</v>
      </c>
      <c r="Z14" s="73">
        <f t="shared" si="0"/>
        <v>0</v>
      </c>
      <c r="AA14" s="73">
        <f t="shared" si="1"/>
        <v>0</v>
      </c>
      <c r="AB14" s="73">
        <f t="shared" si="2"/>
        <v>1350651.0379832401</v>
      </c>
      <c r="AC14" s="73">
        <f t="shared" si="3"/>
        <v>536514.21</v>
      </c>
      <c r="AD14" s="73">
        <f t="shared" si="4"/>
        <v>0</v>
      </c>
      <c r="AE14" s="73">
        <f t="shared" si="5"/>
        <v>0</v>
      </c>
      <c r="AF14" s="73">
        <f t="shared" si="6"/>
        <v>0</v>
      </c>
      <c r="AG14" s="73">
        <f t="shared" si="7"/>
        <v>0</v>
      </c>
      <c r="AH14" s="73">
        <f t="shared" si="8"/>
        <v>0</v>
      </c>
      <c r="AI14" s="73">
        <f t="shared" si="9"/>
        <v>0</v>
      </c>
      <c r="AJ14" s="73">
        <f t="shared" si="10"/>
        <v>0</v>
      </c>
      <c r="AK14" s="73">
        <f t="shared" si="11"/>
        <v>0</v>
      </c>
      <c r="AL14" s="73">
        <f t="shared" si="12"/>
        <v>0</v>
      </c>
      <c r="AM14" s="73">
        <f t="shared" si="13"/>
        <v>0</v>
      </c>
      <c r="AN14" s="73">
        <f t="shared" si="14"/>
        <v>0</v>
      </c>
      <c r="AO14" s="73">
        <f t="shared" si="15"/>
        <v>0</v>
      </c>
      <c r="AP14" s="73">
        <f t="shared" si="16"/>
        <v>0</v>
      </c>
      <c r="AQ14" s="73">
        <f t="shared" si="19"/>
        <v>0</v>
      </c>
      <c r="AR14" s="73">
        <f t="shared" si="20"/>
        <v>0</v>
      </c>
      <c r="AS14" s="73">
        <f t="shared" si="17"/>
        <v>0</v>
      </c>
      <c r="AT14" s="73">
        <f t="shared" si="21"/>
        <v>1887165.2479832401</v>
      </c>
    </row>
    <row r="15" spans="1:46" s="46" customFormat="1" x14ac:dyDescent="0.35">
      <c r="A15" s="71" t="s">
        <v>207</v>
      </c>
      <c r="B15" s="76" t="s">
        <v>208</v>
      </c>
      <c r="C15" s="72">
        <v>1905</v>
      </c>
      <c r="D15" s="72">
        <v>20513.250573000001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>
        <f t="shared" si="18"/>
        <v>22418.250573000001</v>
      </c>
      <c r="X15"/>
      <c r="Y15" s="69">
        <v>256.20999999999998</v>
      </c>
      <c r="Z15" s="73">
        <f t="shared" si="0"/>
        <v>488080.05</v>
      </c>
      <c r="AA15" s="73">
        <f t="shared" si="1"/>
        <v>5255699.9293083297</v>
      </c>
      <c r="AB15" s="73">
        <f t="shared" si="2"/>
        <v>0</v>
      </c>
      <c r="AC15" s="73">
        <f t="shared" si="3"/>
        <v>0</v>
      </c>
      <c r="AD15" s="73">
        <f t="shared" si="4"/>
        <v>0</v>
      </c>
      <c r="AE15" s="73">
        <f t="shared" si="5"/>
        <v>0</v>
      </c>
      <c r="AF15" s="73">
        <f t="shared" si="6"/>
        <v>0</v>
      </c>
      <c r="AG15" s="73">
        <f t="shared" si="7"/>
        <v>0</v>
      </c>
      <c r="AH15" s="73">
        <f t="shared" si="8"/>
        <v>0</v>
      </c>
      <c r="AI15" s="73">
        <f t="shared" si="9"/>
        <v>0</v>
      </c>
      <c r="AJ15" s="73">
        <f t="shared" si="10"/>
        <v>0</v>
      </c>
      <c r="AK15" s="73">
        <f t="shared" si="11"/>
        <v>0</v>
      </c>
      <c r="AL15" s="73">
        <f t="shared" si="12"/>
        <v>0</v>
      </c>
      <c r="AM15" s="73">
        <f t="shared" si="13"/>
        <v>0</v>
      </c>
      <c r="AN15" s="73">
        <f t="shared" si="14"/>
        <v>0</v>
      </c>
      <c r="AO15" s="73">
        <f t="shared" si="15"/>
        <v>0</v>
      </c>
      <c r="AP15" s="73">
        <f t="shared" si="16"/>
        <v>0</v>
      </c>
      <c r="AQ15" s="73">
        <f t="shared" si="19"/>
        <v>0</v>
      </c>
      <c r="AR15" s="73">
        <f t="shared" si="20"/>
        <v>0</v>
      </c>
      <c r="AS15" s="73">
        <f t="shared" si="17"/>
        <v>0</v>
      </c>
      <c r="AT15" s="73">
        <f t="shared" si="21"/>
        <v>5743779.9793083295</v>
      </c>
    </row>
    <row r="16" spans="1:46" ht="21" x14ac:dyDescent="0.5">
      <c r="C16" s="40"/>
      <c r="D16" s="40"/>
      <c r="E16" s="40"/>
      <c r="F16" s="40"/>
      <c r="G16" s="40"/>
      <c r="H16" s="40"/>
      <c r="I16" s="40"/>
      <c r="W16" s="74">
        <f>SUM(W3:W15)</f>
        <v>115595.01830899999</v>
      </c>
      <c r="Y16" s="69"/>
      <c r="AT16" s="78">
        <f>SUM(AT3:AT15)</f>
        <v>19449545.346055612</v>
      </c>
    </row>
    <row r="17" spans="1:46" x14ac:dyDescent="0.3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Y17" s="69"/>
      <c r="AS17" s="40"/>
    </row>
    <row r="18" spans="1:46" x14ac:dyDescent="0.3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Y18" s="69"/>
      <c r="AS18" s="40"/>
    </row>
    <row r="19" spans="1:46" ht="41" customHeight="1" x14ac:dyDescent="0.35">
      <c r="A19" s="331" t="s">
        <v>254</v>
      </c>
      <c r="B19" s="331"/>
      <c r="C19" s="332" t="s">
        <v>223</v>
      </c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Y19" s="46"/>
      <c r="Z19" s="332" t="s">
        <v>224</v>
      </c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</row>
    <row r="20" spans="1:46" x14ac:dyDescent="0.35">
      <c r="A20" s="77" t="s">
        <v>108</v>
      </c>
      <c r="B20" s="75" t="s">
        <v>218</v>
      </c>
      <c r="C20" s="70">
        <v>43983</v>
      </c>
      <c r="D20" s="70">
        <v>44013</v>
      </c>
      <c r="E20" s="70">
        <v>44044</v>
      </c>
      <c r="F20" s="70">
        <v>44075</v>
      </c>
      <c r="G20" s="70">
        <v>44105</v>
      </c>
      <c r="H20" s="70">
        <v>44136</v>
      </c>
      <c r="I20" s="70">
        <v>44166</v>
      </c>
      <c r="J20" s="70">
        <v>44197</v>
      </c>
      <c r="K20" s="70">
        <v>44228</v>
      </c>
      <c r="L20" s="70">
        <v>44256</v>
      </c>
      <c r="M20" s="70">
        <v>44287</v>
      </c>
      <c r="N20" s="70">
        <v>44317</v>
      </c>
      <c r="O20" s="70">
        <v>44348</v>
      </c>
      <c r="P20" s="70">
        <v>44378</v>
      </c>
      <c r="Q20" s="70">
        <v>44409</v>
      </c>
      <c r="R20" s="70">
        <v>44440</v>
      </c>
      <c r="S20" s="70">
        <v>44470</v>
      </c>
      <c r="T20" s="70">
        <v>44501</v>
      </c>
      <c r="U20" s="70">
        <v>44531</v>
      </c>
      <c r="V20" s="267">
        <v>2022</v>
      </c>
      <c r="W20" s="70" t="s">
        <v>228</v>
      </c>
      <c r="Y20" s="69" t="s">
        <v>219</v>
      </c>
      <c r="Z20" s="70">
        <v>43983</v>
      </c>
      <c r="AA20" s="70">
        <v>44013</v>
      </c>
      <c r="AB20" s="70">
        <v>44044</v>
      </c>
      <c r="AC20" s="70">
        <v>44075</v>
      </c>
      <c r="AD20" s="70">
        <v>44105</v>
      </c>
      <c r="AE20" s="70">
        <v>44136</v>
      </c>
      <c r="AF20" s="70">
        <v>44166</v>
      </c>
      <c r="AG20" s="70">
        <v>44197</v>
      </c>
      <c r="AH20" s="70">
        <v>44228</v>
      </c>
      <c r="AI20" s="70">
        <v>44256</v>
      </c>
      <c r="AJ20" s="70">
        <v>44287</v>
      </c>
      <c r="AK20" s="70">
        <v>44317</v>
      </c>
      <c r="AL20" s="70">
        <v>44348</v>
      </c>
      <c r="AM20" s="70">
        <v>44378</v>
      </c>
      <c r="AN20" s="70">
        <v>44409</v>
      </c>
      <c r="AO20" s="70">
        <v>44440</v>
      </c>
      <c r="AP20" s="70">
        <v>44470</v>
      </c>
      <c r="AQ20" s="70">
        <v>44501</v>
      </c>
      <c r="AR20" s="70">
        <v>44531</v>
      </c>
      <c r="AS20" s="267">
        <v>2022</v>
      </c>
      <c r="AT20" s="70" t="s">
        <v>228</v>
      </c>
    </row>
    <row r="21" spans="1:46" x14ac:dyDescent="0.35">
      <c r="A21" s="71" t="s">
        <v>130</v>
      </c>
      <c r="B21" s="76" t="s">
        <v>131</v>
      </c>
      <c r="C21" s="107">
        <v>0</v>
      </c>
      <c r="D21" s="107">
        <v>6770</v>
      </c>
      <c r="E21" s="107">
        <v>0</v>
      </c>
      <c r="F21" s="107">
        <v>12349</v>
      </c>
      <c r="G21" s="107">
        <v>1334</v>
      </c>
      <c r="H21" s="107">
        <v>0</v>
      </c>
      <c r="I21" s="107">
        <v>10535</v>
      </c>
      <c r="J21" s="107">
        <v>0</v>
      </c>
      <c r="K21" s="107">
        <v>0</v>
      </c>
      <c r="L21" s="72">
        <f>VLOOKUP($A21,'Write Off Fertilidade - 9 meses'!$A:$W,'Write Off Fertilidade - 9 meses'!L$2,0)</f>
        <v>0</v>
      </c>
      <c r="M21" s="72">
        <f>VLOOKUP($A21,'Write Off Fertilidade - 9 meses'!$A:$W,'Write Off Fertilidade - 9 meses'!M$2,0)</f>
        <v>51</v>
      </c>
      <c r="N21" s="72">
        <f>VLOOKUP($A21,'Write Off Fertilidade - 9 meses'!$A:$AE,'Write Off Fertilidade - 9 meses'!N$2,0)</f>
        <v>0</v>
      </c>
      <c r="O21" s="72">
        <f>VLOOKUP($A21,'Write Off Fertilidade - 9 meses'!$A:$AE,'Write Off Fertilidade - 9 meses'!O$2,0)</f>
        <v>0</v>
      </c>
      <c r="P21" s="72">
        <f>VLOOKUP($A21,'Write Off Fertilidade - 9 meses'!$A:$AE,'Write Off Fertilidade - 9 meses'!P$2,0)</f>
        <v>0</v>
      </c>
      <c r="Q21" s="72">
        <f>VLOOKUP($A21,'Write Off Fertilidade - 9 meses'!$A:$AE,'Write Off Fertilidade - 9 meses'!Q$2,0)</f>
        <v>0</v>
      </c>
      <c r="R21" s="72">
        <f>VLOOKUP($A21,'Write Off Fertilidade - 9 meses'!$A:$AE,'Write Off Fertilidade - 9 meses'!R$2,0)</f>
        <v>0</v>
      </c>
      <c r="S21" s="72">
        <f>VLOOKUP($A21,'Write Off Fertilidade - 9 meses'!$A:$AE,'Write Off Fertilidade - 9 meses'!S$2,0)</f>
        <v>0</v>
      </c>
      <c r="T21" s="72">
        <f>VLOOKUP($A21,'Write Off Fertilidade - 9 meses'!$A:$AE,'Write Off Fertilidade - 9 meses'!T$2,0)</f>
        <v>0</v>
      </c>
      <c r="U21" s="72">
        <f>VLOOKUP($A21,'Write Off Fertilidade - 9 meses'!$A:$AE,'Write Off Fertilidade - 9 meses'!U$2,0)</f>
        <v>0</v>
      </c>
      <c r="V21" s="72">
        <f>VLOOKUP($A21,'Write Off Fertilidade - 9 meses'!$A:$AE,'Write Off Fertilidade - 9 meses'!V$2,0)</f>
        <v>0</v>
      </c>
      <c r="W21" s="72">
        <f>SUM(C21:V21)</f>
        <v>31039</v>
      </c>
      <c r="Y21" s="69">
        <v>68.150000000000006</v>
      </c>
      <c r="Z21" s="109">
        <f t="shared" ref="Z21:Z33" si="22">$Y21*C21</f>
        <v>0</v>
      </c>
      <c r="AA21" s="109">
        <f t="shared" ref="AA21:AA33" si="23">$Y21*D21</f>
        <v>461375.50000000006</v>
      </c>
      <c r="AB21" s="109">
        <f t="shared" ref="AB21:AB33" si="24">$Y21*E21</f>
        <v>0</v>
      </c>
      <c r="AC21" s="109">
        <f t="shared" ref="AC21:AC33" si="25">$Y21*F21</f>
        <v>841584.35000000009</v>
      </c>
      <c r="AD21" s="109">
        <f t="shared" ref="AD21:AD33" si="26">$Y21*G21</f>
        <v>90912.1</v>
      </c>
      <c r="AE21" s="109">
        <f t="shared" ref="AE21:AE33" si="27">$Y21*H21</f>
        <v>0</v>
      </c>
      <c r="AF21" s="109">
        <f t="shared" ref="AF21:AF33" si="28">$Y21*I21</f>
        <v>717960.25000000012</v>
      </c>
      <c r="AG21" s="109">
        <f t="shared" ref="AG21:AG33" si="29">$Y21*J21</f>
        <v>0</v>
      </c>
      <c r="AH21" s="109">
        <f t="shared" ref="AH21:AH33" si="30">$Y21*K21</f>
        <v>0</v>
      </c>
      <c r="AI21" s="73">
        <f t="shared" ref="AI21:AI33" si="31">$Y21*L21</f>
        <v>0</v>
      </c>
      <c r="AJ21" s="73">
        <f t="shared" ref="AJ21:AJ33" si="32">$Y21*M21</f>
        <v>3475.65</v>
      </c>
      <c r="AK21" s="73">
        <f t="shared" ref="AK21:AK33" si="33">$Y21*N21</f>
        <v>0</v>
      </c>
      <c r="AL21" s="73">
        <f t="shared" ref="AL21:AL33" si="34">$Y21*O21</f>
        <v>0</v>
      </c>
      <c r="AM21" s="73">
        <f t="shared" ref="AM21:AM33" si="35">$Y21*P21</f>
        <v>0</v>
      </c>
      <c r="AN21" s="73">
        <f t="shared" ref="AN21:AN33" si="36">$Y21*Q21</f>
        <v>0</v>
      </c>
      <c r="AO21" s="73">
        <f t="shared" ref="AO21:AO33" si="37">$Y21*R21</f>
        <v>0</v>
      </c>
      <c r="AP21" s="73">
        <f t="shared" ref="AP21:AP33" si="38">$Y21*S21</f>
        <v>0</v>
      </c>
      <c r="AQ21" s="73">
        <f>$Y21*T21</f>
        <v>0</v>
      </c>
      <c r="AR21" s="73">
        <f t="shared" ref="AR21:AS33" si="39">$Y21*U21</f>
        <v>0</v>
      </c>
      <c r="AS21" s="73">
        <f t="shared" si="39"/>
        <v>0</v>
      </c>
      <c r="AT21" s="73">
        <f>SUM(Z21:AS21)</f>
        <v>2115307.85</v>
      </c>
    </row>
    <row r="22" spans="1:46" x14ac:dyDescent="0.35">
      <c r="A22" s="71" t="s">
        <v>154</v>
      </c>
      <c r="B22" s="76" t="s">
        <v>155</v>
      </c>
      <c r="C22" s="107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72">
        <f>VLOOKUP($A22,'Write Off Fertilidade - 9 meses'!$A:$W,'Write Off Fertilidade - 9 meses'!L$2,0)</f>
        <v>0</v>
      </c>
      <c r="M22" s="72">
        <f>VLOOKUP($A22,'Write Off Fertilidade - 9 meses'!$A:$W,'Write Off Fertilidade - 9 meses'!M$2,0)</f>
        <v>0</v>
      </c>
      <c r="N22" s="72">
        <f>VLOOKUP($A22,'Write Off Fertilidade - 9 meses'!$A:$AE,'Write Off Fertilidade - 9 meses'!N$2,0)</f>
        <v>0</v>
      </c>
      <c r="O22" s="72">
        <f>VLOOKUP($A22,'Write Off Fertilidade - 9 meses'!$A:$AE,'Write Off Fertilidade - 9 meses'!O$2,0)</f>
        <v>0</v>
      </c>
      <c r="P22" s="72">
        <f>VLOOKUP($A22,'Write Off Fertilidade - 9 meses'!$A:$AE,'Write Off Fertilidade - 9 meses'!P$2,0)</f>
        <v>0</v>
      </c>
      <c r="Q22" s="72">
        <f>VLOOKUP($A22,'Write Off Fertilidade - 9 meses'!$A:$AE,'Write Off Fertilidade - 9 meses'!Q$2,0)</f>
        <v>0</v>
      </c>
      <c r="R22" s="72">
        <f>VLOOKUP($A22,'Write Off Fertilidade - 9 meses'!$A:$AE,'Write Off Fertilidade - 9 meses'!R$2,0)</f>
        <v>0</v>
      </c>
      <c r="S22" s="72">
        <f>VLOOKUP($A22,'Write Off Fertilidade - 9 meses'!$A:$AE,'Write Off Fertilidade - 9 meses'!S$2,0)</f>
        <v>0</v>
      </c>
      <c r="T22" s="72">
        <f>VLOOKUP($A22,'Write Off Fertilidade - 9 meses'!$A:$AE,'Write Off Fertilidade - 9 meses'!T$2,0)</f>
        <v>0</v>
      </c>
      <c r="U22" s="72">
        <f>VLOOKUP($A22,'Write Off Fertilidade - 9 meses'!$A:$AE,'Write Off Fertilidade - 9 meses'!U$2,0)</f>
        <v>0</v>
      </c>
      <c r="V22" s="72">
        <f>VLOOKUP($A22,'Write Off Fertilidade - 9 meses'!$A:$AE,'Write Off Fertilidade - 9 meses'!V$2,0)</f>
        <v>0</v>
      </c>
      <c r="W22" s="72">
        <f t="shared" ref="W22:W33" si="40">SUM(C22:V22)</f>
        <v>0</v>
      </c>
      <c r="Y22" s="69">
        <v>78.05</v>
      </c>
      <c r="Z22" s="109">
        <f t="shared" si="22"/>
        <v>0</v>
      </c>
      <c r="AA22" s="109">
        <f t="shared" si="23"/>
        <v>0</v>
      </c>
      <c r="AB22" s="109">
        <f t="shared" si="24"/>
        <v>0</v>
      </c>
      <c r="AC22" s="109">
        <f t="shared" si="25"/>
        <v>0</v>
      </c>
      <c r="AD22" s="109">
        <f t="shared" si="26"/>
        <v>0</v>
      </c>
      <c r="AE22" s="109">
        <f t="shared" si="27"/>
        <v>0</v>
      </c>
      <c r="AF22" s="109">
        <f t="shared" si="28"/>
        <v>0</v>
      </c>
      <c r="AG22" s="109">
        <f t="shared" si="29"/>
        <v>0</v>
      </c>
      <c r="AH22" s="109">
        <f t="shared" si="30"/>
        <v>0</v>
      </c>
      <c r="AI22" s="73">
        <f t="shared" si="31"/>
        <v>0</v>
      </c>
      <c r="AJ22" s="73">
        <f t="shared" si="32"/>
        <v>0</v>
      </c>
      <c r="AK22" s="73">
        <f t="shared" si="33"/>
        <v>0</v>
      </c>
      <c r="AL22" s="73">
        <f t="shared" si="34"/>
        <v>0</v>
      </c>
      <c r="AM22" s="73">
        <f t="shared" si="35"/>
        <v>0</v>
      </c>
      <c r="AN22" s="73">
        <f t="shared" si="36"/>
        <v>0</v>
      </c>
      <c r="AO22" s="73">
        <f t="shared" si="37"/>
        <v>0</v>
      </c>
      <c r="AP22" s="73">
        <f t="shared" si="38"/>
        <v>0</v>
      </c>
      <c r="AQ22" s="73">
        <f t="shared" ref="AQ22:AQ33" si="41">$Y22*T22</f>
        <v>0</v>
      </c>
      <c r="AR22" s="73">
        <f t="shared" ref="AR22:AR33" si="42">$Y22*U22</f>
        <v>0</v>
      </c>
      <c r="AS22" s="73">
        <f t="shared" si="39"/>
        <v>0</v>
      </c>
      <c r="AT22" s="73">
        <f t="shared" ref="AT22:AT33" si="43">SUM(Z22:AS22)</f>
        <v>0</v>
      </c>
    </row>
    <row r="23" spans="1:46" x14ac:dyDescent="0.35">
      <c r="A23" s="71" t="s">
        <v>158</v>
      </c>
      <c r="B23" s="76" t="s">
        <v>159</v>
      </c>
      <c r="C23" s="107">
        <v>0</v>
      </c>
      <c r="D23" s="107">
        <v>0</v>
      </c>
      <c r="E23" s="107">
        <v>0</v>
      </c>
      <c r="F23" s="107">
        <v>0</v>
      </c>
      <c r="G23" s="107">
        <v>0</v>
      </c>
      <c r="H23" s="107">
        <v>0</v>
      </c>
      <c r="I23" s="107">
        <v>0</v>
      </c>
      <c r="J23" s="107">
        <v>0</v>
      </c>
      <c r="K23" s="107">
        <v>0</v>
      </c>
      <c r="L23" s="72">
        <f>VLOOKUP($A23,'Write Off Fertilidade - 9 meses'!$A:$W,'Write Off Fertilidade - 9 meses'!L$2,0)</f>
        <v>0</v>
      </c>
      <c r="M23" s="72">
        <f>VLOOKUP($A23,'Write Off Fertilidade - 9 meses'!$A:$W,'Write Off Fertilidade - 9 meses'!M$2,0)</f>
        <v>0</v>
      </c>
      <c r="N23" s="72">
        <f>VLOOKUP($A23,'Write Off Fertilidade - 9 meses'!$A:$AE,'Write Off Fertilidade - 9 meses'!N$2,0)</f>
        <v>0</v>
      </c>
      <c r="O23" s="72">
        <f>VLOOKUP($A23,'Write Off Fertilidade - 9 meses'!$A:$AE,'Write Off Fertilidade - 9 meses'!O$2,0)</f>
        <v>0</v>
      </c>
      <c r="P23" s="72">
        <f>VLOOKUP($A23,'Write Off Fertilidade - 9 meses'!$A:$AE,'Write Off Fertilidade - 9 meses'!P$2,0)</f>
        <v>0</v>
      </c>
      <c r="Q23" s="72">
        <f>VLOOKUP($A23,'Write Off Fertilidade - 9 meses'!$A:$AE,'Write Off Fertilidade - 9 meses'!Q$2,0)</f>
        <v>0</v>
      </c>
      <c r="R23" s="72">
        <f>VLOOKUP($A23,'Write Off Fertilidade - 9 meses'!$A:$AE,'Write Off Fertilidade - 9 meses'!R$2,0)</f>
        <v>0</v>
      </c>
      <c r="S23" s="72">
        <f>VLOOKUP($A23,'Write Off Fertilidade - 9 meses'!$A:$AE,'Write Off Fertilidade - 9 meses'!S$2,0)</f>
        <v>0</v>
      </c>
      <c r="T23" s="72">
        <f>VLOOKUP($A23,'Write Off Fertilidade - 9 meses'!$A:$AE,'Write Off Fertilidade - 9 meses'!T$2,0)</f>
        <v>0</v>
      </c>
      <c r="U23" s="72">
        <f>VLOOKUP($A23,'Write Off Fertilidade - 9 meses'!$A:$AE,'Write Off Fertilidade - 9 meses'!U$2,0)</f>
        <v>0</v>
      </c>
      <c r="V23" s="72">
        <f>VLOOKUP($A23,'Write Off Fertilidade - 9 meses'!$A:$AE,'Write Off Fertilidade - 9 meses'!V$2,0)</f>
        <v>0</v>
      </c>
      <c r="W23" s="72">
        <f t="shared" si="40"/>
        <v>0</v>
      </c>
      <c r="Y23" s="69">
        <v>138.86000000000001</v>
      </c>
      <c r="Z23" s="109">
        <f t="shared" si="22"/>
        <v>0</v>
      </c>
      <c r="AA23" s="109">
        <f t="shared" si="23"/>
        <v>0</v>
      </c>
      <c r="AB23" s="109">
        <f t="shared" si="24"/>
        <v>0</v>
      </c>
      <c r="AC23" s="109">
        <f t="shared" si="25"/>
        <v>0</v>
      </c>
      <c r="AD23" s="109">
        <f t="shared" si="26"/>
        <v>0</v>
      </c>
      <c r="AE23" s="109">
        <f t="shared" si="27"/>
        <v>0</v>
      </c>
      <c r="AF23" s="109">
        <f t="shared" si="28"/>
        <v>0</v>
      </c>
      <c r="AG23" s="109">
        <f t="shared" si="29"/>
        <v>0</v>
      </c>
      <c r="AH23" s="109">
        <f t="shared" si="30"/>
        <v>0</v>
      </c>
      <c r="AI23" s="73">
        <f t="shared" si="31"/>
        <v>0</v>
      </c>
      <c r="AJ23" s="73">
        <f t="shared" si="32"/>
        <v>0</v>
      </c>
      <c r="AK23" s="73">
        <f t="shared" si="33"/>
        <v>0</v>
      </c>
      <c r="AL23" s="73">
        <f t="shared" si="34"/>
        <v>0</v>
      </c>
      <c r="AM23" s="73">
        <f t="shared" si="35"/>
        <v>0</v>
      </c>
      <c r="AN23" s="73">
        <f t="shared" si="36"/>
        <v>0</v>
      </c>
      <c r="AO23" s="73">
        <f t="shared" si="37"/>
        <v>0</v>
      </c>
      <c r="AP23" s="73">
        <f t="shared" si="38"/>
        <v>0</v>
      </c>
      <c r="AQ23" s="73">
        <f t="shared" si="41"/>
        <v>0</v>
      </c>
      <c r="AR23" s="73">
        <f t="shared" si="42"/>
        <v>0</v>
      </c>
      <c r="AS23" s="73">
        <f t="shared" si="39"/>
        <v>0</v>
      </c>
      <c r="AT23" s="73">
        <f t="shared" si="43"/>
        <v>0</v>
      </c>
    </row>
    <row r="24" spans="1:46" x14ac:dyDescent="0.35">
      <c r="A24" s="71" t="s">
        <v>163</v>
      </c>
      <c r="B24" s="76" t="s">
        <v>164</v>
      </c>
      <c r="C24" s="107">
        <v>0</v>
      </c>
      <c r="D24" s="107">
        <v>4516</v>
      </c>
      <c r="E24" s="107">
        <v>0</v>
      </c>
      <c r="F24" s="107">
        <v>134</v>
      </c>
      <c r="G24" s="107">
        <v>0</v>
      </c>
      <c r="H24" s="107">
        <v>0</v>
      </c>
      <c r="I24" s="107">
        <v>0</v>
      </c>
      <c r="J24" s="107">
        <v>0</v>
      </c>
      <c r="K24" s="107">
        <v>0</v>
      </c>
      <c r="L24" s="72">
        <f>VLOOKUP($A24,'Write Off Fertilidade - 9 meses'!$A:$W,'Write Off Fertilidade - 9 meses'!L$2,0)</f>
        <v>0</v>
      </c>
      <c r="M24" s="72">
        <f>VLOOKUP($A24,'Write Off Fertilidade - 9 meses'!$A:$W,'Write Off Fertilidade - 9 meses'!M$2,0)</f>
        <v>10</v>
      </c>
      <c r="N24" s="72">
        <f>VLOOKUP($A24,'Write Off Fertilidade - 9 meses'!$A:$AE,'Write Off Fertilidade - 9 meses'!N$2,0)</f>
        <v>0</v>
      </c>
      <c r="O24" s="72">
        <f>VLOOKUP($A24,'Write Off Fertilidade - 9 meses'!$A:$AE,'Write Off Fertilidade - 9 meses'!O$2,0)</f>
        <v>0</v>
      </c>
      <c r="P24" s="72">
        <f>VLOOKUP($A24,'Write Off Fertilidade - 9 meses'!$A:$AE,'Write Off Fertilidade - 9 meses'!P$2,0)</f>
        <v>0</v>
      </c>
      <c r="Q24" s="72">
        <f>VLOOKUP($A24,'Write Off Fertilidade - 9 meses'!$A:$AE,'Write Off Fertilidade - 9 meses'!Q$2,0)</f>
        <v>0</v>
      </c>
      <c r="R24" s="72">
        <f>VLOOKUP($A24,'Write Off Fertilidade - 9 meses'!$A:$AE,'Write Off Fertilidade - 9 meses'!R$2,0)</f>
        <v>0</v>
      </c>
      <c r="S24" s="72">
        <f>VLOOKUP($A24,'Write Off Fertilidade - 9 meses'!$A:$AE,'Write Off Fertilidade - 9 meses'!S$2,0)</f>
        <v>0</v>
      </c>
      <c r="T24" s="72">
        <f>VLOOKUP($A24,'Write Off Fertilidade - 9 meses'!$A:$AE,'Write Off Fertilidade - 9 meses'!T$2,0)</f>
        <v>0</v>
      </c>
      <c r="U24" s="72">
        <f>VLOOKUP($A24,'Write Off Fertilidade - 9 meses'!$A:$AE,'Write Off Fertilidade - 9 meses'!U$2,0)</f>
        <v>0</v>
      </c>
      <c r="V24" s="72">
        <f>VLOOKUP($A24,'Write Off Fertilidade - 9 meses'!$A:$AE,'Write Off Fertilidade - 9 meses'!V$2,0)</f>
        <v>0</v>
      </c>
      <c r="W24" s="72">
        <f t="shared" si="40"/>
        <v>4660</v>
      </c>
      <c r="Y24" s="69">
        <v>51.43</v>
      </c>
      <c r="Z24" s="109">
        <f t="shared" si="22"/>
        <v>0</v>
      </c>
      <c r="AA24" s="109">
        <f t="shared" si="23"/>
        <v>232257.88</v>
      </c>
      <c r="AB24" s="109">
        <f t="shared" si="24"/>
        <v>0</v>
      </c>
      <c r="AC24" s="109">
        <f t="shared" si="25"/>
        <v>6891.62</v>
      </c>
      <c r="AD24" s="109">
        <f t="shared" si="26"/>
        <v>0</v>
      </c>
      <c r="AE24" s="109">
        <f t="shared" si="27"/>
        <v>0</v>
      </c>
      <c r="AF24" s="109">
        <f t="shared" si="28"/>
        <v>0</v>
      </c>
      <c r="AG24" s="109">
        <f t="shared" si="29"/>
        <v>0</v>
      </c>
      <c r="AH24" s="109">
        <f t="shared" si="30"/>
        <v>0</v>
      </c>
      <c r="AI24" s="73">
        <f t="shared" si="31"/>
        <v>0</v>
      </c>
      <c r="AJ24" s="73">
        <f t="shared" si="32"/>
        <v>514.29999999999995</v>
      </c>
      <c r="AK24" s="73">
        <f t="shared" si="33"/>
        <v>0</v>
      </c>
      <c r="AL24" s="73">
        <f t="shared" si="34"/>
        <v>0</v>
      </c>
      <c r="AM24" s="73">
        <f t="shared" si="35"/>
        <v>0</v>
      </c>
      <c r="AN24" s="73">
        <f t="shared" si="36"/>
        <v>0</v>
      </c>
      <c r="AO24" s="73">
        <f t="shared" si="37"/>
        <v>0</v>
      </c>
      <c r="AP24" s="73">
        <f t="shared" si="38"/>
        <v>0</v>
      </c>
      <c r="AQ24" s="73">
        <f t="shared" si="41"/>
        <v>0</v>
      </c>
      <c r="AR24" s="73">
        <f t="shared" si="42"/>
        <v>0</v>
      </c>
      <c r="AS24" s="73">
        <f t="shared" si="39"/>
        <v>0</v>
      </c>
      <c r="AT24" s="73">
        <f t="shared" si="43"/>
        <v>239663.8</v>
      </c>
    </row>
    <row r="25" spans="1:46" x14ac:dyDescent="0.35">
      <c r="A25" s="71" t="s">
        <v>169</v>
      </c>
      <c r="B25" s="76" t="s">
        <v>170</v>
      </c>
      <c r="C25" s="107">
        <v>0</v>
      </c>
      <c r="D25" s="107">
        <v>3523</v>
      </c>
      <c r="E25" s="107">
        <v>0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7376</v>
      </c>
      <c r="L25" s="72">
        <f>VLOOKUP($A25,'Write Off Fertilidade - 9 meses'!$A:$W,'Write Off Fertilidade - 9 meses'!L$2,0)</f>
        <v>0</v>
      </c>
      <c r="M25" s="72">
        <f>VLOOKUP($A25,'Write Off Fertilidade - 9 meses'!$A:$W,'Write Off Fertilidade - 9 meses'!M$2,0)</f>
        <v>20</v>
      </c>
      <c r="N25" s="72">
        <f>VLOOKUP($A25,'Write Off Fertilidade - 9 meses'!$A:$AE,'Write Off Fertilidade - 9 meses'!N$2,0)</f>
        <v>692</v>
      </c>
      <c r="O25" s="72">
        <f>VLOOKUP($A25,'Write Off Fertilidade - 9 meses'!$A:$AE,'Write Off Fertilidade - 9 meses'!O$2,0)</f>
        <v>0</v>
      </c>
      <c r="P25" s="72">
        <f>VLOOKUP($A25,'Write Off Fertilidade - 9 meses'!$A:$AE,'Write Off Fertilidade - 9 meses'!P$2,0)</f>
        <v>0</v>
      </c>
      <c r="Q25" s="72">
        <f>VLOOKUP($A25,'Write Off Fertilidade - 9 meses'!$A:$AE,'Write Off Fertilidade - 9 meses'!Q$2,0)</f>
        <v>0</v>
      </c>
      <c r="R25" s="72">
        <f>VLOOKUP($A25,'Write Off Fertilidade - 9 meses'!$A:$AE,'Write Off Fertilidade - 9 meses'!R$2,0)</f>
        <v>0</v>
      </c>
      <c r="S25" s="72">
        <f>VLOOKUP($A25,'Write Off Fertilidade - 9 meses'!$A:$AE,'Write Off Fertilidade - 9 meses'!S$2,0)</f>
        <v>0</v>
      </c>
      <c r="T25" s="72">
        <f>VLOOKUP($A25,'Write Off Fertilidade - 9 meses'!$A:$AE,'Write Off Fertilidade - 9 meses'!T$2,0)</f>
        <v>0</v>
      </c>
      <c r="U25" s="72">
        <f>VLOOKUP($A25,'Write Off Fertilidade - 9 meses'!$A:$AE,'Write Off Fertilidade - 9 meses'!U$2,0)</f>
        <v>0</v>
      </c>
      <c r="V25" s="72">
        <f>VLOOKUP($A25,'Write Off Fertilidade - 9 meses'!$A:$AE,'Write Off Fertilidade - 9 meses'!V$2,0)</f>
        <v>0</v>
      </c>
      <c r="W25" s="72">
        <f t="shared" si="40"/>
        <v>11611</v>
      </c>
      <c r="Y25" s="69">
        <v>204.53</v>
      </c>
      <c r="Z25" s="109">
        <f t="shared" si="22"/>
        <v>0</v>
      </c>
      <c r="AA25" s="109">
        <f t="shared" si="23"/>
        <v>720559.19000000006</v>
      </c>
      <c r="AB25" s="109">
        <f t="shared" si="24"/>
        <v>0</v>
      </c>
      <c r="AC25" s="109">
        <f t="shared" si="25"/>
        <v>0</v>
      </c>
      <c r="AD25" s="109">
        <f t="shared" si="26"/>
        <v>0</v>
      </c>
      <c r="AE25" s="109">
        <f t="shared" si="27"/>
        <v>0</v>
      </c>
      <c r="AF25" s="109">
        <f t="shared" si="28"/>
        <v>0</v>
      </c>
      <c r="AG25" s="109">
        <f t="shared" si="29"/>
        <v>0</v>
      </c>
      <c r="AH25" s="109">
        <f t="shared" si="30"/>
        <v>1508613.28</v>
      </c>
      <c r="AI25" s="73">
        <f t="shared" si="31"/>
        <v>0</v>
      </c>
      <c r="AJ25" s="73">
        <f t="shared" si="32"/>
        <v>4090.6</v>
      </c>
      <c r="AK25" s="73">
        <f t="shared" si="33"/>
        <v>141534.76</v>
      </c>
      <c r="AL25" s="73">
        <f t="shared" si="34"/>
        <v>0</v>
      </c>
      <c r="AM25" s="73">
        <f t="shared" si="35"/>
        <v>0</v>
      </c>
      <c r="AN25" s="73">
        <f t="shared" si="36"/>
        <v>0</v>
      </c>
      <c r="AO25" s="73">
        <f t="shared" si="37"/>
        <v>0</v>
      </c>
      <c r="AP25" s="73">
        <f t="shared" si="38"/>
        <v>0</v>
      </c>
      <c r="AQ25" s="73">
        <f t="shared" si="41"/>
        <v>0</v>
      </c>
      <c r="AR25" s="73">
        <f t="shared" si="42"/>
        <v>0</v>
      </c>
      <c r="AS25" s="73">
        <f t="shared" si="39"/>
        <v>0</v>
      </c>
      <c r="AT25" s="73">
        <f t="shared" si="43"/>
        <v>2374797.83</v>
      </c>
    </row>
    <row r="26" spans="1:46" x14ac:dyDescent="0.35">
      <c r="A26" s="71" t="s">
        <v>127</v>
      </c>
      <c r="B26" s="76" t="s">
        <v>128</v>
      </c>
      <c r="C26" s="107">
        <v>0</v>
      </c>
      <c r="D26" s="107">
        <v>181</v>
      </c>
      <c r="E26" s="107">
        <v>0</v>
      </c>
      <c r="F26" s="107">
        <v>603</v>
      </c>
      <c r="G26" s="107">
        <v>0</v>
      </c>
      <c r="H26" s="107">
        <v>0</v>
      </c>
      <c r="I26" s="107">
        <v>0</v>
      </c>
      <c r="J26" s="107">
        <v>0</v>
      </c>
      <c r="K26" s="107">
        <v>276</v>
      </c>
      <c r="L26" s="72">
        <f>VLOOKUP($A26,'Write Off Fertilidade - 9 meses'!$A:$W,'Write Off Fertilidade - 9 meses'!L$2,0)</f>
        <v>0</v>
      </c>
      <c r="M26" s="72">
        <f>VLOOKUP($A26,'Write Off Fertilidade - 9 meses'!$A:$W,'Write Off Fertilidade - 9 meses'!M$2,0)</f>
        <v>5</v>
      </c>
      <c r="N26" s="72">
        <f>VLOOKUP($A26,'Write Off Fertilidade - 9 meses'!$A:$AE,'Write Off Fertilidade - 9 meses'!N$2,0)</f>
        <v>0</v>
      </c>
      <c r="O26" s="72">
        <f>VLOOKUP($A26,'Write Off Fertilidade - 9 meses'!$A:$AE,'Write Off Fertilidade - 9 meses'!O$2,0)</f>
        <v>0</v>
      </c>
      <c r="P26" s="72">
        <f>VLOOKUP($A26,'Write Off Fertilidade - 9 meses'!$A:$AE,'Write Off Fertilidade - 9 meses'!P$2,0)</f>
        <v>0</v>
      </c>
      <c r="Q26" s="72">
        <f>VLOOKUP($A26,'Write Off Fertilidade - 9 meses'!$A:$AE,'Write Off Fertilidade - 9 meses'!Q$2,0)</f>
        <v>0</v>
      </c>
      <c r="R26" s="72">
        <f>VLOOKUP($A26,'Write Off Fertilidade - 9 meses'!$A:$AE,'Write Off Fertilidade - 9 meses'!R$2,0)</f>
        <v>0</v>
      </c>
      <c r="S26" s="72">
        <f>VLOOKUP($A26,'Write Off Fertilidade - 9 meses'!$A:$AE,'Write Off Fertilidade - 9 meses'!S$2,0)</f>
        <v>0</v>
      </c>
      <c r="T26" s="72">
        <f>VLOOKUP($A26,'Write Off Fertilidade - 9 meses'!$A:$AE,'Write Off Fertilidade - 9 meses'!T$2,0)</f>
        <v>0</v>
      </c>
      <c r="U26" s="72">
        <f>VLOOKUP($A26,'Write Off Fertilidade - 9 meses'!$A:$AE,'Write Off Fertilidade - 9 meses'!U$2,0)</f>
        <v>0</v>
      </c>
      <c r="V26" s="72">
        <f>VLOOKUP($A26,'Write Off Fertilidade - 9 meses'!$A:$AE,'Write Off Fertilidade - 9 meses'!V$2,0)</f>
        <v>0</v>
      </c>
      <c r="W26" s="72">
        <f t="shared" si="40"/>
        <v>1065</v>
      </c>
      <c r="Y26" s="69">
        <v>651.83000000000004</v>
      </c>
      <c r="Z26" s="109">
        <f t="shared" si="22"/>
        <v>0</v>
      </c>
      <c r="AA26" s="109">
        <f t="shared" si="23"/>
        <v>117981.23000000001</v>
      </c>
      <c r="AB26" s="109">
        <f t="shared" si="24"/>
        <v>0</v>
      </c>
      <c r="AC26" s="109">
        <f t="shared" si="25"/>
        <v>393053.49000000005</v>
      </c>
      <c r="AD26" s="109">
        <f t="shared" si="26"/>
        <v>0</v>
      </c>
      <c r="AE26" s="109">
        <f t="shared" si="27"/>
        <v>0</v>
      </c>
      <c r="AF26" s="109">
        <f t="shared" si="28"/>
        <v>0</v>
      </c>
      <c r="AG26" s="109">
        <f t="shared" si="29"/>
        <v>0</v>
      </c>
      <c r="AH26" s="109">
        <f t="shared" si="30"/>
        <v>179905.08000000002</v>
      </c>
      <c r="AI26" s="73">
        <f t="shared" si="31"/>
        <v>0</v>
      </c>
      <c r="AJ26" s="73">
        <f t="shared" si="32"/>
        <v>3259.15</v>
      </c>
      <c r="AK26" s="73">
        <f t="shared" si="33"/>
        <v>0</v>
      </c>
      <c r="AL26" s="73">
        <f t="shared" si="34"/>
        <v>0</v>
      </c>
      <c r="AM26" s="73">
        <f t="shared" si="35"/>
        <v>0</v>
      </c>
      <c r="AN26" s="73">
        <f t="shared" si="36"/>
        <v>0</v>
      </c>
      <c r="AO26" s="73">
        <f t="shared" si="37"/>
        <v>0</v>
      </c>
      <c r="AP26" s="73">
        <f t="shared" si="38"/>
        <v>0</v>
      </c>
      <c r="AQ26" s="73">
        <f t="shared" si="41"/>
        <v>0</v>
      </c>
      <c r="AR26" s="73">
        <f t="shared" si="42"/>
        <v>0</v>
      </c>
      <c r="AS26" s="73">
        <f t="shared" si="39"/>
        <v>0</v>
      </c>
      <c r="AT26" s="73">
        <f t="shared" si="43"/>
        <v>694198.95000000007</v>
      </c>
    </row>
    <row r="27" spans="1:46" x14ac:dyDescent="0.35">
      <c r="A27" s="71" t="s">
        <v>182</v>
      </c>
      <c r="B27" s="76" t="s">
        <v>183</v>
      </c>
      <c r="C27" s="107">
        <v>0</v>
      </c>
      <c r="D27" s="107">
        <v>5209</v>
      </c>
      <c r="E27" s="107">
        <v>0</v>
      </c>
      <c r="F27" s="107">
        <v>0</v>
      </c>
      <c r="G27" s="107">
        <v>0</v>
      </c>
      <c r="H27" s="107">
        <v>1843</v>
      </c>
      <c r="I27" s="107">
        <v>0</v>
      </c>
      <c r="J27" s="107">
        <v>0</v>
      </c>
      <c r="K27" s="107">
        <v>0</v>
      </c>
      <c r="L27" s="72">
        <f>VLOOKUP($A27,'Write Off Fertilidade - 9 meses'!$A:$W,'Write Off Fertilidade - 9 meses'!L$2,0)</f>
        <v>0</v>
      </c>
      <c r="M27" s="72">
        <f>VLOOKUP($A27,'Write Off Fertilidade - 9 meses'!$A:$W,'Write Off Fertilidade - 9 meses'!M$2,0)</f>
        <v>1886</v>
      </c>
      <c r="N27" s="72">
        <f>VLOOKUP($A27,'Write Off Fertilidade - 9 meses'!$A:$AE,'Write Off Fertilidade - 9 meses'!N$2,0)</f>
        <v>0</v>
      </c>
      <c r="O27" s="72">
        <f>VLOOKUP($A27,'Write Off Fertilidade - 9 meses'!$A:$AE,'Write Off Fertilidade - 9 meses'!O$2,0)</f>
        <v>0</v>
      </c>
      <c r="P27" s="72">
        <f>VLOOKUP($A27,'Write Off Fertilidade - 9 meses'!$A:$AE,'Write Off Fertilidade - 9 meses'!P$2,0)</f>
        <v>0</v>
      </c>
      <c r="Q27" s="72">
        <f>VLOOKUP($A27,'Write Off Fertilidade - 9 meses'!$A:$AE,'Write Off Fertilidade - 9 meses'!Q$2,0)</f>
        <v>0</v>
      </c>
      <c r="R27" s="72">
        <f>VLOOKUP($A27,'Write Off Fertilidade - 9 meses'!$A:$AE,'Write Off Fertilidade - 9 meses'!R$2,0)</f>
        <v>0</v>
      </c>
      <c r="S27" s="72">
        <f>VLOOKUP($A27,'Write Off Fertilidade - 9 meses'!$A:$AE,'Write Off Fertilidade - 9 meses'!S$2,0)</f>
        <v>0</v>
      </c>
      <c r="T27" s="72">
        <f>VLOOKUP($A27,'Write Off Fertilidade - 9 meses'!$A:$AE,'Write Off Fertilidade - 9 meses'!T$2,0)</f>
        <v>0</v>
      </c>
      <c r="U27" s="72">
        <f>VLOOKUP($A27,'Write Off Fertilidade - 9 meses'!$A:$AE,'Write Off Fertilidade - 9 meses'!U$2,0)</f>
        <v>0</v>
      </c>
      <c r="V27" s="72">
        <f>VLOOKUP($A27,'Write Off Fertilidade - 9 meses'!$A:$AE,'Write Off Fertilidade - 9 meses'!V$2,0)</f>
        <v>0</v>
      </c>
      <c r="W27" s="72">
        <f t="shared" si="40"/>
        <v>8938</v>
      </c>
      <c r="Y27" s="69">
        <v>285.3</v>
      </c>
      <c r="Z27" s="109">
        <f t="shared" si="22"/>
        <v>0</v>
      </c>
      <c r="AA27" s="109">
        <f t="shared" si="23"/>
        <v>1486127.7</v>
      </c>
      <c r="AB27" s="109">
        <f t="shared" si="24"/>
        <v>0</v>
      </c>
      <c r="AC27" s="109">
        <f t="shared" si="25"/>
        <v>0</v>
      </c>
      <c r="AD27" s="109">
        <f t="shared" si="26"/>
        <v>0</v>
      </c>
      <c r="AE27" s="109">
        <f t="shared" si="27"/>
        <v>525807.9</v>
      </c>
      <c r="AF27" s="109">
        <f t="shared" si="28"/>
        <v>0</v>
      </c>
      <c r="AG27" s="109">
        <f t="shared" si="29"/>
        <v>0</v>
      </c>
      <c r="AH27" s="109">
        <f t="shared" si="30"/>
        <v>0</v>
      </c>
      <c r="AI27" s="73">
        <f t="shared" si="31"/>
        <v>0</v>
      </c>
      <c r="AJ27" s="73">
        <f t="shared" si="32"/>
        <v>538075.80000000005</v>
      </c>
      <c r="AK27" s="73">
        <f t="shared" si="33"/>
        <v>0</v>
      </c>
      <c r="AL27" s="73">
        <f t="shared" si="34"/>
        <v>0</v>
      </c>
      <c r="AM27" s="73">
        <f t="shared" si="35"/>
        <v>0</v>
      </c>
      <c r="AN27" s="73">
        <f t="shared" si="36"/>
        <v>0</v>
      </c>
      <c r="AO27" s="73">
        <f t="shared" si="37"/>
        <v>0</v>
      </c>
      <c r="AP27" s="73">
        <f t="shared" si="38"/>
        <v>0</v>
      </c>
      <c r="AQ27" s="73">
        <f t="shared" si="41"/>
        <v>0</v>
      </c>
      <c r="AR27" s="73">
        <f t="shared" si="42"/>
        <v>0</v>
      </c>
      <c r="AS27" s="73">
        <f t="shared" si="39"/>
        <v>0</v>
      </c>
      <c r="AT27" s="73">
        <f t="shared" si="43"/>
        <v>2550011.4000000004</v>
      </c>
    </row>
    <row r="28" spans="1:46" x14ac:dyDescent="0.35">
      <c r="A28" s="71" t="s">
        <v>188</v>
      </c>
      <c r="B28" s="76" t="s">
        <v>189</v>
      </c>
      <c r="C28" s="107">
        <v>0</v>
      </c>
      <c r="D28" s="107">
        <v>0</v>
      </c>
      <c r="E28" s="107">
        <v>0</v>
      </c>
      <c r="F28" s="107">
        <v>0</v>
      </c>
      <c r="G28" s="107">
        <v>0</v>
      </c>
      <c r="H28" s="107">
        <v>1</v>
      </c>
      <c r="I28" s="107">
        <v>0</v>
      </c>
      <c r="J28" s="107">
        <v>0</v>
      </c>
      <c r="K28" s="107">
        <v>0</v>
      </c>
      <c r="L28" s="72">
        <f>VLOOKUP($A28,'Write Off Fertilidade - 9 meses'!$A:$W,'Write Off Fertilidade - 9 meses'!L$2,0)</f>
        <v>0</v>
      </c>
      <c r="M28" s="72">
        <f>VLOOKUP($A28,'Write Off Fertilidade - 9 meses'!$A:$W,'Write Off Fertilidade - 9 meses'!M$2,0)</f>
        <v>0</v>
      </c>
      <c r="N28" s="72">
        <f>VLOOKUP($A28,'Write Off Fertilidade - 9 meses'!$A:$AE,'Write Off Fertilidade - 9 meses'!N$2,0)</f>
        <v>0</v>
      </c>
      <c r="O28" s="72">
        <f>VLOOKUP($A28,'Write Off Fertilidade - 9 meses'!$A:$AE,'Write Off Fertilidade - 9 meses'!O$2,0)</f>
        <v>0</v>
      </c>
      <c r="P28" s="72">
        <f>VLOOKUP($A28,'Write Off Fertilidade - 9 meses'!$A:$AE,'Write Off Fertilidade - 9 meses'!P$2,0)</f>
        <v>0</v>
      </c>
      <c r="Q28" s="72">
        <f>VLOOKUP($A28,'Write Off Fertilidade - 9 meses'!$A:$AE,'Write Off Fertilidade - 9 meses'!Q$2,0)</f>
        <v>0</v>
      </c>
      <c r="R28" s="72">
        <f>VLOOKUP($A28,'Write Off Fertilidade - 9 meses'!$A:$AE,'Write Off Fertilidade - 9 meses'!R$2,0)</f>
        <v>0</v>
      </c>
      <c r="S28" s="72">
        <f>VLOOKUP($A28,'Write Off Fertilidade - 9 meses'!$A:$AE,'Write Off Fertilidade - 9 meses'!S$2,0)</f>
        <v>0</v>
      </c>
      <c r="T28" s="72">
        <f>VLOOKUP($A28,'Write Off Fertilidade - 9 meses'!$A:$AE,'Write Off Fertilidade - 9 meses'!T$2,0)</f>
        <v>0</v>
      </c>
      <c r="U28" s="72">
        <f>VLOOKUP($A28,'Write Off Fertilidade - 9 meses'!$A:$AE,'Write Off Fertilidade - 9 meses'!U$2,0)</f>
        <v>0</v>
      </c>
      <c r="V28" s="72">
        <f>VLOOKUP($A28,'Write Off Fertilidade - 9 meses'!$A:$AE,'Write Off Fertilidade - 9 meses'!V$2,0)</f>
        <v>0</v>
      </c>
      <c r="W28" s="72">
        <f t="shared" si="40"/>
        <v>1</v>
      </c>
      <c r="Y28" s="69">
        <v>34.06</v>
      </c>
      <c r="Z28" s="109">
        <f t="shared" si="22"/>
        <v>0</v>
      </c>
      <c r="AA28" s="109">
        <f t="shared" si="23"/>
        <v>0</v>
      </c>
      <c r="AB28" s="109">
        <f t="shared" si="24"/>
        <v>0</v>
      </c>
      <c r="AC28" s="109">
        <f t="shared" si="25"/>
        <v>0</v>
      </c>
      <c r="AD28" s="109">
        <f t="shared" si="26"/>
        <v>0</v>
      </c>
      <c r="AE28" s="109">
        <f t="shared" si="27"/>
        <v>34.06</v>
      </c>
      <c r="AF28" s="109">
        <f t="shared" si="28"/>
        <v>0</v>
      </c>
      <c r="AG28" s="109">
        <f t="shared" si="29"/>
        <v>0</v>
      </c>
      <c r="AH28" s="109">
        <f t="shared" si="30"/>
        <v>0</v>
      </c>
      <c r="AI28" s="73">
        <f t="shared" si="31"/>
        <v>0</v>
      </c>
      <c r="AJ28" s="73">
        <f t="shared" si="32"/>
        <v>0</v>
      </c>
      <c r="AK28" s="73">
        <f t="shared" si="33"/>
        <v>0</v>
      </c>
      <c r="AL28" s="73">
        <f t="shared" si="34"/>
        <v>0</v>
      </c>
      <c r="AM28" s="73">
        <f t="shared" si="35"/>
        <v>0</v>
      </c>
      <c r="AN28" s="73">
        <f t="shared" si="36"/>
        <v>0</v>
      </c>
      <c r="AO28" s="73">
        <f t="shared" si="37"/>
        <v>0</v>
      </c>
      <c r="AP28" s="73">
        <f t="shared" si="38"/>
        <v>0</v>
      </c>
      <c r="AQ28" s="73">
        <f t="shared" si="41"/>
        <v>0</v>
      </c>
      <c r="AR28" s="73">
        <f t="shared" si="42"/>
        <v>0</v>
      </c>
      <c r="AS28" s="73">
        <f t="shared" si="39"/>
        <v>0</v>
      </c>
      <c r="AT28" s="73">
        <f t="shared" si="43"/>
        <v>34.06</v>
      </c>
    </row>
    <row r="29" spans="1:46" x14ac:dyDescent="0.35">
      <c r="A29" s="71" t="s">
        <v>193</v>
      </c>
      <c r="B29" s="76" t="s">
        <v>194</v>
      </c>
      <c r="C29" s="107">
        <v>0</v>
      </c>
      <c r="D29" s="107">
        <v>1079</v>
      </c>
      <c r="E29" s="107">
        <v>0</v>
      </c>
      <c r="F29" s="107">
        <v>0</v>
      </c>
      <c r="G29" s="107">
        <v>0</v>
      </c>
      <c r="H29" s="107">
        <v>2461</v>
      </c>
      <c r="I29" s="107">
        <v>0</v>
      </c>
      <c r="J29" s="107">
        <v>0</v>
      </c>
      <c r="K29" s="107">
        <v>0</v>
      </c>
      <c r="L29" s="72">
        <f>VLOOKUP($A29,'Write Off Fertilidade - 9 meses'!$A:$W,'Write Off Fertilidade - 9 meses'!L$2,0)</f>
        <v>0</v>
      </c>
      <c r="M29" s="72">
        <f>VLOOKUP($A29,'Write Off Fertilidade - 9 meses'!$A:$W,'Write Off Fertilidade - 9 meses'!M$2,0)</f>
        <v>70</v>
      </c>
      <c r="N29" s="72">
        <f>VLOOKUP($A29,'Write Off Fertilidade - 9 meses'!$A:$AE,'Write Off Fertilidade - 9 meses'!N$2,0)</f>
        <v>0</v>
      </c>
      <c r="O29" s="72">
        <f>VLOOKUP($A29,'Write Off Fertilidade - 9 meses'!$A:$AE,'Write Off Fertilidade - 9 meses'!O$2,0)</f>
        <v>0</v>
      </c>
      <c r="P29" s="72">
        <f>VLOOKUP($A29,'Write Off Fertilidade - 9 meses'!$A:$AE,'Write Off Fertilidade - 9 meses'!P$2,0)</f>
        <v>0</v>
      </c>
      <c r="Q29" s="72">
        <f>VLOOKUP($A29,'Write Off Fertilidade - 9 meses'!$A:$AE,'Write Off Fertilidade - 9 meses'!Q$2,0)</f>
        <v>0</v>
      </c>
      <c r="R29" s="72">
        <f>VLOOKUP($A29,'Write Off Fertilidade - 9 meses'!$A:$AE,'Write Off Fertilidade - 9 meses'!R$2,0)</f>
        <v>0</v>
      </c>
      <c r="S29" s="72">
        <f>VLOOKUP($A29,'Write Off Fertilidade - 9 meses'!$A:$AE,'Write Off Fertilidade - 9 meses'!S$2,0)</f>
        <v>0</v>
      </c>
      <c r="T29" s="72">
        <f>VLOOKUP($A29,'Write Off Fertilidade - 9 meses'!$A:$AE,'Write Off Fertilidade - 9 meses'!T$2,0)</f>
        <v>0</v>
      </c>
      <c r="U29" s="72">
        <f>VLOOKUP($A29,'Write Off Fertilidade - 9 meses'!$A:$AE,'Write Off Fertilidade - 9 meses'!U$2,0)</f>
        <v>0</v>
      </c>
      <c r="V29" s="72">
        <f>VLOOKUP($A29,'Write Off Fertilidade - 9 meses'!$A:$AE,'Write Off Fertilidade - 9 meses'!V$2,0)</f>
        <v>0</v>
      </c>
      <c r="W29" s="72">
        <f t="shared" si="40"/>
        <v>3610</v>
      </c>
      <c r="Y29" s="69">
        <v>70.63</v>
      </c>
      <c r="Z29" s="109">
        <f t="shared" si="22"/>
        <v>0</v>
      </c>
      <c r="AA29" s="109">
        <f t="shared" si="23"/>
        <v>76209.76999999999</v>
      </c>
      <c r="AB29" s="109">
        <f t="shared" si="24"/>
        <v>0</v>
      </c>
      <c r="AC29" s="109">
        <f t="shared" si="25"/>
        <v>0</v>
      </c>
      <c r="AD29" s="109">
        <f t="shared" si="26"/>
        <v>0</v>
      </c>
      <c r="AE29" s="109">
        <f t="shared" si="27"/>
        <v>173820.43</v>
      </c>
      <c r="AF29" s="109">
        <f t="shared" si="28"/>
        <v>0</v>
      </c>
      <c r="AG29" s="109">
        <f t="shared" si="29"/>
        <v>0</v>
      </c>
      <c r="AH29" s="109">
        <f t="shared" si="30"/>
        <v>0</v>
      </c>
      <c r="AI29" s="73">
        <f t="shared" si="31"/>
        <v>0</v>
      </c>
      <c r="AJ29" s="73">
        <f t="shared" si="32"/>
        <v>4944.0999999999995</v>
      </c>
      <c r="AK29" s="73">
        <f t="shared" si="33"/>
        <v>0</v>
      </c>
      <c r="AL29" s="73">
        <f t="shared" si="34"/>
        <v>0</v>
      </c>
      <c r="AM29" s="73">
        <f t="shared" si="35"/>
        <v>0</v>
      </c>
      <c r="AN29" s="73">
        <f t="shared" si="36"/>
        <v>0</v>
      </c>
      <c r="AO29" s="73">
        <f t="shared" si="37"/>
        <v>0</v>
      </c>
      <c r="AP29" s="73">
        <f t="shared" si="38"/>
        <v>0</v>
      </c>
      <c r="AQ29" s="73">
        <f t="shared" si="41"/>
        <v>0</v>
      </c>
      <c r="AR29" s="73">
        <f t="shared" si="42"/>
        <v>0</v>
      </c>
      <c r="AS29" s="73">
        <f t="shared" si="39"/>
        <v>0</v>
      </c>
      <c r="AT29" s="73">
        <f t="shared" si="43"/>
        <v>254974.3</v>
      </c>
    </row>
    <row r="30" spans="1:46" x14ac:dyDescent="0.35">
      <c r="A30" s="71" t="s">
        <v>197</v>
      </c>
      <c r="B30" s="76" t="s">
        <v>198</v>
      </c>
      <c r="C30" s="107">
        <v>0</v>
      </c>
      <c r="D30" s="107">
        <v>0</v>
      </c>
      <c r="E30" s="107">
        <v>0</v>
      </c>
      <c r="F30" s="107">
        <v>0</v>
      </c>
      <c r="G30" s="107">
        <v>0</v>
      </c>
      <c r="H30" s="107">
        <v>3343</v>
      </c>
      <c r="I30" s="107">
        <v>0</v>
      </c>
      <c r="J30" s="107">
        <v>0</v>
      </c>
      <c r="K30" s="107">
        <v>3775</v>
      </c>
      <c r="L30" s="72">
        <f>VLOOKUP($A30,'Write Off Fertilidade - 9 meses'!$A:$W,'Write Off Fertilidade - 9 meses'!L$2,0)</f>
        <v>0</v>
      </c>
      <c r="M30" s="72">
        <f>VLOOKUP($A30,'Write Off Fertilidade - 9 meses'!$A:$W,'Write Off Fertilidade - 9 meses'!M$2,0)</f>
        <v>5432</v>
      </c>
      <c r="N30" s="72">
        <f>VLOOKUP($A30,'Write Off Fertilidade - 9 meses'!$A:$AE,'Write Off Fertilidade - 9 meses'!N$2,0)</f>
        <v>0</v>
      </c>
      <c r="O30" s="72">
        <f>VLOOKUP($A30,'Write Off Fertilidade - 9 meses'!$A:$AE,'Write Off Fertilidade - 9 meses'!O$2,0)</f>
        <v>0</v>
      </c>
      <c r="P30" s="72">
        <f>VLOOKUP($A30,'Write Off Fertilidade - 9 meses'!$A:$AE,'Write Off Fertilidade - 9 meses'!P$2,0)</f>
        <v>0</v>
      </c>
      <c r="Q30" s="72">
        <f>VLOOKUP($A30,'Write Off Fertilidade - 9 meses'!$A:$AE,'Write Off Fertilidade - 9 meses'!Q$2,0)</f>
        <v>0</v>
      </c>
      <c r="R30" s="72">
        <f>VLOOKUP($A30,'Write Off Fertilidade - 9 meses'!$A:$AE,'Write Off Fertilidade - 9 meses'!R$2,0)</f>
        <v>0</v>
      </c>
      <c r="S30" s="72">
        <f>VLOOKUP($A30,'Write Off Fertilidade - 9 meses'!$A:$AE,'Write Off Fertilidade - 9 meses'!S$2,0)</f>
        <v>3077</v>
      </c>
      <c r="T30" s="72">
        <f>VLOOKUP($A30,'Write Off Fertilidade - 9 meses'!$A:$AE,'Write Off Fertilidade - 9 meses'!T$2,0)</f>
        <v>0</v>
      </c>
      <c r="U30" s="72">
        <f>VLOOKUP($A30,'Write Off Fertilidade - 9 meses'!$A:$AE,'Write Off Fertilidade - 9 meses'!U$2,0)</f>
        <v>0</v>
      </c>
      <c r="V30" s="72">
        <f>VLOOKUP($A30,'Write Off Fertilidade - 9 meses'!$A:$AE,'Write Off Fertilidade - 9 meses'!V$2,0)</f>
        <v>0</v>
      </c>
      <c r="W30" s="72">
        <f t="shared" si="40"/>
        <v>15627</v>
      </c>
      <c r="Y30" s="69">
        <v>74.47</v>
      </c>
      <c r="Z30" s="109">
        <f t="shared" si="22"/>
        <v>0</v>
      </c>
      <c r="AA30" s="109">
        <f t="shared" si="23"/>
        <v>0</v>
      </c>
      <c r="AB30" s="109">
        <f t="shared" si="24"/>
        <v>0</v>
      </c>
      <c r="AC30" s="109">
        <f t="shared" si="25"/>
        <v>0</v>
      </c>
      <c r="AD30" s="109">
        <f t="shared" si="26"/>
        <v>0</v>
      </c>
      <c r="AE30" s="109">
        <f t="shared" si="27"/>
        <v>248953.21</v>
      </c>
      <c r="AF30" s="109">
        <f t="shared" si="28"/>
        <v>0</v>
      </c>
      <c r="AG30" s="109">
        <f t="shared" si="29"/>
        <v>0</v>
      </c>
      <c r="AH30" s="109">
        <f t="shared" si="30"/>
        <v>281124.25</v>
      </c>
      <c r="AI30" s="73">
        <f t="shared" si="31"/>
        <v>0</v>
      </c>
      <c r="AJ30" s="73">
        <f t="shared" si="32"/>
        <v>404521.04</v>
      </c>
      <c r="AK30" s="73">
        <f t="shared" si="33"/>
        <v>0</v>
      </c>
      <c r="AL30" s="73">
        <f t="shared" si="34"/>
        <v>0</v>
      </c>
      <c r="AM30" s="73">
        <f t="shared" si="35"/>
        <v>0</v>
      </c>
      <c r="AN30" s="73">
        <f t="shared" si="36"/>
        <v>0</v>
      </c>
      <c r="AO30" s="73">
        <f t="shared" si="37"/>
        <v>0</v>
      </c>
      <c r="AP30" s="73">
        <f t="shared" si="38"/>
        <v>229144.19</v>
      </c>
      <c r="AQ30" s="73">
        <f t="shared" si="41"/>
        <v>0</v>
      </c>
      <c r="AR30" s="73">
        <f t="shared" si="42"/>
        <v>0</v>
      </c>
      <c r="AS30" s="73">
        <f t="shared" si="39"/>
        <v>0</v>
      </c>
      <c r="AT30" s="73">
        <f t="shared" si="43"/>
        <v>1163742.69</v>
      </c>
    </row>
    <row r="31" spans="1:46" x14ac:dyDescent="0.35">
      <c r="A31" s="71" t="s">
        <v>133</v>
      </c>
      <c r="B31" s="76" t="s">
        <v>134</v>
      </c>
      <c r="C31" s="107">
        <v>0</v>
      </c>
      <c r="D31" s="107">
        <v>0</v>
      </c>
      <c r="E31" s="107">
        <v>0</v>
      </c>
      <c r="F31" s="107">
        <v>3333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72">
        <f>VLOOKUP($A31,'Write Off Fertilidade - 9 meses'!$A:$W,'Write Off Fertilidade - 9 meses'!L$2,0)</f>
        <v>0</v>
      </c>
      <c r="M31" s="72">
        <f>VLOOKUP($A31,'Write Off Fertilidade - 9 meses'!$A:$W,'Write Off Fertilidade - 9 meses'!M$2,0)</f>
        <v>0</v>
      </c>
      <c r="N31" s="72">
        <f>VLOOKUP($A31,'Write Off Fertilidade - 9 meses'!$A:$AE,'Write Off Fertilidade - 9 meses'!N$2,0)</f>
        <v>0</v>
      </c>
      <c r="O31" s="72">
        <f>VLOOKUP($A31,'Write Off Fertilidade - 9 meses'!$A:$AE,'Write Off Fertilidade - 9 meses'!O$2,0)</f>
        <v>0</v>
      </c>
      <c r="P31" s="72">
        <f>VLOOKUP($A31,'Write Off Fertilidade - 9 meses'!$A:$AE,'Write Off Fertilidade - 9 meses'!P$2,0)</f>
        <v>0</v>
      </c>
      <c r="Q31" s="72">
        <f>VLOOKUP($A31,'Write Off Fertilidade - 9 meses'!$A:$AE,'Write Off Fertilidade - 9 meses'!Q$2,0)</f>
        <v>0</v>
      </c>
      <c r="R31" s="72">
        <f>VLOOKUP($A31,'Write Off Fertilidade - 9 meses'!$A:$AE,'Write Off Fertilidade - 9 meses'!R$2,0)</f>
        <v>0</v>
      </c>
      <c r="S31" s="72">
        <f>VLOOKUP($A31,'Write Off Fertilidade - 9 meses'!$A:$AE,'Write Off Fertilidade - 9 meses'!S$2,0)</f>
        <v>0</v>
      </c>
      <c r="T31" s="72">
        <f>VLOOKUP($A31,'Write Off Fertilidade - 9 meses'!$A:$AE,'Write Off Fertilidade - 9 meses'!T$2,0)</f>
        <v>0</v>
      </c>
      <c r="U31" s="72">
        <f>VLOOKUP($A31,'Write Off Fertilidade - 9 meses'!$A:$AE,'Write Off Fertilidade - 9 meses'!U$2,0)</f>
        <v>0</v>
      </c>
      <c r="V31" s="72">
        <f>VLOOKUP($A31,'Write Off Fertilidade - 9 meses'!$A:$AE,'Write Off Fertilidade - 9 meses'!V$2,0)</f>
        <v>0</v>
      </c>
      <c r="W31" s="72">
        <f t="shared" si="40"/>
        <v>3333</v>
      </c>
      <c r="Y31" s="69">
        <v>170.81</v>
      </c>
      <c r="Z31" s="109">
        <f t="shared" si="22"/>
        <v>0</v>
      </c>
      <c r="AA31" s="109">
        <f t="shared" si="23"/>
        <v>0</v>
      </c>
      <c r="AB31" s="109">
        <f t="shared" si="24"/>
        <v>0</v>
      </c>
      <c r="AC31" s="109">
        <f t="shared" si="25"/>
        <v>569309.73</v>
      </c>
      <c r="AD31" s="109">
        <f t="shared" si="26"/>
        <v>0</v>
      </c>
      <c r="AE31" s="109">
        <f t="shared" si="27"/>
        <v>0</v>
      </c>
      <c r="AF31" s="109">
        <f t="shared" si="28"/>
        <v>0</v>
      </c>
      <c r="AG31" s="109">
        <f t="shared" si="29"/>
        <v>0</v>
      </c>
      <c r="AH31" s="109">
        <f t="shared" si="30"/>
        <v>0</v>
      </c>
      <c r="AI31" s="73">
        <f t="shared" si="31"/>
        <v>0</v>
      </c>
      <c r="AJ31" s="73">
        <f t="shared" si="32"/>
        <v>0</v>
      </c>
      <c r="AK31" s="73">
        <f t="shared" si="33"/>
        <v>0</v>
      </c>
      <c r="AL31" s="73">
        <f t="shared" si="34"/>
        <v>0</v>
      </c>
      <c r="AM31" s="73">
        <f t="shared" si="35"/>
        <v>0</v>
      </c>
      <c r="AN31" s="73">
        <f t="shared" si="36"/>
        <v>0</v>
      </c>
      <c r="AO31" s="73">
        <f t="shared" si="37"/>
        <v>0</v>
      </c>
      <c r="AP31" s="73">
        <f t="shared" si="38"/>
        <v>0</v>
      </c>
      <c r="AQ31" s="73">
        <f t="shared" si="41"/>
        <v>0</v>
      </c>
      <c r="AR31" s="73">
        <f t="shared" si="42"/>
        <v>0</v>
      </c>
      <c r="AS31" s="73">
        <f t="shared" si="39"/>
        <v>0</v>
      </c>
      <c r="AT31" s="73">
        <f t="shared" si="43"/>
        <v>569309.73</v>
      </c>
    </row>
    <row r="32" spans="1:46" x14ac:dyDescent="0.35">
      <c r="A32" s="71" t="s">
        <v>205</v>
      </c>
      <c r="B32" s="76" t="s">
        <v>206</v>
      </c>
      <c r="C32" s="107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2290</v>
      </c>
      <c r="I32" s="107">
        <v>841</v>
      </c>
      <c r="J32" s="107">
        <v>0</v>
      </c>
      <c r="K32" s="107">
        <v>0</v>
      </c>
      <c r="L32" s="72">
        <f>VLOOKUP($A32,'Write Off Fertilidade - 9 meses'!$A:$W,'Write Off Fertilidade - 9 meses'!L$2,0)</f>
        <v>0</v>
      </c>
      <c r="M32" s="72">
        <f>VLOOKUP($A32,'Write Off Fertilidade - 9 meses'!$A:$W,'Write Off Fertilidade - 9 meses'!M$2,0)</f>
        <v>0</v>
      </c>
      <c r="N32" s="72">
        <f>VLOOKUP($A32,'Write Off Fertilidade - 9 meses'!$A:$AE,'Write Off Fertilidade - 9 meses'!N$2,0)</f>
        <v>0</v>
      </c>
      <c r="O32" s="72">
        <f>VLOOKUP($A32,'Write Off Fertilidade - 9 meses'!$A:$AE,'Write Off Fertilidade - 9 meses'!O$2,0)</f>
        <v>0</v>
      </c>
      <c r="P32" s="72">
        <f>VLOOKUP($A32,'Write Off Fertilidade - 9 meses'!$A:$AE,'Write Off Fertilidade - 9 meses'!P$2,0)</f>
        <v>56</v>
      </c>
      <c r="Q32" s="72">
        <f>VLOOKUP($A32,'Write Off Fertilidade - 9 meses'!$A:$AE,'Write Off Fertilidade - 9 meses'!Q$2,0)</f>
        <v>0</v>
      </c>
      <c r="R32" s="72">
        <f>VLOOKUP($A32,'Write Off Fertilidade - 9 meses'!$A:$AE,'Write Off Fertilidade - 9 meses'!R$2,0)</f>
        <v>0</v>
      </c>
      <c r="S32" s="72">
        <f>VLOOKUP($A32,'Write Off Fertilidade - 9 meses'!$A:$AE,'Write Off Fertilidade - 9 meses'!S$2,0)</f>
        <v>534</v>
      </c>
      <c r="T32" s="72">
        <f>VLOOKUP($A32,'Write Off Fertilidade - 9 meses'!$A:$AE,'Write Off Fertilidade - 9 meses'!T$2,0)</f>
        <v>0</v>
      </c>
      <c r="U32" s="72">
        <f>VLOOKUP($A32,'Write Off Fertilidade - 9 meses'!$A:$AE,'Write Off Fertilidade - 9 meses'!U$2,0)</f>
        <v>0</v>
      </c>
      <c r="V32" s="72">
        <f>VLOOKUP($A32,'Write Off Fertilidade - 9 meses'!$A:$AE,'Write Off Fertilidade - 9 meses'!V$2,0)</f>
        <v>514</v>
      </c>
      <c r="W32" s="72">
        <f t="shared" si="40"/>
        <v>4235</v>
      </c>
      <c r="Y32" s="69">
        <v>512.42999999999995</v>
      </c>
      <c r="Z32" s="109">
        <f t="shared" si="22"/>
        <v>0</v>
      </c>
      <c r="AA32" s="109">
        <f t="shared" si="23"/>
        <v>0</v>
      </c>
      <c r="AB32" s="109">
        <f t="shared" si="24"/>
        <v>0</v>
      </c>
      <c r="AC32" s="109">
        <f t="shared" si="25"/>
        <v>0</v>
      </c>
      <c r="AD32" s="109">
        <f t="shared" si="26"/>
        <v>0</v>
      </c>
      <c r="AE32" s="109">
        <f t="shared" si="27"/>
        <v>1173464.7</v>
      </c>
      <c r="AF32" s="109">
        <f t="shared" si="28"/>
        <v>430953.62999999995</v>
      </c>
      <c r="AG32" s="109">
        <f t="shared" si="29"/>
        <v>0</v>
      </c>
      <c r="AH32" s="109">
        <f t="shared" si="30"/>
        <v>0</v>
      </c>
      <c r="AI32" s="73">
        <f t="shared" si="31"/>
        <v>0</v>
      </c>
      <c r="AJ32" s="73">
        <f t="shared" si="32"/>
        <v>0</v>
      </c>
      <c r="AK32" s="73">
        <f t="shared" si="33"/>
        <v>0</v>
      </c>
      <c r="AL32" s="73">
        <f t="shared" si="34"/>
        <v>0</v>
      </c>
      <c r="AM32" s="73">
        <f t="shared" si="35"/>
        <v>28696.079999999998</v>
      </c>
      <c r="AN32" s="73">
        <f t="shared" si="36"/>
        <v>0</v>
      </c>
      <c r="AO32" s="73">
        <f t="shared" si="37"/>
        <v>0</v>
      </c>
      <c r="AP32" s="73">
        <f t="shared" si="38"/>
        <v>273637.62</v>
      </c>
      <c r="AQ32" s="73">
        <f t="shared" si="41"/>
        <v>0</v>
      </c>
      <c r="AR32" s="73">
        <f t="shared" si="42"/>
        <v>0</v>
      </c>
      <c r="AS32" s="73">
        <f t="shared" si="39"/>
        <v>263389.01999999996</v>
      </c>
      <c r="AT32" s="73">
        <f t="shared" si="43"/>
        <v>2170141.0499999998</v>
      </c>
    </row>
    <row r="33" spans="1:48" x14ac:dyDescent="0.35">
      <c r="A33" s="71" t="s">
        <v>207</v>
      </c>
      <c r="B33" s="76" t="s">
        <v>208</v>
      </c>
      <c r="C33" s="107">
        <v>0</v>
      </c>
      <c r="D33" s="107">
        <v>251</v>
      </c>
      <c r="E33" s="107">
        <v>0</v>
      </c>
      <c r="F33" s="107">
        <v>1654</v>
      </c>
      <c r="G33" s="107">
        <v>19081</v>
      </c>
      <c r="H33" s="107">
        <v>0</v>
      </c>
      <c r="I33" s="107">
        <v>0</v>
      </c>
      <c r="J33" s="107">
        <v>0</v>
      </c>
      <c r="K33" s="107">
        <v>0</v>
      </c>
      <c r="L33" s="72">
        <f>VLOOKUP($A33,'Write Off Fertilidade - 9 meses'!$A:$W,'Write Off Fertilidade - 9 meses'!L$2,0)</f>
        <v>0</v>
      </c>
      <c r="M33" s="72">
        <f>VLOOKUP($A33,'Write Off Fertilidade - 9 meses'!$A:$W,'Write Off Fertilidade - 9 meses'!M$2,0)</f>
        <v>0</v>
      </c>
      <c r="N33" s="72">
        <f>VLOOKUP($A33,'Write Off Fertilidade - 9 meses'!$A:$AE,'Write Off Fertilidade - 9 meses'!N$2,0)</f>
        <v>0</v>
      </c>
      <c r="O33" s="72">
        <f>VLOOKUP($A33,'Write Off Fertilidade - 9 meses'!$A:$AE,'Write Off Fertilidade - 9 meses'!O$2,0)</f>
        <v>0</v>
      </c>
      <c r="P33" s="72">
        <f>VLOOKUP($A33,'Write Off Fertilidade - 9 meses'!$A:$AE,'Write Off Fertilidade - 9 meses'!P$2,0)</f>
        <v>0</v>
      </c>
      <c r="Q33" s="72">
        <f>VLOOKUP($A33,'Write Off Fertilidade - 9 meses'!$A:$AE,'Write Off Fertilidade - 9 meses'!Q$2,0)</f>
        <v>0</v>
      </c>
      <c r="R33" s="72">
        <f>VLOOKUP($A33,'Write Off Fertilidade - 9 meses'!$A:$AE,'Write Off Fertilidade - 9 meses'!R$2,0)</f>
        <v>0</v>
      </c>
      <c r="S33" s="72">
        <f>VLOOKUP($A33,'Write Off Fertilidade - 9 meses'!$A:$AE,'Write Off Fertilidade - 9 meses'!S$2,0)</f>
        <v>0</v>
      </c>
      <c r="T33" s="72">
        <f>VLOOKUP($A33,'Write Off Fertilidade - 9 meses'!$A:$AE,'Write Off Fertilidade - 9 meses'!T$2,0)</f>
        <v>0</v>
      </c>
      <c r="U33" s="72">
        <f>VLOOKUP($A33,'Write Off Fertilidade - 9 meses'!$A:$AE,'Write Off Fertilidade - 9 meses'!U$2,0)</f>
        <v>0</v>
      </c>
      <c r="V33" s="72">
        <f>VLOOKUP($A33,'Write Off Fertilidade - 9 meses'!$A:$AE,'Write Off Fertilidade - 9 meses'!V$2,0)</f>
        <v>0</v>
      </c>
      <c r="W33" s="72">
        <f t="shared" si="40"/>
        <v>20986</v>
      </c>
      <c r="Y33" s="69">
        <v>256.20999999999998</v>
      </c>
      <c r="Z33" s="109">
        <f t="shared" si="22"/>
        <v>0</v>
      </c>
      <c r="AA33" s="109">
        <f t="shared" si="23"/>
        <v>64308.709999999992</v>
      </c>
      <c r="AB33" s="109">
        <f t="shared" si="24"/>
        <v>0</v>
      </c>
      <c r="AC33" s="109">
        <f t="shared" si="25"/>
        <v>423771.33999999997</v>
      </c>
      <c r="AD33" s="109">
        <f t="shared" si="26"/>
        <v>4888743.01</v>
      </c>
      <c r="AE33" s="109">
        <f t="shared" si="27"/>
        <v>0</v>
      </c>
      <c r="AF33" s="109">
        <f t="shared" si="28"/>
        <v>0</v>
      </c>
      <c r="AG33" s="109">
        <f t="shared" si="29"/>
        <v>0</v>
      </c>
      <c r="AH33" s="109">
        <f t="shared" si="30"/>
        <v>0</v>
      </c>
      <c r="AI33" s="73">
        <f t="shared" si="31"/>
        <v>0</v>
      </c>
      <c r="AJ33" s="73">
        <f t="shared" si="32"/>
        <v>0</v>
      </c>
      <c r="AK33" s="73">
        <f t="shared" si="33"/>
        <v>0</v>
      </c>
      <c r="AL33" s="73">
        <f t="shared" si="34"/>
        <v>0</v>
      </c>
      <c r="AM33" s="73">
        <f t="shared" si="35"/>
        <v>0</v>
      </c>
      <c r="AN33" s="73">
        <f t="shared" si="36"/>
        <v>0</v>
      </c>
      <c r="AO33" s="73">
        <f t="shared" si="37"/>
        <v>0</v>
      </c>
      <c r="AP33" s="73">
        <f t="shared" si="38"/>
        <v>0</v>
      </c>
      <c r="AQ33" s="73">
        <f t="shared" si="41"/>
        <v>0</v>
      </c>
      <c r="AR33" s="73">
        <f t="shared" si="42"/>
        <v>0</v>
      </c>
      <c r="AS33" s="73">
        <f t="shared" si="39"/>
        <v>0</v>
      </c>
      <c r="AT33" s="73">
        <f t="shared" si="43"/>
        <v>5376823.0599999996</v>
      </c>
    </row>
    <row r="34" spans="1:48" ht="21" x14ac:dyDescent="0.5">
      <c r="C34" s="40"/>
      <c r="D34" s="40"/>
      <c r="E34" s="40"/>
      <c r="F34" s="40"/>
      <c r="G34" s="40"/>
      <c r="H34" s="40"/>
      <c r="I34" s="40"/>
      <c r="J34" s="40"/>
      <c r="K34" s="40"/>
      <c r="L34" s="40">
        <f>SUM(L21:L33)</f>
        <v>0</v>
      </c>
      <c r="M34" s="40">
        <f>SUM(M21:M33)</f>
        <v>7474</v>
      </c>
      <c r="N34" s="40">
        <f>SUM(N21:N33)</f>
        <v>692</v>
      </c>
      <c r="O34" s="40"/>
      <c r="P34" s="40"/>
      <c r="Q34" s="40"/>
      <c r="R34" s="40"/>
      <c r="S34" s="40"/>
      <c r="T34" s="40"/>
      <c r="U34" s="40"/>
      <c r="V34" s="40"/>
      <c r="W34" s="74">
        <f>SUM(W21:W33)</f>
        <v>105105</v>
      </c>
      <c r="Y34" s="69"/>
      <c r="AS34" s="40"/>
      <c r="AT34" s="78">
        <f>SUM(AT21:AT33)</f>
        <v>17509004.719999999</v>
      </c>
      <c r="AV34" s="88"/>
    </row>
    <row r="36" spans="1:48" ht="43.25" customHeight="1" x14ac:dyDescent="0.35">
      <c r="A36" s="331" t="s">
        <v>256</v>
      </c>
      <c r="B36" s="331"/>
      <c r="C36" s="332" t="s">
        <v>223</v>
      </c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Y36" s="46"/>
      <c r="Z36" s="332" t="s">
        <v>224</v>
      </c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</row>
    <row r="37" spans="1:48" x14ac:dyDescent="0.35">
      <c r="A37" s="77" t="s">
        <v>108</v>
      </c>
      <c r="B37" s="75" t="s">
        <v>218</v>
      </c>
      <c r="C37" s="70">
        <v>43983</v>
      </c>
      <c r="D37" s="70">
        <v>44013</v>
      </c>
      <c r="E37" s="70">
        <v>44044</v>
      </c>
      <c r="F37" s="70">
        <v>44075</v>
      </c>
      <c r="G37" s="70">
        <v>44105</v>
      </c>
      <c r="H37" s="70">
        <v>44136</v>
      </c>
      <c r="I37" s="70">
        <v>44166</v>
      </c>
      <c r="J37" s="70">
        <v>44197</v>
      </c>
      <c r="K37" s="70">
        <v>44228</v>
      </c>
      <c r="L37" s="70">
        <v>44256</v>
      </c>
      <c r="M37" s="70">
        <v>44287</v>
      </c>
      <c r="N37" s="70">
        <v>44317</v>
      </c>
      <c r="O37" s="70">
        <v>44348</v>
      </c>
      <c r="P37" s="70">
        <v>44378</v>
      </c>
      <c r="Q37" s="70">
        <v>44409</v>
      </c>
      <c r="R37" s="70">
        <v>44440</v>
      </c>
      <c r="S37" s="70">
        <v>44470</v>
      </c>
      <c r="T37" s="70">
        <v>44501</v>
      </c>
      <c r="U37" s="70">
        <v>44531</v>
      </c>
      <c r="V37" s="267">
        <v>2022</v>
      </c>
      <c r="W37" s="70" t="s">
        <v>228</v>
      </c>
      <c r="Y37" s="69" t="s">
        <v>219</v>
      </c>
      <c r="Z37" s="70">
        <v>43983</v>
      </c>
      <c r="AA37" s="70">
        <v>44013</v>
      </c>
      <c r="AB37" s="70">
        <v>44044</v>
      </c>
      <c r="AC37" s="70">
        <v>44075</v>
      </c>
      <c r="AD37" s="70">
        <v>44105</v>
      </c>
      <c r="AE37" s="70">
        <v>44136</v>
      </c>
      <c r="AF37" s="70">
        <v>44166</v>
      </c>
      <c r="AG37" s="70">
        <v>44197</v>
      </c>
      <c r="AH37" s="70">
        <v>44228</v>
      </c>
      <c r="AI37" s="70">
        <v>44256</v>
      </c>
      <c r="AJ37" s="70">
        <v>44287</v>
      </c>
      <c r="AK37" s="70">
        <v>44317</v>
      </c>
      <c r="AL37" s="70">
        <v>44348</v>
      </c>
      <c r="AM37" s="70">
        <v>44378</v>
      </c>
      <c r="AN37" s="70">
        <v>44409</v>
      </c>
      <c r="AO37" s="70">
        <v>44440</v>
      </c>
      <c r="AP37" s="70">
        <v>44470</v>
      </c>
      <c r="AQ37" s="70">
        <v>44501</v>
      </c>
      <c r="AR37" s="70">
        <v>44531</v>
      </c>
      <c r="AS37" s="267">
        <v>2022</v>
      </c>
      <c r="AT37" s="70" t="s">
        <v>228</v>
      </c>
    </row>
    <row r="38" spans="1:48" x14ac:dyDescent="0.35">
      <c r="A38" s="71" t="s">
        <v>130</v>
      </c>
      <c r="B38" s="76" t="s">
        <v>131</v>
      </c>
      <c r="C38" s="107">
        <f>C21-C3</f>
        <v>-18868</v>
      </c>
      <c r="D38" s="107">
        <f t="shared" ref="D38:N38" si="44">D21-D3</f>
        <v>5454</v>
      </c>
      <c r="E38" s="107">
        <f t="shared" si="44"/>
        <v>-14397</v>
      </c>
      <c r="F38" s="72">
        <f t="shared" si="44"/>
        <v>12349</v>
      </c>
      <c r="G38" s="72">
        <f t="shared" si="44"/>
        <v>1334</v>
      </c>
      <c r="H38" s="72">
        <f t="shared" si="44"/>
        <v>0</v>
      </c>
      <c r="I38" s="72">
        <f t="shared" si="44"/>
        <v>10535</v>
      </c>
      <c r="J38" s="72">
        <f t="shared" si="44"/>
        <v>0</v>
      </c>
      <c r="K38" s="72">
        <f t="shared" si="44"/>
        <v>-704</v>
      </c>
      <c r="L38" s="72">
        <f t="shared" si="44"/>
        <v>0</v>
      </c>
      <c r="M38" s="72">
        <f t="shared" si="44"/>
        <v>51</v>
      </c>
      <c r="N38" s="72">
        <f t="shared" si="44"/>
        <v>0</v>
      </c>
      <c r="O38" s="72">
        <f t="shared" ref="O38:U38" si="45">O21-O3</f>
        <v>0</v>
      </c>
      <c r="P38" s="72">
        <f t="shared" si="45"/>
        <v>0</v>
      </c>
      <c r="Q38" s="72">
        <f t="shared" si="45"/>
        <v>0</v>
      </c>
      <c r="R38" s="72">
        <f t="shared" si="45"/>
        <v>0</v>
      </c>
      <c r="S38" s="72">
        <f t="shared" si="45"/>
        <v>0</v>
      </c>
      <c r="T38" s="72">
        <f t="shared" si="45"/>
        <v>0</v>
      </c>
      <c r="U38" s="72">
        <f t="shared" si="45"/>
        <v>0</v>
      </c>
      <c r="V38" s="72">
        <f>V21-V3</f>
        <v>0</v>
      </c>
      <c r="W38" s="72">
        <f>SUM(C38:V38)</f>
        <v>-4246</v>
      </c>
      <c r="Y38" s="69">
        <v>68.150000000000006</v>
      </c>
      <c r="Z38" s="73">
        <f t="shared" ref="Z38:Z50" si="46">$Y38*C38</f>
        <v>-1285854.2000000002</v>
      </c>
      <c r="AA38" s="73">
        <f t="shared" ref="AA38:AA50" si="47">$Y38*D38</f>
        <v>371690.10000000003</v>
      </c>
      <c r="AB38" s="73">
        <f t="shared" ref="AB38:AB50" si="48">$Y38*E38</f>
        <v>-981155.55</v>
      </c>
      <c r="AC38" s="73">
        <f t="shared" ref="AC38:AC50" si="49">$Y38*F38</f>
        <v>841584.35000000009</v>
      </c>
      <c r="AD38" s="73">
        <f t="shared" ref="AD38:AD50" si="50">$Y38*G38</f>
        <v>90912.1</v>
      </c>
      <c r="AE38" s="73">
        <f t="shared" ref="AE38:AE50" si="51">$Y38*H38</f>
        <v>0</v>
      </c>
      <c r="AF38" s="73">
        <f t="shared" ref="AF38:AF50" si="52">$Y38*I38</f>
        <v>717960.25000000012</v>
      </c>
      <c r="AG38" s="73">
        <f t="shared" ref="AG38:AG50" si="53">$Y38*J38</f>
        <v>0</v>
      </c>
      <c r="AH38" s="73">
        <f t="shared" ref="AH38:AH50" si="54">$Y38*K38</f>
        <v>-47977.600000000006</v>
      </c>
      <c r="AI38" s="73">
        <f t="shared" ref="AI38:AI50" si="55">$Y38*L38</f>
        <v>0</v>
      </c>
      <c r="AJ38" s="73">
        <f t="shared" ref="AJ38:AJ50" si="56">$Y38*M38</f>
        <v>3475.65</v>
      </c>
      <c r="AK38" s="73">
        <f t="shared" ref="AK38:AK50" si="57">$Y38*N38</f>
        <v>0</v>
      </c>
      <c r="AL38" s="73">
        <f t="shared" ref="AL38:AL50" si="58">$Y38*O38</f>
        <v>0</v>
      </c>
      <c r="AM38" s="73">
        <f t="shared" ref="AM38:AM50" si="59">$Y38*P38</f>
        <v>0</v>
      </c>
      <c r="AN38" s="73">
        <f t="shared" ref="AN38:AN50" si="60">$Y38*Q38</f>
        <v>0</v>
      </c>
      <c r="AO38" s="73">
        <f t="shared" ref="AO38:AO50" si="61">$Y38*R38</f>
        <v>0</v>
      </c>
      <c r="AP38" s="73">
        <f t="shared" ref="AP38:AP50" si="62">$Y38*S38</f>
        <v>0</v>
      </c>
      <c r="AQ38" s="73">
        <f>$Y38*T38</f>
        <v>0</v>
      </c>
      <c r="AR38" s="73">
        <f t="shared" ref="AR38:AS50" si="63">$Y38*U38</f>
        <v>0</v>
      </c>
      <c r="AS38" s="73">
        <f t="shared" si="63"/>
        <v>0</v>
      </c>
      <c r="AT38" s="73">
        <f>SUM(Z38:AR38)</f>
        <v>-289364.89999999991</v>
      </c>
    </row>
    <row r="39" spans="1:48" x14ac:dyDescent="0.35">
      <c r="A39" s="71" t="s">
        <v>154</v>
      </c>
      <c r="B39" s="76" t="s">
        <v>155</v>
      </c>
      <c r="C39" s="107">
        <f t="shared" ref="C39:N39" si="64">C22-C4</f>
        <v>0</v>
      </c>
      <c r="D39" s="107">
        <f t="shared" si="64"/>
        <v>0</v>
      </c>
      <c r="E39" s="107">
        <f t="shared" si="64"/>
        <v>0</v>
      </c>
      <c r="F39" s="72">
        <f t="shared" si="64"/>
        <v>0</v>
      </c>
      <c r="G39" s="72">
        <f t="shared" si="64"/>
        <v>0</v>
      </c>
      <c r="H39" s="72">
        <f t="shared" si="64"/>
        <v>0</v>
      </c>
      <c r="I39" s="72">
        <f t="shared" si="64"/>
        <v>0</v>
      </c>
      <c r="J39" s="72">
        <f t="shared" si="64"/>
        <v>0</v>
      </c>
      <c r="K39" s="72">
        <f t="shared" si="64"/>
        <v>0</v>
      </c>
      <c r="L39" s="72">
        <f t="shared" si="64"/>
        <v>0</v>
      </c>
      <c r="M39" s="72">
        <f t="shared" si="64"/>
        <v>0</v>
      </c>
      <c r="N39" s="72">
        <f t="shared" si="64"/>
        <v>0</v>
      </c>
      <c r="O39" s="72">
        <f t="shared" ref="O39:V39" si="65">O22-O4</f>
        <v>0</v>
      </c>
      <c r="P39" s="72">
        <f t="shared" si="65"/>
        <v>0</v>
      </c>
      <c r="Q39" s="72">
        <f t="shared" si="65"/>
        <v>0</v>
      </c>
      <c r="R39" s="72">
        <f t="shared" si="65"/>
        <v>0</v>
      </c>
      <c r="S39" s="72">
        <f t="shared" si="65"/>
        <v>0</v>
      </c>
      <c r="T39" s="72">
        <f t="shared" si="65"/>
        <v>0</v>
      </c>
      <c r="U39" s="72">
        <f t="shared" si="65"/>
        <v>0</v>
      </c>
      <c r="V39" s="72">
        <f t="shared" si="65"/>
        <v>0</v>
      </c>
      <c r="W39" s="72">
        <f t="shared" ref="W39:W50" si="66">SUM(C39:V39)</f>
        <v>0</v>
      </c>
      <c r="Y39" s="69">
        <v>78.05</v>
      </c>
      <c r="Z39" s="73">
        <f t="shared" si="46"/>
        <v>0</v>
      </c>
      <c r="AA39" s="73">
        <f t="shared" si="47"/>
        <v>0</v>
      </c>
      <c r="AB39" s="73">
        <f t="shared" si="48"/>
        <v>0</v>
      </c>
      <c r="AC39" s="73">
        <f t="shared" si="49"/>
        <v>0</v>
      </c>
      <c r="AD39" s="73">
        <f t="shared" si="50"/>
        <v>0</v>
      </c>
      <c r="AE39" s="73">
        <f t="shared" si="51"/>
        <v>0</v>
      </c>
      <c r="AF39" s="73">
        <f t="shared" si="52"/>
        <v>0</v>
      </c>
      <c r="AG39" s="73">
        <f t="shared" si="53"/>
        <v>0</v>
      </c>
      <c r="AH39" s="73">
        <f t="shared" si="54"/>
        <v>0</v>
      </c>
      <c r="AI39" s="73">
        <f t="shared" si="55"/>
        <v>0</v>
      </c>
      <c r="AJ39" s="73">
        <f t="shared" si="56"/>
        <v>0</v>
      </c>
      <c r="AK39" s="73">
        <f t="shared" si="57"/>
        <v>0</v>
      </c>
      <c r="AL39" s="73">
        <f t="shared" si="58"/>
        <v>0</v>
      </c>
      <c r="AM39" s="73">
        <f t="shared" si="59"/>
        <v>0</v>
      </c>
      <c r="AN39" s="73">
        <f t="shared" si="60"/>
        <v>0</v>
      </c>
      <c r="AO39" s="73">
        <f t="shared" si="61"/>
        <v>0</v>
      </c>
      <c r="AP39" s="73">
        <f t="shared" si="62"/>
        <v>0</v>
      </c>
      <c r="AQ39" s="73">
        <f t="shared" ref="AQ39:AQ50" si="67">$Y39*T39</f>
        <v>0</v>
      </c>
      <c r="AR39" s="73">
        <f t="shared" ref="AR39:AR50" si="68">$Y39*U39</f>
        <v>0</v>
      </c>
      <c r="AS39" s="73">
        <f t="shared" si="63"/>
        <v>0</v>
      </c>
      <c r="AT39" s="73">
        <f>SUM(Z39:AS39)</f>
        <v>0</v>
      </c>
    </row>
    <row r="40" spans="1:48" x14ac:dyDescent="0.35">
      <c r="A40" s="71" t="s">
        <v>158</v>
      </c>
      <c r="B40" s="76" t="s">
        <v>159</v>
      </c>
      <c r="C40" s="107">
        <f t="shared" ref="C40:N40" si="69">C23-C5</f>
        <v>0</v>
      </c>
      <c r="D40" s="107">
        <f t="shared" si="69"/>
        <v>0</v>
      </c>
      <c r="E40" s="107">
        <f t="shared" si="69"/>
        <v>0</v>
      </c>
      <c r="F40" s="72">
        <f t="shared" si="69"/>
        <v>0</v>
      </c>
      <c r="G40" s="72">
        <f t="shared" si="69"/>
        <v>0</v>
      </c>
      <c r="H40" s="72">
        <f t="shared" si="69"/>
        <v>0</v>
      </c>
      <c r="I40" s="72">
        <f t="shared" si="69"/>
        <v>0</v>
      </c>
      <c r="J40" s="72">
        <f t="shared" si="69"/>
        <v>0</v>
      </c>
      <c r="K40" s="72">
        <f t="shared" si="69"/>
        <v>0</v>
      </c>
      <c r="L40" s="72">
        <f t="shared" si="69"/>
        <v>0</v>
      </c>
      <c r="M40" s="72">
        <f t="shared" si="69"/>
        <v>0</v>
      </c>
      <c r="N40" s="72">
        <f t="shared" si="69"/>
        <v>0</v>
      </c>
      <c r="O40" s="72">
        <f t="shared" ref="O40:V40" si="70">O23-O5</f>
        <v>0</v>
      </c>
      <c r="P40" s="72">
        <f t="shared" si="70"/>
        <v>0</v>
      </c>
      <c r="Q40" s="72">
        <f t="shared" si="70"/>
        <v>0</v>
      </c>
      <c r="R40" s="72">
        <f t="shared" si="70"/>
        <v>0</v>
      </c>
      <c r="S40" s="72">
        <f t="shared" si="70"/>
        <v>0</v>
      </c>
      <c r="T40" s="72">
        <f t="shared" si="70"/>
        <v>0</v>
      </c>
      <c r="U40" s="72">
        <f t="shared" si="70"/>
        <v>0</v>
      </c>
      <c r="V40" s="72">
        <f t="shared" si="70"/>
        <v>0</v>
      </c>
      <c r="W40" s="72">
        <f t="shared" si="66"/>
        <v>0</v>
      </c>
      <c r="Y40" s="69">
        <v>138.86000000000001</v>
      </c>
      <c r="Z40" s="73">
        <f t="shared" si="46"/>
        <v>0</v>
      </c>
      <c r="AA40" s="73">
        <f t="shared" si="47"/>
        <v>0</v>
      </c>
      <c r="AB40" s="73">
        <f t="shared" si="48"/>
        <v>0</v>
      </c>
      <c r="AC40" s="73">
        <f t="shared" si="49"/>
        <v>0</v>
      </c>
      <c r="AD40" s="73">
        <f t="shared" si="50"/>
        <v>0</v>
      </c>
      <c r="AE40" s="73">
        <f t="shared" si="51"/>
        <v>0</v>
      </c>
      <c r="AF40" s="73">
        <f t="shared" si="52"/>
        <v>0</v>
      </c>
      <c r="AG40" s="73">
        <f t="shared" si="53"/>
        <v>0</v>
      </c>
      <c r="AH40" s="73">
        <f t="shared" si="54"/>
        <v>0</v>
      </c>
      <c r="AI40" s="73">
        <f t="shared" si="55"/>
        <v>0</v>
      </c>
      <c r="AJ40" s="73">
        <f t="shared" si="56"/>
        <v>0</v>
      </c>
      <c r="AK40" s="73">
        <f t="shared" si="57"/>
        <v>0</v>
      </c>
      <c r="AL40" s="73">
        <f t="shared" si="58"/>
        <v>0</v>
      </c>
      <c r="AM40" s="73">
        <f t="shared" si="59"/>
        <v>0</v>
      </c>
      <c r="AN40" s="73">
        <f t="shared" si="60"/>
        <v>0</v>
      </c>
      <c r="AO40" s="73">
        <f t="shared" si="61"/>
        <v>0</v>
      </c>
      <c r="AP40" s="73">
        <f t="shared" si="62"/>
        <v>0</v>
      </c>
      <c r="AQ40" s="73">
        <f t="shared" si="67"/>
        <v>0</v>
      </c>
      <c r="AR40" s="73">
        <f t="shared" si="68"/>
        <v>0</v>
      </c>
      <c r="AS40" s="73">
        <f t="shared" si="63"/>
        <v>0</v>
      </c>
      <c r="AT40" s="73">
        <f t="shared" ref="AT40:AT50" si="71">SUM(Z40:AS40)</f>
        <v>0</v>
      </c>
    </row>
    <row r="41" spans="1:48" x14ac:dyDescent="0.35">
      <c r="A41" s="71" t="s">
        <v>163</v>
      </c>
      <c r="B41" s="76" t="s">
        <v>164</v>
      </c>
      <c r="C41" s="107">
        <f t="shared" ref="C41:N41" si="72">C24-C6</f>
        <v>-4650</v>
      </c>
      <c r="D41" s="107">
        <f t="shared" si="72"/>
        <v>4516</v>
      </c>
      <c r="E41" s="107">
        <f t="shared" si="72"/>
        <v>0</v>
      </c>
      <c r="F41" s="72">
        <f t="shared" si="72"/>
        <v>134</v>
      </c>
      <c r="G41" s="72">
        <f t="shared" si="72"/>
        <v>0</v>
      </c>
      <c r="H41" s="72">
        <f t="shared" si="72"/>
        <v>0</v>
      </c>
      <c r="I41" s="72">
        <f t="shared" si="72"/>
        <v>0</v>
      </c>
      <c r="J41" s="72">
        <f t="shared" si="72"/>
        <v>0</v>
      </c>
      <c r="K41" s="72">
        <f t="shared" si="72"/>
        <v>0</v>
      </c>
      <c r="L41" s="72">
        <f t="shared" si="72"/>
        <v>0</v>
      </c>
      <c r="M41" s="72">
        <f t="shared" si="72"/>
        <v>10</v>
      </c>
      <c r="N41" s="72">
        <f t="shared" si="72"/>
        <v>0</v>
      </c>
      <c r="O41" s="72">
        <f t="shared" ref="O41:V41" si="73">O24-O6</f>
        <v>0</v>
      </c>
      <c r="P41" s="72">
        <f t="shared" si="73"/>
        <v>0</v>
      </c>
      <c r="Q41" s="72">
        <f t="shared" si="73"/>
        <v>0</v>
      </c>
      <c r="R41" s="72">
        <f t="shared" si="73"/>
        <v>0</v>
      </c>
      <c r="S41" s="72">
        <f t="shared" si="73"/>
        <v>0</v>
      </c>
      <c r="T41" s="72">
        <f t="shared" si="73"/>
        <v>0</v>
      </c>
      <c r="U41" s="72">
        <f t="shared" si="73"/>
        <v>0</v>
      </c>
      <c r="V41" s="72">
        <f t="shared" si="73"/>
        <v>0</v>
      </c>
      <c r="W41" s="72">
        <f t="shared" si="66"/>
        <v>10</v>
      </c>
      <c r="Y41" s="69">
        <v>51.43</v>
      </c>
      <c r="Z41" s="73">
        <f t="shared" si="46"/>
        <v>-239149.5</v>
      </c>
      <c r="AA41" s="73">
        <f t="shared" si="47"/>
        <v>232257.88</v>
      </c>
      <c r="AB41" s="73">
        <f t="shared" si="48"/>
        <v>0</v>
      </c>
      <c r="AC41" s="73">
        <f t="shared" si="49"/>
        <v>6891.62</v>
      </c>
      <c r="AD41" s="73">
        <f t="shared" si="50"/>
        <v>0</v>
      </c>
      <c r="AE41" s="73">
        <f t="shared" si="51"/>
        <v>0</v>
      </c>
      <c r="AF41" s="73">
        <f t="shared" si="52"/>
        <v>0</v>
      </c>
      <c r="AG41" s="73">
        <f t="shared" si="53"/>
        <v>0</v>
      </c>
      <c r="AH41" s="73">
        <f t="shared" si="54"/>
        <v>0</v>
      </c>
      <c r="AI41" s="73">
        <f t="shared" si="55"/>
        <v>0</v>
      </c>
      <c r="AJ41" s="73">
        <f t="shared" si="56"/>
        <v>514.29999999999995</v>
      </c>
      <c r="AK41" s="73">
        <f t="shared" si="57"/>
        <v>0</v>
      </c>
      <c r="AL41" s="73">
        <f t="shared" si="58"/>
        <v>0</v>
      </c>
      <c r="AM41" s="73">
        <f t="shared" si="59"/>
        <v>0</v>
      </c>
      <c r="AN41" s="73">
        <f t="shared" si="60"/>
        <v>0</v>
      </c>
      <c r="AO41" s="73">
        <f t="shared" si="61"/>
        <v>0</v>
      </c>
      <c r="AP41" s="73">
        <f t="shared" si="62"/>
        <v>0</v>
      </c>
      <c r="AQ41" s="73">
        <f t="shared" si="67"/>
        <v>0</v>
      </c>
      <c r="AR41" s="73">
        <f t="shared" si="68"/>
        <v>0</v>
      </c>
      <c r="AS41" s="73">
        <f t="shared" si="63"/>
        <v>0</v>
      </c>
      <c r="AT41" s="73">
        <f t="shared" si="71"/>
        <v>514.3000000000045</v>
      </c>
    </row>
    <row r="42" spans="1:48" x14ac:dyDescent="0.35">
      <c r="A42" s="71" t="s">
        <v>169</v>
      </c>
      <c r="B42" s="76" t="s">
        <v>170</v>
      </c>
      <c r="C42" s="107">
        <f t="shared" ref="C42:N42" si="74">C25-C7</f>
        <v>-3523</v>
      </c>
      <c r="D42" s="107">
        <f t="shared" si="74"/>
        <v>3483</v>
      </c>
      <c r="E42" s="107">
        <f t="shared" si="74"/>
        <v>-6259</v>
      </c>
      <c r="F42" s="72">
        <f t="shared" si="74"/>
        <v>-5330</v>
      </c>
      <c r="G42" s="72">
        <f t="shared" si="74"/>
        <v>0</v>
      </c>
      <c r="H42" s="72">
        <f t="shared" si="74"/>
        <v>0</v>
      </c>
      <c r="I42" s="72">
        <f t="shared" si="74"/>
        <v>0</v>
      </c>
      <c r="J42" s="72">
        <f t="shared" si="74"/>
        <v>-1894</v>
      </c>
      <c r="K42" s="72">
        <f t="shared" si="74"/>
        <v>4168</v>
      </c>
      <c r="L42" s="72">
        <f t="shared" si="74"/>
        <v>0</v>
      </c>
      <c r="M42" s="72">
        <f t="shared" si="74"/>
        <v>20</v>
      </c>
      <c r="N42" s="72">
        <f t="shared" si="74"/>
        <v>692</v>
      </c>
      <c r="O42" s="72">
        <f t="shared" ref="O42:V42" si="75">O25-O7</f>
        <v>0</v>
      </c>
      <c r="P42" s="72">
        <f t="shared" si="75"/>
        <v>0</v>
      </c>
      <c r="Q42" s="72">
        <f t="shared" si="75"/>
        <v>0</v>
      </c>
      <c r="R42" s="72">
        <f t="shared" si="75"/>
        <v>0</v>
      </c>
      <c r="S42" s="72">
        <f t="shared" si="75"/>
        <v>0</v>
      </c>
      <c r="T42" s="72">
        <f t="shared" si="75"/>
        <v>0</v>
      </c>
      <c r="U42" s="72">
        <f t="shared" si="75"/>
        <v>0</v>
      </c>
      <c r="V42" s="72">
        <f t="shared" si="75"/>
        <v>0</v>
      </c>
      <c r="W42" s="72">
        <f t="shared" si="66"/>
        <v>-8643</v>
      </c>
      <c r="Y42" s="69">
        <v>204.53</v>
      </c>
      <c r="Z42" s="73">
        <f t="shared" si="46"/>
        <v>-720559.19000000006</v>
      </c>
      <c r="AA42" s="73">
        <f t="shared" si="47"/>
        <v>712377.99</v>
      </c>
      <c r="AB42" s="73">
        <f t="shared" si="48"/>
        <v>-1280153.27</v>
      </c>
      <c r="AC42" s="73">
        <f t="shared" si="49"/>
        <v>-1090144.8999999999</v>
      </c>
      <c r="AD42" s="73">
        <f t="shared" si="50"/>
        <v>0</v>
      </c>
      <c r="AE42" s="73">
        <f t="shared" si="51"/>
        <v>0</v>
      </c>
      <c r="AF42" s="73">
        <f t="shared" si="52"/>
        <v>0</v>
      </c>
      <c r="AG42" s="73">
        <f t="shared" si="53"/>
        <v>-387379.82</v>
      </c>
      <c r="AH42" s="73">
        <f t="shared" si="54"/>
        <v>852481.04</v>
      </c>
      <c r="AI42" s="73">
        <f t="shared" si="55"/>
        <v>0</v>
      </c>
      <c r="AJ42" s="73">
        <f t="shared" si="56"/>
        <v>4090.6</v>
      </c>
      <c r="AK42" s="73">
        <f t="shared" si="57"/>
        <v>141534.76</v>
      </c>
      <c r="AL42" s="73">
        <f t="shared" si="58"/>
        <v>0</v>
      </c>
      <c r="AM42" s="73">
        <f t="shared" si="59"/>
        <v>0</v>
      </c>
      <c r="AN42" s="73">
        <f t="shared" si="60"/>
        <v>0</v>
      </c>
      <c r="AO42" s="73">
        <f t="shared" si="61"/>
        <v>0</v>
      </c>
      <c r="AP42" s="73">
        <f t="shared" si="62"/>
        <v>0</v>
      </c>
      <c r="AQ42" s="73">
        <f t="shared" si="67"/>
        <v>0</v>
      </c>
      <c r="AR42" s="73">
        <f t="shared" si="68"/>
        <v>0</v>
      </c>
      <c r="AS42" s="73">
        <f t="shared" si="63"/>
        <v>0</v>
      </c>
      <c r="AT42" s="73">
        <f t="shared" si="71"/>
        <v>-1767752.7899999998</v>
      </c>
    </row>
    <row r="43" spans="1:48" x14ac:dyDescent="0.35">
      <c r="A43" s="71" t="s">
        <v>127</v>
      </c>
      <c r="B43" s="76" t="s">
        <v>128</v>
      </c>
      <c r="C43" s="107">
        <f t="shared" ref="C43:N43" si="76">C26-C8</f>
        <v>-784</v>
      </c>
      <c r="D43" s="107">
        <f t="shared" si="76"/>
        <v>181</v>
      </c>
      <c r="E43" s="107">
        <f t="shared" si="76"/>
        <v>-427.89367800000002</v>
      </c>
      <c r="F43" s="72">
        <f t="shared" si="76"/>
        <v>603</v>
      </c>
      <c r="G43" s="72">
        <f t="shared" si="76"/>
        <v>0</v>
      </c>
      <c r="H43" s="72">
        <f t="shared" si="76"/>
        <v>0</v>
      </c>
      <c r="I43" s="72">
        <f t="shared" si="76"/>
        <v>-204</v>
      </c>
      <c r="J43" s="72">
        <f t="shared" si="76"/>
        <v>0</v>
      </c>
      <c r="K43" s="72">
        <f t="shared" si="76"/>
        <v>276</v>
      </c>
      <c r="L43" s="72">
        <f t="shared" si="76"/>
        <v>0</v>
      </c>
      <c r="M43" s="72">
        <f t="shared" si="76"/>
        <v>5</v>
      </c>
      <c r="N43" s="72">
        <f t="shared" si="76"/>
        <v>0</v>
      </c>
      <c r="O43" s="72">
        <f t="shared" ref="O43:V43" si="77">O26-O8</f>
        <v>0</v>
      </c>
      <c r="P43" s="72">
        <f t="shared" si="77"/>
        <v>0</v>
      </c>
      <c r="Q43" s="72">
        <f t="shared" si="77"/>
        <v>0</v>
      </c>
      <c r="R43" s="72">
        <f t="shared" si="77"/>
        <v>0</v>
      </c>
      <c r="S43" s="72">
        <f t="shared" si="77"/>
        <v>0</v>
      </c>
      <c r="T43" s="72">
        <f t="shared" si="77"/>
        <v>0</v>
      </c>
      <c r="U43" s="72">
        <f t="shared" si="77"/>
        <v>0</v>
      </c>
      <c r="V43" s="72">
        <f t="shared" si="77"/>
        <v>0</v>
      </c>
      <c r="W43" s="72">
        <f t="shared" si="66"/>
        <v>-350.89367799999991</v>
      </c>
      <c r="Y43" s="69">
        <v>651.83000000000004</v>
      </c>
      <c r="Z43" s="73">
        <f t="shared" si="46"/>
        <v>-511034.72000000003</v>
      </c>
      <c r="AA43" s="73">
        <f t="shared" si="47"/>
        <v>117981.23000000001</v>
      </c>
      <c r="AB43" s="73">
        <f t="shared" si="48"/>
        <v>-278913.93613074004</v>
      </c>
      <c r="AC43" s="73">
        <f t="shared" si="49"/>
        <v>393053.49000000005</v>
      </c>
      <c r="AD43" s="73">
        <f t="shared" si="50"/>
        <v>0</v>
      </c>
      <c r="AE43" s="73">
        <f t="shared" si="51"/>
        <v>0</v>
      </c>
      <c r="AF43" s="73">
        <f t="shared" si="52"/>
        <v>-132973.32</v>
      </c>
      <c r="AG43" s="73">
        <f t="shared" si="53"/>
        <v>0</v>
      </c>
      <c r="AH43" s="73">
        <f t="shared" si="54"/>
        <v>179905.08000000002</v>
      </c>
      <c r="AI43" s="73">
        <f t="shared" si="55"/>
        <v>0</v>
      </c>
      <c r="AJ43" s="73">
        <f t="shared" si="56"/>
        <v>3259.15</v>
      </c>
      <c r="AK43" s="73">
        <f t="shared" si="57"/>
        <v>0</v>
      </c>
      <c r="AL43" s="73">
        <f t="shared" si="58"/>
        <v>0</v>
      </c>
      <c r="AM43" s="73">
        <f t="shared" si="59"/>
        <v>0</v>
      </c>
      <c r="AN43" s="73">
        <f t="shared" si="60"/>
        <v>0</v>
      </c>
      <c r="AO43" s="73">
        <f t="shared" si="61"/>
        <v>0</v>
      </c>
      <c r="AP43" s="73">
        <f t="shared" si="62"/>
        <v>0</v>
      </c>
      <c r="AQ43" s="73">
        <f t="shared" si="67"/>
        <v>0</v>
      </c>
      <c r="AR43" s="73">
        <f t="shared" si="68"/>
        <v>0</v>
      </c>
      <c r="AS43" s="73">
        <f t="shared" si="63"/>
        <v>0</v>
      </c>
      <c r="AT43" s="73">
        <f t="shared" si="71"/>
        <v>-228723.02613073992</v>
      </c>
    </row>
    <row r="44" spans="1:48" x14ac:dyDescent="0.35">
      <c r="A44" s="71" t="s">
        <v>182</v>
      </c>
      <c r="B44" s="76" t="s">
        <v>183</v>
      </c>
      <c r="C44" s="107">
        <f t="shared" ref="C44:N44" si="78">C27-C9</f>
        <v>-5209</v>
      </c>
      <c r="D44" s="107">
        <f t="shared" si="78"/>
        <v>5209</v>
      </c>
      <c r="E44" s="107">
        <f t="shared" si="78"/>
        <v>-2340</v>
      </c>
      <c r="F44" s="72">
        <f t="shared" si="78"/>
        <v>0</v>
      </c>
      <c r="G44" s="72">
        <f t="shared" si="78"/>
        <v>0</v>
      </c>
      <c r="H44" s="72">
        <f t="shared" si="78"/>
        <v>1843</v>
      </c>
      <c r="I44" s="72">
        <f t="shared" si="78"/>
        <v>0</v>
      </c>
      <c r="J44" s="72">
        <f t="shared" si="78"/>
        <v>-1048</v>
      </c>
      <c r="K44" s="72">
        <f t="shared" si="78"/>
        <v>0</v>
      </c>
      <c r="L44" s="72">
        <f t="shared" si="78"/>
        <v>0</v>
      </c>
      <c r="M44" s="72">
        <f t="shared" si="78"/>
        <v>1886</v>
      </c>
      <c r="N44" s="72">
        <f t="shared" si="78"/>
        <v>0</v>
      </c>
      <c r="O44" s="72">
        <f t="shared" ref="O44:V44" si="79">O27-O9</f>
        <v>0</v>
      </c>
      <c r="P44" s="72">
        <f t="shared" si="79"/>
        <v>0</v>
      </c>
      <c r="Q44" s="72">
        <f t="shared" si="79"/>
        <v>0</v>
      </c>
      <c r="R44" s="72"/>
      <c r="S44" s="72">
        <f t="shared" si="79"/>
        <v>0</v>
      </c>
      <c r="T44" s="72">
        <f t="shared" si="79"/>
        <v>0</v>
      </c>
      <c r="U44" s="72">
        <f t="shared" si="79"/>
        <v>0</v>
      </c>
      <c r="V44" s="72">
        <f t="shared" si="79"/>
        <v>0</v>
      </c>
      <c r="W44" s="72">
        <f t="shared" si="66"/>
        <v>341</v>
      </c>
      <c r="Y44" s="69">
        <v>285.3</v>
      </c>
      <c r="Z44" s="73">
        <f t="shared" si="46"/>
        <v>-1486127.7</v>
      </c>
      <c r="AA44" s="73">
        <f t="shared" si="47"/>
        <v>1486127.7</v>
      </c>
      <c r="AB44" s="73">
        <f t="shared" si="48"/>
        <v>-667602</v>
      </c>
      <c r="AC44" s="73">
        <f t="shared" si="49"/>
        <v>0</v>
      </c>
      <c r="AD44" s="73">
        <f t="shared" si="50"/>
        <v>0</v>
      </c>
      <c r="AE44" s="73">
        <f t="shared" si="51"/>
        <v>525807.9</v>
      </c>
      <c r="AF44" s="73">
        <f t="shared" si="52"/>
        <v>0</v>
      </c>
      <c r="AG44" s="73">
        <f t="shared" si="53"/>
        <v>-298994.40000000002</v>
      </c>
      <c r="AH44" s="73">
        <f t="shared" si="54"/>
        <v>0</v>
      </c>
      <c r="AI44" s="73">
        <f t="shared" si="55"/>
        <v>0</v>
      </c>
      <c r="AJ44" s="73">
        <f t="shared" si="56"/>
        <v>538075.80000000005</v>
      </c>
      <c r="AK44" s="73">
        <f t="shared" si="57"/>
        <v>0</v>
      </c>
      <c r="AL44" s="73">
        <f t="shared" si="58"/>
        <v>0</v>
      </c>
      <c r="AM44" s="73">
        <f t="shared" si="59"/>
        <v>0</v>
      </c>
      <c r="AN44" s="73">
        <f t="shared" si="60"/>
        <v>0</v>
      </c>
      <c r="AO44" s="73">
        <f t="shared" si="61"/>
        <v>0</v>
      </c>
      <c r="AP44" s="73">
        <f t="shared" si="62"/>
        <v>0</v>
      </c>
      <c r="AQ44" s="73">
        <f t="shared" si="67"/>
        <v>0</v>
      </c>
      <c r="AR44" s="73">
        <f t="shared" si="68"/>
        <v>0</v>
      </c>
      <c r="AS44" s="73">
        <f t="shared" si="63"/>
        <v>0</v>
      </c>
      <c r="AT44" s="73">
        <f t="shared" si="71"/>
        <v>97287.300000000047</v>
      </c>
      <c r="AV44" s="88"/>
    </row>
    <row r="45" spans="1:48" x14ac:dyDescent="0.35">
      <c r="A45" s="71" t="s">
        <v>188</v>
      </c>
      <c r="B45" s="76" t="s">
        <v>189</v>
      </c>
      <c r="C45" s="107">
        <f t="shared" ref="C45:N45" si="80">C28-C10</f>
        <v>0</v>
      </c>
      <c r="D45" s="107">
        <f t="shared" si="80"/>
        <v>0</v>
      </c>
      <c r="E45" s="107">
        <f t="shared" si="80"/>
        <v>0</v>
      </c>
      <c r="F45" s="72">
        <f t="shared" si="80"/>
        <v>0</v>
      </c>
      <c r="G45" s="72">
        <f t="shared" si="80"/>
        <v>0</v>
      </c>
      <c r="H45" s="72">
        <f t="shared" si="80"/>
        <v>1</v>
      </c>
      <c r="I45" s="72">
        <f t="shared" si="80"/>
        <v>0</v>
      </c>
      <c r="J45" s="72">
        <f t="shared" si="80"/>
        <v>-1870</v>
      </c>
      <c r="K45" s="72">
        <f t="shared" si="80"/>
        <v>0</v>
      </c>
      <c r="L45" s="72">
        <f t="shared" si="80"/>
        <v>0</v>
      </c>
      <c r="M45" s="72">
        <f t="shared" si="80"/>
        <v>0</v>
      </c>
      <c r="N45" s="72">
        <f t="shared" si="80"/>
        <v>0</v>
      </c>
      <c r="O45" s="72">
        <f t="shared" ref="O45:V45" si="81">O28-O10</f>
        <v>0</v>
      </c>
      <c r="P45" s="72">
        <f t="shared" si="81"/>
        <v>0</v>
      </c>
      <c r="Q45" s="72">
        <f t="shared" si="81"/>
        <v>0</v>
      </c>
      <c r="R45" s="72">
        <f t="shared" si="81"/>
        <v>0</v>
      </c>
      <c r="S45" s="72">
        <f t="shared" si="81"/>
        <v>0</v>
      </c>
      <c r="T45" s="72">
        <f t="shared" si="81"/>
        <v>0</v>
      </c>
      <c r="U45" s="72">
        <f t="shared" si="81"/>
        <v>0</v>
      </c>
      <c r="V45" s="72">
        <f t="shared" si="81"/>
        <v>0</v>
      </c>
      <c r="W45" s="72">
        <f t="shared" si="66"/>
        <v>-1869</v>
      </c>
      <c r="Y45" s="69">
        <v>34.06</v>
      </c>
      <c r="Z45" s="73">
        <f t="shared" si="46"/>
        <v>0</v>
      </c>
      <c r="AA45" s="73">
        <f t="shared" si="47"/>
        <v>0</v>
      </c>
      <c r="AB45" s="73">
        <f t="shared" si="48"/>
        <v>0</v>
      </c>
      <c r="AC45" s="73">
        <f t="shared" si="49"/>
        <v>0</v>
      </c>
      <c r="AD45" s="73">
        <f t="shared" si="50"/>
        <v>0</v>
      </c>
      <c r="AE45" s="73">
        <f t="shared" si="51"/>
        <v>34.06</v>
      </c>
      <c r="AF45" s="73">
        <f t="shared" si="52"/>
        <v>0</v>
      </c>
      <c r="AG45" s="73">
        <f t="shared" si="53"/>
        <v>-63692.200000000004</v>
      </c>
      <c r="AH45" s="73">
        <f t="shared" si="54"/>
        <v>0</v>
      </c>
      <c r="AI45" s="73">
        <f t="shared" si="55"/>
        <v>0</v>
      </c>
      <c r="AJ45" s="73">
        <f t="shared" si="56"/>
        <v>0</v>
      </c>
      <c r="AK45" s="73">
        <f t="shared" si="57"/>
        <v>0</v>
      </c>
      <c r="AL45" s="73">
        <f t="shared" si="58"/>
        <v>0</v>
      </c>
      <c r="AM45" s="73">
        <f t="shared" si="59"/>
        <v>0</v>
      </c>
      <c r="AN45" s="73">
        <f t="shared" si="60"/>
        <v>0</v>
      </c>
      <c r="AO45" s="73">
        <f t="shared" si="61"/>
        <v>0</v>
      </c>
      <c r="AP45" s="73">
        <f t="shared" si="62"/>
        <v>0</v>
      </c>
      <c r="AQ45" s="73">
        <f t="shared" si="67"/>
        <v>0</v>
      </c>
      <c r="AR45" s="73">
        <f t="shared" si="68"/>
        <v>0</v>
      </c>
      <c r="AS45" s="73">
        <f t="shared" si="63"/>
        <v>0</v>
      </c>
      <c r="AT45" s="73">
        <f t="shared" si="71"/>
        <v>-63658.140000000007</v>
      </c>
    </row>
    <row r="46" spans="1:48" x14ac:dyDescent="0.35">
      <c r="A46" s="71" t="s">
        <v>193</v>
      </c>
      <c r="B46" s="76" t="s">
        <v>194</v>
      </c>
      <c r="C46" s="107">
        <f t="shared" ref="C46:N46" si="82">C29-C11</f>
        <v>-1079</v>
      </c>
      <c r="D46" s="107">
        <f t="shared" si="82"/>
        <v>1079</v>
      </c>
      <c r="E46" s="107">
        <f t="shared" si="82"/>
        <v>-5597</v>
      </c>
      <c r="F46" s="72">
        <f t="shared" si="82"/>
        <v>0</v>
      </c>
      <c r="G46" s="72">
        <f t="shared" si="82"/>
        <v>0</v>
      </c>
      <c r="H46" s="72">
        <f t="shared" si="82"/>
        <v>2461</v>
      </c>
      <c r="I46" s="72">
        <f t="shared" si="82"/>
        <v>0</v>
      </c>
      <c r="J46" s="72">
        <f t="shared" si="82"/>
        <v>0</v>
      </c>
      <c r="K46" s="72">
        <f t="shared" si="82"/>
        <v>0</v>
      </c>
      <c r="L46" s="72">
        <f t="shared" si="82"/>
        <v>0</v>
      </c>
      <c r="M46" s="72">
        <f t="shared" si="82"/>
        <v>70</v>
      </c>
      <c r="N46" s="72">
        <f t="shared" si="82"/>
        <v>0</v>
      </c>
      <c r="O46" s="72">
        <f t="shared" ref="O46:V46" si="83">O29-O11</f>
        <v>0</v>
      </c>
      <c r="P46" s="72">
        <f t="shared" si="83"/>
        <v>0</v>
      </c>
      <c r="Q46" s="72">
        <f t="shared" si="83"/>
        <v>0</v>
      </c>
      <c r="R46" s="72">
        <f t="shared" si="83"/>
        <v>0</v>
      </c>
      <c r="S46" s="72">
        <f t="shared" si="83"/>
        <v>0</v>
      </c>
      <c r="T46" s="72">
        <f t="shared" si="83"/>
        <v>0</v>
      </c>
      <c r="U46" s="72">
        <f t="shared" si="83"/>
        <v>0</v>
      </c>
      <c r="V46" s="72">
        <f t="shared" si="83"/>
        <v>0</v>
      </c>
      <c r="W46" s="72">
        <f t="shared" si="66"/>
        <v>-3066</v>
      </c>
      <c r="Y46" s="69">
        <v>70.63</v>
      </c>
      <c r="Z46" s="73">
        <f t="shared" si="46"/>
        <v>-76209.76999999999</v>
      </c>
      <c r="AA46" s="73">
        <f t="shared" si="47"/>
        <v>76209.76999999999</v>
      </c>
      <c r="AB46" s="73">
        <f t="shared" si="48"/>
        <v>-395316.11</v>
      </c>
      <c r="AC46" s="73">
        <f t="shared" si="49"/>
        <v>0</v>
      </c>
      <c r="AD46" s="73">
        <f t="shared" si="50"/>
        <v>0</v>
      </c>
      <c r="AE46" s="73">
        <f t="shared" si="51"/>
        <v>173820.43</v>
      </c>
      <c r="AF46" s="73">
        <f t="shared" si="52"/>
        <v>0</v>
      </c>
      <c r="AG46" s="73">
        <f t="shared" si="53"/>
        <v>0</v>
      </c>
      <c r="AH46" s="73">
        <f t="shared" si="54"/>
        <v>0</v>
      </c>
      <c r="AI46" s="73">
        <f t="shared" si="55"/>
        <v>0</v>
      </c>
      <c r="AJ46" s="73">
        <f t="shared" si="56"/>
        <v>4944.0999999999995</v>
      </c>
      <c r="AK46" s="73">
        <f t="shared" si="57"/>
        <v>0</v>
      </c>
      <c r="AL46" s="73">
        <f t="shared" si="58"/>
        <v>0</v>
      </c>
      <c r="AM46" s="73">
        <f t="shared" si="59"/>
        <v>0</v>
      </c>
      <c r="AN46" s="73">
        <f t="shared" si="60"/>
        <v>0</v>
      </c>
      <c r="AO46" s="73">
        <f t="shared" si="61"/>
        <v>0</v>
      </c>
      <c r="AP46" s="73">
        <f t="shared" si="62"/>
        <v>0</v>
      </c>
      <c r="AQ46" s="73">
        <f t="shared" si="67"/>
        <v>0</v>
      </c>
      <c r="AR46" s="73">
        <f t="shared" si="68"/>
        <v>0</v>
      </c>
      <c r="AS46" s="73">
        <f t="shared" si="63"/>
        <v>0</v>
      </c>
      <c r="AT46" s="73">
        <f t="shared" si="71"/>
        <v>-216551.58</v>
      </c>
    </row>
    <row r="47" spans="1:48" x14ac:dyDescent="0.35">
      <c r="A47" s="71" t="s">
        <v>197</v>
      </c>
      <c r="B47" s="76" t="s">
        <v>198</v>
      </c>
      <c r="C47" s="107">
        <f t="shared" ref="C47:N47" si="84">C30-C12</f>
        <v>0</v>
      </c>
      <c r="D47" s="107">
        <f t="shared" si="84"/>
        <v>0</v>
      </c>
      <c r="E47" s="107">
        <f t="shared" si="84"/>
        <v>-3020</v>
      </c>
      <c r="F47" s="72">
        <f t="shared" si="84"/>
        <v>0</v>
      </c>
      <c r="G47" s="72">
        <f t="shared" si="84"/>
        <v>0</v>
      </c>
      <c r="H47" s="72">
        <f t="shared" si="84"/>
        <v>3343</v>
      </c>
      <c r="I47" s="72">
        <f t="shared" si="84"/>
        <v>-1501</v>
      </c>
      <c r="J47" s="72">
        <f t="shared" si="84"/>
        <v>-2892.0973899999999</v>
      </c>
      <c r="K47" s="72">
        <f t="shared" si="84"/>
        <v>3775</v>
      </c>
      <c r="L47" s="72">
        <f t="shared" si="84"/>
        <v>0</v>
      </c>
      <c r="M47" s="72">
        <f t="shared" si="84"/>
        <v>5432</v>
      </c>
      <c r="N47" s="72">
        <f t="shared" si="84"/>
        <v>0</v>
      </c>
      <c r="O47" s="72">
        <f t="shared" ref="O47:V47" si="85">O30-O12</f>
        <v>0</v>
      </c>
      <c r="P47" s="72">
        <f t="shared" si="85"/>
        <v>0</v>
      </c>
      <c r="Q47" s="72">
        <f t="shared" si="85"/>
        <v>0</v>
      </c>
      <c r="R47" s="72">
        <f t="shared" si="85"/>
        <v>0</v>
      </c>
      <c r="S47" s="72">
        <f t="shared" si="85"/>
        <v>3077</v>
      </c>
      <c r="T47" s="72">
        <f t="shared" si="85"/>
        <v>0</v>
      </c>
      <c r="U47" s="72">
        <f t="shared" si="85"/>
        <v>0</v>
      </c>
      <c r="V47" s="72">
        <f t="shared" si="85"/>
        <v>0</v>
      </c>
      <c r="W47" s="72">
        <f t="shared" si="66"/>
        <v>8213.902610000001</v>
      </c>
      <c r="Y47" s="69">
        <v>74.47</v>
      </c>
      <c r="Z47" s="73">
        <f t="shared" si="46"/>
        <v>0</v>
      </c>
      <c r="AA47" s="73">
        <f t="shared" si="47"/>
        <v>0</v>
      </c>
      <c r="AB47" s="73">
        <f t="shared" si="48"/>
        <v>-224899.4</v>
      </c>
      <c r="AC47" s="73">
        <f t="shared" si="49"/>
        <v>0</v>
      </c>
      <c r="AD47" s="73">
        <f t="shared" si="50"/>
        <v>0</v>
      </c>
      <c r="AE47" s="73">
        <f t="shared" si="51"/>
        <v>248953.21</v>
      </c>
      <c r="AF47" s="73">
        <f t="shared" si="52"/>
        <v>-111779.47</v>
      </c>
      <c r="AG47" s="73">
        <f t="shared" si="53"/>
        <v>-215374.49263329999</v>
      </c>
      <c r="AH47" s="73">
        <f t="shared" si="54"/>
        <v>281124.25</v>
      </c>
      <c r="AI47" s="73">
        <f t="shared" si="55"/>
        <v>0</v>
      </c>
      <c r="AJ47" s="73">
        <f t="shared" si="56"/>
        <v>404521.04</v>
      </c>
      <c r="AK47" s="73">
        <f t="shared" si="57"/>
        <v>0</v>
      </c>
      <c r="AL47" s="73">
        <f t="shared" si="58"/>
        <v>0</v>
      </c>
      <c r="AM47" s="73">
        <f t="shared" si="59"/>
        <v>0</v>
      </c>
      <c r="AN47" s="73">
        <f>$Y47*Q47</f>
        <v>0</v>
      </c>
      <c r="AO47" s="73">
        <f t="shared" si="61"/>
        <v>0</v>
      </c>
      <c r="AP47" s="73">
        <f t="shared" si="62"/>
        <v>229144.19</v>
      </c>
      <c r="AQ47" s="73">
        <f t="shared" si="67"/>
        <v>0</v>
      </c>
      <c r="AR47" s="73">
        <f t="shared" si="68"/>
        <v>0</v>
      </c>
      <c r="AS47" s="73">
        <f t="shared" si="63"/>
        <v>0</v>
      </c>
      <c r="AT47" s="73">
        <f t="shared" si="71"/>
        <v>611689.32736669993</v>
      </c>
      <c r="AU47" s="148"/>
      <c r="AV47" s="88"/>
    </row>
    <row r="48" spans="1:48" x14ac:dyDescent="0.35">
      <c r="A48" s="71" t="s">
        <v>133</v>
      </c>
      <c r="B48" s="76" t="s">
        <v>134</v>
      </c>
      <c r="C48" s="107">
        <f t="shared" ref="C48:N48" si="86">C31-C13</f>
        <v>-3333</v>
      </c>
      <c r="D48" s="107">
        <f t="shared" si="86"/>
        <v>0</v>
      </c>
      <c r="E48" s="107">
        <f t="shared" si="86"/>
        <v>0</v>
      </c>
      <c r="F48" s="72">
        <f t="shared" si="86"/>
        <v>3333</v>
      </c>
      <c r="G48" s="72">
        <f t="shared" si="86"/>
        <v>0</v>
      </c>
      <c r="H48" s="72">
        <f t="shared" si="86"/>
        <v>0</v>
      </c>
      <c r="I48" s="72">
        <f t="shared" si="86"/>
        <v>0</v>
      </c>
      <c r="J48" s="72">
        <f t="shared" si="86"/>
        <v>0</v>
      </c>
      <c r="K48" s="72">
        <f t="shared" si="86"/>
        <v>0</v>
      </c>
      <c r="L48" s="72">
        <f t="shared" si="86"/>
        <v>0</v>
      </c>
      <c r="M48" s="72">
        <f t="shared" si="86"/>
        <v>0</v>
      </c>
      <c r="N48" s="72">
        <f t="shared" si="86"/>
        <v>0</v>
      </c>
      <c r="O48" s="72">
        <f t="shared" ref="O48:V48" si="87">O31-O13</f>
        <v>0</v>
      </c>
      <c r="P48" s="72">
        <f t="shared" si="87"/>
        <v>0</v>
      </c>
      <c r="Q48" s="72">
        <f t="shared" si="87"/>
        <v>0</v>
      </c>
      <c r="R48" s="72">
        <f t="shared" si="87"/>
        <v>0</v>
      </c>
      <c r="S48" s="72">
        <f t="shared" si="87"/>
        <v>0</v>
      </c>
      <c r="T48" s="72">
        <f t="shared" si="87"/>
        <v>0</v>
      </c>
      <c r="U48" s="72">
        <f t="shared" si="87"/>
        <v>0</v>
      </c>
      <c r="V48" s="72">
        <f t="shared" si="87"/>
        <v>0</v>
      </c>
      <c r="W48" s="72">
        <f t="shared" si="66"/>
        <v>0</v>
      </c>
      <c r="Y48" s="69">
        <v>170.81</v>
      </c>
      <c r="Z48" s="73">
        <f t="shared" si="46"/>
        <v>-569309.73</v>
      </c>
      <c r="AA48" s="73">
        <f t="shared" si="47"/>
        <v>0</v>
      </c>
      <c r="AB48" s="73">
        <f t="shared" si="48"/>
        <v>0</v>
      </c>
      <c r="AC48" s="73">
        <f t="shared" si="49"/>
        <v>569309.73</v>
      </c>
      <c r="AD48" s="73">
        <f t="shared" si="50"/>
        <v>0</v>
      </c>
      <c r="AE48" s="73">
        <f t="shared" si="51"/>
        <v>0</v>
      </c>
      <c r="AF48" s="73">
        <f t="shared" si="52"/>
        <v>0</v>
      </c>
      <c r="AG48" s="73">
        <f t="shared" si="53"/>
        <v>0</v>
      </c>
      <c r="AH48" s="73">
        <f t="shared" si="54"/>
        <v>0</v>
      </c>
      <c r="AI48" s="73">
        <f t="shared" si="55"/>
        <v>0</v>
      </c>
      <c r="AJ48" s="73">
        <f t="shared" si="56"/>
        <v>0</v>
      </c>
      <c r="AK48" s="73">
        <f t="shared" si="57"/>
        <v>0</v>
      </c>
      <c r="AL48" s="73">
        <f t="shared" si="58"/>
        <v>0</v>
      </c>
      <c r="AM48" s="73">
        <f t="shared" si="59"/>
        <v>0</v>
      </c>
      <c r="AN48" s="73">
        <f t="shared" si="60"/>
        <v>0</v>
      </c>
      <c r="AO48" s="73">
        <f t="shared" si="61"/>
        <v>0</v>
      </c>
      <c r="AP48" s="73">
        <f t="shared" si="62"/>
        <v>0</v>
      </c>
      <c r="AQ48" s="73">
        <f t="shared" si="67"/>
        <v>0</v>
      </c>
      <c r="AR48" s="73">
        <f t="shared" si="68"/>
        <v>0</v>
      </c>
      <c r="AS48" s="73">
        <f t="shared" si="63"/>
        <v>0</v>
      </c>
      <c r="AT48" s="73">
        <f t="shared" si="71"/>
        <v>0</v>
      </c>
    </row>
    <row r="49" spans="1:46" x14ac:dyDescent="0.35">
      <c r="A49" s="71" t="s">
        <v>205</v>
      </c>
      <c r="B49" s="76" t="s">
        <v>206</v>
      </c>
      <c r="C49" s="107">
        <f t="shared" ref="C49:N49" si="88">C32-C14</f>
        <v>0</v>
      </c>
      <c r="D49" s="107">
        <f t="shared" si="88"/>
        <v>0</v>
      </c>
      <c r="E49" s="107">
        <f t="shared" si="88"/>
        <v>-2635.7766680000004</v>
      </c>
      <c r="F49" s="72">
        <f t="shared" si="88"/>
        <v>-1047</v>
      </c>
      <c r="G49" s="72">
        <f t="shared" si="88"/>
        <v>0</v>
      </c>
      <c r="H49" s="72">
        <f t="shared" si="88"/>
        <v>2290</v>
      </c>
      <c r="I49" s="72">
        <f t="shared" si="88"/>
        <v>841</v>
      </c>
      <c r="J49" s="72">
        <f t="shared" si="88"/>
        <v>0</v>
      </c>
      <c r="K49" s="72">
        <f t="shared" si="88"/>
        <v>0</v>
      </c>
      <c r="L49" s="72">
        <f t="shared" si="88"/>
        <v>0</v>
      </c>
      <c r="M49" s="72">
        <f t="shared" si="88"/>
        <v>0</v>
      </c>
      <c r="N49" s="72">
        <f t="shared" si="88"/>
        <v>0</v>
      </c>
      <c r="O49" s="72">
        <f t="shared" ref="O49:V49" si="89">O32-O14</f>
        <v>0</v>
      </c>
      <c r="P49" s="72">
        <f t="shared" si="89"/>
        <v>56</v>
      </c>
      <c r="Q49" s="72">
        <f t="shared" si="89"/>
        <v>0</v>
      </c>
      <c r="R49" s="72">
        <f t="shared" si="89"/>
        <v>0</v>
      </c>
      <c r="S49" s="72">
        <f t="shared" si="89"/>
        <v>534</v>
      </c>
      <c r="T49" s="72">
        <f t="shared" si="89"/>
        <v>0</v>
      </c>
      <c r="U49" s="72">
        <f t="shared" si="89"/>
        <v>0</v>
      </c>
      <c r="V49" s="72">
        <f t="shared" si="89"/>
        <v>514</v>
      </c>
      <c r="W49" s="72">
        <f t="shared" si="66"/>
        <v>552.22333199999957</v>
      </c>
      <c r="Y49" s="69">
        <v>512.42999999999995</v>
      </c>
      <c r="Z49" s="73">
        <f t="shared" si="46"/>
        <v>0</v>
      </c>
      <c r="AA49" s="73">
        <f t="shared" si="47"/>
        <v>0</v>
      </c>
      <c r="AB49" s="73">
        <f t="shared" si="48"/>
        <v>-1350651.0379832401</v>
      </c>
      <c r="AC49" s="73">
        <f t="shared" si="49"/>
        <v>-536514.21</v>
      </c>
      <c r="AD49" s="73">
        <f t="shared" si="50"/>
        <v>0</v>
      </c>
      <c r="AE49" s="73">
        <f t="shared" si="51"/>
        <v>1173464.7</v>
      </c>
      <c r="AF49" s="73">
        <f t="shared" si="52"/>
        <v>430953.62999999995</v>
      </c>
      <c r="AG49" s="73">
        <f t="shared" si="53"/>
        <v>0</v>
      </c>
      <c r="AH49" s="73">
        <f t="shared" si="54"/>
        <v>0</v>
      </c>
      <c r="AI49" s="73">
        <f t="shared" si="55"/>
        <v>0</v>
      </c>
      <c r="AJ49" s="73">
        <f t="shared" si="56"/>
        <v>0</v>
      </c>
      <c r="AK49" s="73">
        <f t="shared" si="57"/>
        <v>0</v>
      </c>
      <c r="AL49" s="73">
        <f t="shared" si="58"/>
        <v>0</v>
      </c>
      <c r="AM49" s="73">
        <f t="shared" si="59"/>
        <v>28696.079999999998</v>
      </c>
      <c r="AN49" s="73">
        <f t="shared" si="60"/>
        <v>0</v>
      </c>
      <c r="AO49" s="73">
        <f t="shared" si="61"/>
        <v>0</v>
      </c>
      <c r="AP49" s="73">
        <f t="shared" si="62"/>
        <v>273637.62</v>
      </c>
      <c r="AQ49" s="73">
        <f t="shared" si="67"/>
        <v>0</v>
      </c>
      <c r="AR49" s="73">
        <f t="shared" si="68"/>
        <v>0</v>
      </c>
      <c r="AS49" s="73">
        <f t="shared" si="63"/>
        <v>263389.01999999996</v>
      </c>
      <c r="AT49" s="73">
        <f t="shared" si="71"/>
        <v>282975.80201675976</v>
      </c>
    </row>
    <row r="50" spans="1:46" x14ac:dyDescent="0.35">
      <c r="A50" s="71" t="s">
        <v>207</v>
      </c>
      <c r="B50" s="76" t="s">
        <v>208</v>
      </c>
      <c r="C50" s="107">
        <f t="shared" ref="C50:N50" si="90">C33-C15</f>
        <v>-1905</v>
      </c>
      <c r="D50" s="107">
        <f t="shared" si="90"/>
        <v>-20262.250573000001</v>
      </c>
      <c r="E50" s="107">
        <f t="shared" si="90"/>
        <v>0</v>
      </c>
      <c r="F50" s="72">
        <f t="shared" si="90"/>
        <v>1654</v>
      </c>
      <c r="G50" s="72">
        <f t="shared" si="90"/>
        <v>19081</v>
      </c>
      <c r="H50" s="72">
        <f t="shared" si="90"/>
        <v>0</v>
      </c>
      <c r="I50" s="72">
        <f t="shared" si="90"/>
        <v>0</v>
      </c>
      <c r="J50" s="72">
        <f t="shared" si="90"/>
        <v>0</v>
      </c>
      <c r="K50" s="72">
        <f t="shared" si="90"/>
        <v>0</v>
      </c>
      <c r="L50" s="72">
        <f t="shared" si="90"/>
        <v>0</v>
      </c>
      <c r="M50" s="72">
        <f t="shared" si="90"/>
        <v>0</v>
      </c>
      <c r="N50" s="72">
        <f t="shared" si="90"/>
        <v>0</v>
      </c>
      <c r="O50" s="72">
        <f t="shared" ref="O50:V50" si="91">O33-O15</f>
        <v>0</v>
      </c>
      <c r="P50" s="72">
        <f t="shared" si="91"/>
        <v>0</v>
      </c>
      <c r="Q50" s="72">
        <f t="shared" si="91"/>
        <v>0</v>
      </c>
      <c r="R50" s="72">
        <f t="shared" si="91"/>
        <v>0</v>
      </c>
      <c r="S50" s="72">
        <f t="shared" si="91"/>
        <v>0</v>
      </c>
      <c r="T50" s="72">
        <f t="shared" si="91"/>
        <v>0</v>
      </c>
      <c r="U50" s="72">
        <f t="shared" si="91"/>
        <v>0</v>
      </c>
      <c r="V50" s="72">
        <f t="shared" si="91"/>
        <v>0</v>
      </c>
      <c r="W50" s="72">
        <f t="shared" si="66"/>
        <v>-1432.2505730000012</v>
      </c>
      <c r="Y50" s="69">
        <v>256.20999999999998</v>
      </c>
      <c r="Z50" s="73">
        <f t="shared" si="46"/>
        <v>-488080.05</v>
      </c>
      <c r="AA50" s="73">
        <f t="shared" si="47"/>
        <v>-5191391.2193083297</v>
      </c>
      <c r="AB50" s="73">
        <f t="shared" si="48"/>
        <v>0</v>
      </c>
      <c r="AC50" s="73">
        <f t="shared" si="49"/>
        <v>423771.33999999997</v>
      </c>
      <c r="AD50" s="73">
        <f t="shared" si="50"/>
        <v>4888743.01</v>
      </c>
      <c r="AE50" s="73">
        <f t="shared" si="51"/>
        <v>0</v>
      </c>
      <c r="AF50" s="73">
        <f t="shared" si="52"/>
        <v>0</v>
      </c>
      <c r="AG50" s="73">
        <f t="shared" si="53"/>
        <v>0</v>
      </c>
      <c r="AH50" s="73">
        <f t="shared" si="54"/>
        <v>0</v>
      </c>
      <c r="AI50" s="73">
        <f t="shared" si="55"/>
        <v>0</v>
      </c>
      <c r="AJ50" s="73">
        <f t="shared" si="56"/>
        <v>0</v>
      </c>
      <c r="AK50" s="73">
        <f t="shared" si="57"/>
        <v>0</v>
      </c>
      <c r="AL50" s="73">
        <f t="shared" si="58"/>
        <v>0</v>
      </c>
      <c r="AM50" s="73">
        <f t="shared" si="59"/>
        <v>0</v>
      </c>
      <c r="AN50" s="73">
        <f t="shared" si="60"/>
        <v>0</v>
      </c>
      <c r="AO50" s="73">
        <f t="shared" si="61"/>
        <v>0</v>
      </c>
      <c r="AP50" s="73">
        <f t="shared" si="62"/>
        <v>0</v>
      </c>
      <c r="AQ50" s="73">
        <f t="shared" si="67"/>
        <v>0</v>
      </c>
      <c r="AR50" s="73">
        <f t="shared" si="68"/>
        <v>0</v>
      </c>
      <c r="AS50" s="73">
        <f t="shared" si="63"/>
        <v>0</v>
      </c>
      <c r="AT50" s="73">
        <f t="shared" si="71"/>
        <v>-366956.91930832993</v>
      </c>
    </row>
    <row r="51" spans="1:46" ht="21" x14ac:dyDescent="0.5">
      <c r="W51" s="74">
        <f>SUM(W38:W50)</f>
        <v>-10490.018309000001</v>
      </c>
      <c r="AT51" s="78">
        <f>SUM(AT38:AT50)</f>
        <v>-1940540.6260556099</v>
      </c>
    </row>
    <row r="54" spans="1:46" x14ac:dyDescent="0.35">
      <c r="AH54" s="88"/>
    </row>
  </sheetData>
  <mergeCells count="9">
    <mergeCell ref="A36:B36"/>
    <mergeCell ref="C36:W36"/>
    <mergeCell ref="Z36:AT36"/>
    <mergeCell ref="Z1:AT1"/>
    <mergeCell ref="A1:B1"/>
    <mergeCell ref="C1:W1"/>
    <mergeCell ref="A19:B19"/>
    <mergeCell ref="C19:W19"/>
    <mergeCell ref="Z19:AT19"/>
  </mergeCells>
  <conditionalFormatting sqref="AT38:AT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A673-90BE-4B2C-A84F-89989FEA7A7D}">
  <sheetPr codeName="Planilha16"/>
  <dimension ref="A1:AQ234"/>
  <sheetViews>
    <sheetView showGridLines="0" topLeftCell="B1" zoomScale="90" zoomScaleNormal="90" workbookViewId="0">
      <pane xSplit="10" ySplit="5" topLeftCell="L207" activePane="bottomRight" state="frozen"/>
      <selection activeCell="B1" sqref="B1"/>
      <selection pane="topRight" activeCell="L1" sqref="L1"/>
      <selection pane="bottomLeft" activeCell="B6" sqref="B6"/>
      <selection pane="bottomRight" activeCell="X224" sqref="X224"/>
    </sheetView>
  </sheetViews>
  <sheetFormatPr defaultColWidth="9.08984375" defaultRowHeight="12.5" x14ac:dyDescent="0.25"/>
  <cols>
    <col min="1" max="1" width="1.6328125" style="1" customWidth="1"/>
    <col min="2" max="2" width="11.453125" style="3" bestFit="1" customWidth="1"/>
    <col min="3" max="3" width="41.90625" style="3" bestFit="1" customWidth="1"/>
    <col min="4" max="4" width="11.6328125" style="3" bestFit="1" customWidth="1"/>
    <col min="5" max="5" width="10.90625" style="3" bestFit="1" customWidth="1"/>
    <col min="6" max="6" width="13.90625" style="3" bestFit="1" customWidth="1"/>
    <col min="7" max="7" width="11.54296875" style="3" bestFit="1" customWidth="1"/>
    <col min="8" max="8" width="8.54296875" style="3" bestFit="1" customWidth="1"/>
    <col min="9" max="9" width="10.6328125" style="2" bestFit="1" customWidth="1"/>
    <col min="10" max="10" width="14.90625" style="2" customWidth="1"/>
    <col min="11" max="11" width="21.453125" style="2" bestFit="1" customWidth="1"/>
    <col min="12" max="12" width="1.6328125" style="1" customWidth="1"/>
    <col min="13" max="14" width="9.08984375" style="1" hidden="1" customWidth="1"/>
    <col min="15" max="16" width="10.08984375" style="1" hidden="1" customWidth="1"/>
    <col min="17" max="18" width="9.08984375" style="1" hidden="1" customWidth="1"/>
    <col min="19" max="19" width="8.36328125" style="1" hidden="1" customWidth="1"/>
    <col min="20" max="21" width="6.90625" style="1" bestFit="1" customWidth="1"/>
    <col min="22" max="22" width="7.90625" style="1" bestFit="1" customWidth="1"/>
    <col min="23" max="25" width="6.90625" style="1" bestFit="1" customWidth="1"/>
    <col min="26" max="26" width="8.90625" style="1" bestFit="1" customWidth="1"/>
    <col min="27" max="31" width="10.08984375" style="1" bestFit="1" customWidth="1"/>
    <col min="32" max="33" width="9.453125" style="1" bestFit="1" customWidth="1"/>
    <col min="34" max="43" width="10.08984375" style="1" bestFit="1" customWidth="1"/>
    <col min="44" max="16384" width="9.08984375" style="1"/>
  </cols>
  <sheetData>
    <row r="1" spans="1:43" x14ac:dyDescent="0.25">
      <c r="R1" s="19"/>
    </row>
    <row r="2" spans="1:43" ht="14.5" x14ac:dyDescent="0.35">
      <c r="B2" s="304" t="s">
        <v>29</v>
      </c>
      <c r="C2" s="304"/>
      <c r="D2" s="304"/>
      <c r="E2" s="304"/>
      <c r="F2" s="304"/>
      <c r="G2" s="304"/>
      <c r="H2" s="304"/>
      <c r="I2" s="304"/>
      <c r="J2" s="304"/>
      <c r="K2" s="304"/>
      <c r="M2" s="13" t="s">
        <v>16</v>
      </c>
      <c r="N2" s="13"/>
      <c r="O2" s="36">
        <v>43957</v>
      </c>
      <c r="Q2" s="19"/>
    </row>
    <row r="3" spans="1:43" ht="13" thickBot="1" x14ac:dyDescent="0.3">
      <c r="M3" s="19"/>
      <c r="N3" s="19"/>
      <c r="O3" s="19"/>
      <c r="P3" s="19"/>
      <c r="Q3" s="19"/>
      <c r="R3" s="19"/>
      <c r="AA3" s="60">
        <v>43890</v>
      </c>
      <c r="AB3" s="60">
        <v>43921</v>
      </c>
      <c r="AC3" s="60">
        <v>43951</v>
      </c>
      <c r="AD3" s="60">
        <v>43982</v>
      </c>
      <c r="AE3" s="60">
        <v>44012</v>
      </c>
      <c r="AF3" s="60">
        <v>44042</v>
      </c>
      <c r="AG3" s="60">
        <v>44073</v>
      </c>
      <c r="AH3" s="60">
        <v>44104</v>
      </c>
      <c r="AI3" s="60">
        <v>44134</v>
      </c>
      <c r="AJ3" s="60">
        <v>44165</v>
      </c>
      <c r="AK3" s="60">
        <v>44195</v>
      </c>
    </row>
    <row r="4" spans="1:43" ht="13" x14ac:dyDescent="0.25">
      <c r="B4" s="311" t="s">
        <v>4</v>
      </c>
      <c r="C4" s="315" t="s">
        <v>3</v>
      </c>
      <c r="D4" s="315" t="s">
        <v>23</v>
      </c>
      <c r="E4" s="315" t="s">
        <v>2</v>
      </c>
      <c r="F4" s="307" t="s">
        <v>12</v>
      </c>
      <c r="G4" s="307" t="s">
        <v>13</v>
      </c>
      <c r="H4" s="307" t="s">
        <v>14</v>
      </c>
      <c r="I4" s="307" t="s">
        <v>15</v>
      </c>
      <c r="J4" s="309" t="s">
        <v>19</v>
      </c>
      <c r="K4" s="305" t="s">
        <v>21</v>
      </c>
      <c r="M4" s="337" t="s">
        <v>28</v>
      </c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AA4" s="97">
        <v>43862</v>
      </c>
      <c r="AB4" s="97">
        <v>43891</v>
      </c>
      <c r="AC4" s="97">
        <v>43922</v>
      </c>
      <c r="AD4" s="97">
        <v>43952</v>
      </c>
      <c r="AE4" s="97">
        <v>43983</v>
      </c>
      <c r="AF4" s="97">
        <v>44013</v>
      </c>
      <c r="AG4" s="97">
        <v>44044</v>
      </c>
      <c r="AH4" s="97">
        <v>44075</v>
      </c>
      <c r="AI4" s="97">
        <v>44105</v>
      </c>
      <c r="AJ4" s="97">
        <v>44136</v>
      </c>
      <c r="AK4" s="97">
        <v>44166</v>
      </c>
      <c r="AL4" s="97">
        <v>44197</v>
      </c>
      <c r="AM4" s="97">
        <v>44228</v>
      </c>
      <c r="AN4" s="97">
        <v>44256</v>
      </c>
      <c r="AO4" s="97">
        <v>44287</v>
      </c>
      <c r="AP4" s="97">
        <v>44317</v>
      </c>
      <c r="AQ4" s="97">
        <v>44348</v>
      </c>
    </row>
    <row r="5" spans="1:43" ht="13.5" thickBot="1" x14ac:dyDescent="0.3">
      <c r="B5" s="334"/>
      <c r="C5" s="335"/>
      <c r="D5" s="335"/>
      <c r="E5" s="335"/>
      <c r="F5" s="336"/>
      <c r="G5" s="336"/>
      <c r="H5" s="336" t="s">
        <v>1</v>
      </c>
      <c r="I5" s="336" t="s">
        <v>1</v>
      </c>
      <c r="J5" s="317"/>
      <c r="K5" s="306"/>
      <c r="M5" s="5">
        <v>43983</v>
      </c>
      <c r="N5" s="5">
        <v>44013</v>
      </c>
      <c r="O5" s="5">
        <v>44044</v>
      </c>
      <c r="P5" s="5">
        <v>44075</v>
      </c>
      <c r="Q5" s="5">
        <v>44105</v>
      </c>
      <c r="R5" s="5">
        <v>44136</v>
      </c>
      <c r="S5" s="5">
        <v>44166</v>
      </c>
      <c r="T5" s="5">
        <v>44197</v>
      </c>
      <c r="U5" s="5">
        <v>44228</v>
      </c>
      <c r="V5" s="5">
        <v>44256</v>
      </c>
      <c r="W5" s="5">
        <v>44287</v>
      </c>
      <c r="X5" s="5">
        <v>44317</v>
      </c>
      <c r="Y5" s="5">
        <v>44348</v>
      </c>
      <c r="Z5" s="1" t="s">
        <v>231</v>
      </c>
      <c r="AA5" s="34">
        <v>7073.3435529999997</v>
      </c>
      <c r="AB5" s="34">
        <v>9877.2923969999993</v>
      </c>
      <c r="AC5" s="34">
        <v>6728.1358559999999</v>
      </c>
      <c r="AD5" s="34">
        <v>7957.4951510000001</v>
      </c>
      <c r="AE5" s="34">
        <v>6277.2652840000001</v>
      </c>
      <c r="AF5" s="34">
        <v>9012.7812489999997</v>
      </c>
      <c r="AG5" s="34">
        <v>7948.0870839999998</v>
      </c>
      <c r="AH5" s="34">
        <v>7781.5764950000003</v>
      </c>
      <c r="AI5" s="34">
        <v>8571.7464479999999</v>
      </c>
      <c r="AJ5" s="34">
        <v>8964.5876219999991</v>
      </c>
      <c r="AK5" s="34">
        <v>4695.6439780000001</v>
      </c>
      <c r="AL5" s="1">
        <v>5416</v>
      </c>
      <c r="AM5" s="1">
        <v>6956</v>
      </c>
      <c r="AN5" s="1">
        <v>11246</v>
      </c>
      <c r="AO5" s="1">
        <v>6307.24</v>
      </c>
      <c r="AP5" s="1">
        <v>5194.3500000000004</v>
      </c>
      <c r="AQ5" s="1">
        <v>6643.76</v>
      </c>
    </row>
    <row r="6" spans="1:43" ht="13" x14ac:dyDescent="0.3">
      <c r="B6" s="23" t="s">
        <v>130</v>
      </c>
      <c r="C6" s="33" t="s">
        <v>131</v>
      </c>
      <c r="D6" s="58"/>
      <c r="E6" s="16" t="s">
        <v>132</v>
      </c>
      <c r="F6" s="6">
        <v>3959</v>
      </c>
      <c r="G6" s="7">
        <v>44316</v>
      </c>
      <c r="H6" s="8">
        <f t="shared" ref="H6:H20" ca="1" si="0">TODAY()-G6</f>
        <v>168</v>
      </c>
      <c r="I6" s="52">
        <f t="shared" ref="I6:I20" ca="1" si="1">H6/30</f>
        <v>5.6</v>
      </c>
      <c r="J6" s="9" t="s">
        <v>20</v>
      </c>
      <c r="K6" s="81">
        <v>0</v>
      </c>
      <c r="M6" s="4">
        <v>309.83972299999999</v>
      </c>
      <c r="N6" s="4">
        <v>3718.0766760000001</v>
      </c>
      <c r="O6" s="4">
        <v>7200.6751619999995</v>
      </c>
      <c r="P6" s="4">
        <v>8675.5122439999996</v>
      </c>
      <c r="Q6" s="4">
        <v>9295.1916899999997</v>
      </c>
      <c r="R6" s="4">
        <v>9295.1916899999997</v>
      </c>
      <c r="S6" s="4">
        <v>5756.8220529999999</v>
      </c>
      <c r="T6" s="4">
        <v>5416</v>
      </c>
      <c r="U6" s="4">
        <v>6956</v>
      </c>
      <c r="V6" s="4">
        <v>11246</v>
      </c>
      <c r="W6" s="4">
        <v>6307.24</v>
      </c>
      <c r="X6" s="4">
        <v>5194.3500000000004</v>
      </c>
      <c r="Y6" s="4">
        <v>6643.76</v>
      </c>
      <c r="Z6" s="1" t="s">
        <v>232</v>
      </c>
      <c r="AA6" s="34">
        <v>5471</v>
      </c>
      <c r="AB6" s="34">
        <v>9581</v>
      </c>
      <c r="AC6" s="34">
        <v>97</v>
      </c>
      <c r="AD6" s="34">
        <v>82</v>
      </c>
      <c r="AE6" s="34"/>
      <c r="AF6" s="34"/>
      <c r="AG6" s="34"/>
      <c r="AH6" s="34"/>
      <c r="AI6" s="34"/>
      <c r="AJ6" s="34"/>
      <c r="AK6" s="34"/>
    </row>
    <row r="7" spans="1:43" ht="13" x14ac:dyDescent="0.3">
      <c r="B7" s="20" t="s">
        <v>22</v>
      </c>
      <c r="C7" s="26">
        <v>1156</v>
      </c>
      <c r="D7" s="38"/>
      <c r="E7" s="16" t="s">
        <v>145</v>
      </c>
      <c r="F7" s="6">
        <v>6</v>
      </c>
      <c r="G7" s="7">
        <v>44255</v>
      </c>
      <c r="H7" s="8">
        <f t="shared" ca="1" si="0"/>
        <v>229</v>
      </c>
      <c r="I7" s="52">
        <f t="shared" ca="1" si="1"/>
        <v>7.6333333333333337</v>
      </c>
      <c r="J7" s="9" t="s">
        <v>20</v>
      </c>
      <c r="K7" s="81">
        <v>0</v>
      </c>
      <c r="M7" s="17"/>
      <c r="O7" s="17"/>
      <c r="Q7" s="17"/>
      <c r="S7" s="17"/>
      <c r="Z7" s="1" t="s">
        <v>233</v>
      </c>
      <c r="AA7" s="34">
        <f>AA5-AA6</f>
        <v>1602.3435529999997</v>
      </c>
      <c r="AB7" s="34">
        <f t="shared" ref="AB7:AK7" si="2">AB5-AB6</f>
        <v>296.29239699999926</v>
      </c>
      <c r="AC7" s="34">
        <f t="shared" si="2"/>
        <v>6631.1358559999999</v>
      </c>
      <c r="AD7" s="34">
        <f t="shared" si="2"/>
        <v>7875.4951510000001</v>
      </c>
      <c r="AE7" s="34">
        <f t="shared" si="2"/>
        <v>6277.2652840000001</v>
      </c>
      <c r="AF7" s="34">
        <f t="shared" si="2"/>
        <v>9012.7812489999997</v>
      </c>
      <c r="AG7" s="34">
        <f t="shared" si="2"/>
        <v>7948.0870839999998</v>
      </c>
      <c r="AH7" s="34">
        <f t="shared" si="2"/>
        <v>7781.5764950000003</v>
      </c>
      <c r="AI7" s="34">
        <f t="shared" si="2"/>
        <v>8571.7464479999999</v>
      </c>
      <c r="AJ7" s="34">
        <f t="shared" si="2"/>
        <v>8964.5876219999991</v>
      </c>
      <c r="AK7" s="34">
        <f t="shared" si="2"/>
        <v>4695.6439780000001</v>
      </c>
    </row>
    <row r="8" spans="1:43" ht="13" x14ac:dyDescent="0.3">
      <c r="B8" s="20" t="s">
        <v>24</v>
      </c>
      <c r="C8" s="26">
        <v>0</v>
      </c>
      <c r="D8" s="38"/>
      <c r="E8" s="16" t="s">
        <v>146</v>
      </c>
      <c r="F8" s="6">
        <v>7372</v>
      </c>
      <c r="G8" s="7">
        <v>44255</v>
      </c>
      <c r="H8" s="8">
        <f t="shared" ca="1" si="0"/>
        <v>229</v>
      </c>
      <c r="I8" s="52">
        <f t="shared" ca="1" si="1"/>
        <v>7.6333333333333337</v>
      </c>
      <c r="J8" s="9" t="s">
        <v>20</v>
      </c>
      <c r="K8" s="81">
        <v>0</v>
      </c>
      <c r="M8" s="48" t="s">
        <v>120</v>
      </c>
      <c r="V8" s="19"/>
    </row>
    <row r="9" spans="1:43" ht="13" x14ac:dyDescent="0.3">
      <c r="A9" s="14"/>
      <c r="B9" s="21"/>
      <c r="C9" s="68"/>
      <c r="D9" s="38"/>
      <c r="E9" s="16" t="s">
        <v>147</v>
      </c>
      <c r="F9" s="6">
        <v>4720</v>
      </c>
      <c r="G9" s="7">
        <v>44255</v>
      </c>
      <c r="H9" s="8">
        <f t="shared" ca="1" si="0"/>
        <v>229</v>
      </c>
      <c r="I9" s="52">
        <f t="shared" ca="1" si="1"/>
        <v>7.6333333333333337</v>
      </c>
      <c r="J9" s="9" t="s">
        <v>20</v>
      </c>
      <c r="K9" s="81">
        <v>0</v>
      </c>
      <c r="L9" s="14"/>
      <c r="M9" s="19">
        <f>SUM(F6:F9)+F14</f>
        <v>17391</v>
      </c>
      <c r="N9" s="19">
        <f t="shared" ref="N9:S9" si="3">M13</f>
        <v>26119</v>
      </c>
      <c r="O9" s="19">
        <f t="shared" si="3"/>
        <v>22626.923323999999</v>
      </c>
      <c r="P9" s="19">
        <f t="shared" si="3"/>
        <v>32637.248162000004</v>
      </c>
      <c r="Q9" s="19">
        <f t="shared" si="3"/>
        <v>42689.735918000006</v>
      </c>
      <c r="R9" s="19">
        <f t="shared" si="3"/>
        <v>35705.544228000006</v>
      </c>
      <c r="S9" s="19">
        <f t="shared" si="3"/>
        <v>32579.352538000006</v>
      </c>
      <c r="V9" s="19"/>
      <c r="AA9" s="98">
        <f t="shared" ref="AA9:AK9" si="4">($G$17-AA3)/30</f>
        <v>19.3</v>
      </c>
      <c r="AB9" s="98">
        <f t="shared" si="4"/>
        <v>18.266666666666666</v>
      </c>
      <c r="AC9" s="98">
        <f t="shared" si="4"/>
        <v>17.266666666666666</v>
      </c>
      <c r="AD9" s="98">
        <f t="shared" si="4"/>
        <v>16.233333333333334</v>
      </c>
      <c r="AE9" s="98">
        <f t="shared" si="4"/>
        <v>15.233333333333333</v>
      </c>
      <c r="AF9" s="98">
        <f t="shared" si="4"/>
        <v>14.233333333333333</v>
      </c>
      <c r="AG9" s="98">
        <f t="shared" si="4"/>
        <v>13.2</v>
      </c>
      <c r="AH9" s="98">
        <f t="shared" si="4"/>
        <v>12.166666666666666</v>
      </c>
      <c r="AI9" s="98">
        <f t="shared" si="4"/>
        <v>11.166666666666666</v>
      </c>
      <c r="AJ9" s="98">
        <f t="shared" si="4"/>
        <v>10.133333333333333</v>
      </c>
      <c r="AK9" s="98">
        <f t="shared" si="4"/>
        <v>9.1333333333333329</v>
      </c>
      <c r="AL9" s="19"/>
    </row>
    <row r="10" spans="1:43" ht="13" x14ac:dyDescent="0.3">
      <c r="A10" s="14"/>
      <c r="B10" s="21"/>
      <c r="C10" s="53"/>
      <c r="D10" s="38"/>
      <c r="E10" s="16" t="s">
        <v>148</v>
      </c>
      <c r="F10" s="6">
        <v>6290</v>
      </c>
      <c r="G10" s="7">
        <v>44196</v>
      </c>
      <c r="H10" s="8">
        <f t="shared" ca="1" si="0"/>
        <v>288</v>
      </c>
      <c r="I10" s="52">
        <f t="shared" ca="1" si="1"/>
        <v>9.6</v>
      </c>
      <c r="J10" s="9" t="s">
        <v>20</v>
      </c>
      <c r="K10" s="81">
        <v>4853</v>
      </c>
      <c r="L10" s="14"/>
      <c r="M10" s="47">
        <f t="shared" ref="M10:S10" si="5">M9/M6</f>
        <v>56.129019970754364</v>
      </c>
      <c r="N10" s="47">
        <f t="shared" si="5"/>
        <v>7.0248685748190312</v>
      </c>
      <c r="O10" s="47">
        <f t="shared" si="5"/>
        <v>3.1423335749692858</v>
      </c>
      <c r="P10" s="47">
        <f t="shared" si="5"/>
        <v>3.7619966687928987</v>
      </c>
      <c r="Q10" s="47">
        <f t="shared" si="5"/>
        <v>4.5926686981535516</v>
      </c>
      <c r="R10" s="47">
        <f t="shared" si="5"/>
        <v>3.8412918656011072</v>
      </c>
      <c r="S10" s="47">
        <f t="shared" si="5"/>
        <v>5.6592599594115001</v>
      </c>
      <c r="AA10" s="19">
        <f>AA7-(F12+F11)</f>
        <v>1140.3435529999997</v>
      </c>
      <c r="AB10" s="19">
        <f>AA11-AB7</f>
        <v>4853.364050000001</v>
      </c>
      <c r="AC10" s="19">
        <f>AC7-F9</f>
        <v>1911.1358559999999</v>
      </c>
      <c r="AD10" s="19">
        <f>AC11-AD7</f>
        <v>-2414.631007</v>
      </c>
      <c r="AE10" s="19">
        <f>AD14-AE7</f>
        <v>-2236.896291</v>
      </c>
      <c r="AF10" s="19">
        <f>AE11-AF7</f>
        <v>-1365.6775399999997</v>
      </c>
      <c r="AG10" s="19">
        <f>AF12-AG7</f>
        <v>8123.2353759999996</v>
      </c>
      <c r="AH10" s="19">
        <f>AG10-AH7</f>
        <v>341.65888099999938</v>
      </c>
      <c r="AI10" s="19">
        <f>AH10-AI7</f>
        <v>-8230.0875670000005</v>
      </c>
      <c r="AJ10" s="19">
        <f>AI11-AJ7</f>
        <v>1533.3248110000004</v>
      </c>
      <c r="AK10" s="19">
        <f>AJ10-AK7</f>
        <v>-3162.3191669999997</v>
      </c>
    </row>
    <row r="11" spans="1:43" ht="13" x14ac:dyDescent="0.3">
      <c r="A11" s="14"/>
      <c r="B11" s="21"/>
      <c r="C11" s="53"/>
      <c r="D11" s="38"/>
      <c r="E11" s="16" t="s">
        <v>149</v>
      </c>
      <c r="F11" s="6">
        <v>35</v>
      </c>
      <c r="G11" s="7">
        <v>44165</v>
      </c>
      <c r="H11" s="8">
        <f t="shared" ca="1" si="0"/>
        <v>319</v>
      </c>
      <c r="I11" s="52">
        <f t="shared" ca="1" si="1"/>
        <v>10.633333333333333</v>
      </c>
      <c r="J11" s="9" t="s">
        <v>20</v>
      </c>
      <c r="K11" s="81">
        <v>0</v>
      </c>
      <c r="L11" s="14"/>
      <c r="AA11" s="19">
        <f>F10-AA10</f>
        <v>5149.6564470000003</v>
      </c>
      <c r="AC11" s="19">
        <f>F8-AC10</f>
        <v>5460.8641440000001</v>
      </c>
      <c r="AD11" s="19">
        <f>AD10+F7</f>
        <v>-2408.631007</v>
      </c>
      <c r="AE11" s="19">
        <f>AE10+F15</f>
        <v>7647.103709</v>
      </c>
      <c r="AF11" s="19">
        <f>AF10+F16</f>
        <v>-1139.6775399999997</v>
      </c>
      <c r="AI11" s="19">
        <f>AI10+F18</f>
        <v>10497.912433</v>
      </c>
      <c r="AK11" s="19">
        <f>AK10+F19</f>
        <v>-851.31916699999965</v>
      </c>
    </row>
    <row r="12" spans="1:43" ht="13" x14ac:dyDescent="0.3">
      <c r="A12" s="14"/>
      <c r="B12" s="21"/>
      <c r="C12" s="37"/>
      <c r="D12" s="38"/>
      <c r="E12" s="16" t="s">
        <v>150</v>
      </c>
      <c r="F12" s="6">
        <v>427</v>
      </c>
      <c r="G12" s="7">
        <v>44165</v>
      </c>
      <c r="H12" s="8">
        <f t="shared" ca="1" si="0"/>
        <v>319</v>
      </c>
      <c r="I12" s="52">
        <f t="shared" ca="1" si="1"/>
        <v>10.633333333333333</v>
      </c>
      <c r="J12" s="9" t="s">
        <v>20</v>
      </c>
      <c r="K12" s="81">
        <v>0</v>
      </c>
      <c r="L12" s="14"/>
      <c r="M12" s="48" t="s">
        <v>121</v>
      </c>
      <c r="AD12" s="19">
        <f>AD11+F14</f>
        <v>-1074.631007</v>
      </c>
      <c r="AF12" s="19">
        <f>F17+AF11</f>
        <v>16071.322459999999</v>
      </c>
      <c r="AK12" s="19">
        <f>AK11+F20</f>
        <v>5317.6808330000003</v>
      </c>
    </row>
    <row r="13" spans="1:43" ht="14.5" x14ac:dyDescent="0.35">
      <c r="A13" s="14"/>
      <c r="B13" s="21"/>
      <c r="C13" s="53"/>
      <c r="D13" s="38"/>
      <c r="E13" s="16" t="s">
        <v>151</v>
      </c>
      <c r="F13" s="6">
        <v>18</v>
      </c>
      <c r="G13" s="7">
        <v>44042</v>
      </c>
      <c r="H13" s="8">
        <f t="shared" ca="1" si="0"/>
        <v>442</v>
      </c>
      <c r="I13" s="52">
        <f t="shared" ca="1" si="1"/>
        <v>14.733333333333333</v>
      </c>
      <c r="J13" s="9" t="s">
        <v>20</v>
      </c>
      <c r="K13" s="81">
        <v>18</v>
      </c>
      <c r="L13" s="14"/>
      <c r="M13" s="19">
        <f>IF(C7&gt;M6,M9+SUM(F15)-C7,M9+SUM(F15)-M6)</f>
        <v>26119</v>
      </c>
      <c r="N13" s="39">
        <f>(N9+F16)-N6</f>
        <v>22626.923323999999</v>
      </c>
      <c r="O13" s="39">
        <f>(O9+F17)-O6</f>
        <v>32637.248162000004</v>
      </c>
      <c r="P13" s="39">
        <f>(P9+F18)-P6</f>
        <v>42689.735918000006</v>
      </c>
      <c r="Q13" s="39">
        <f>(Q9+F19)-Q6</f>
        <v>35705.544228000006</v>
      </c>
      <c r="R13" s="39">
        <f>(R9+F20)-R6</f>
        <v>32579.352538000006</v>
      </c>
      <c r="S13" s="39">
        <f>(S9+F21)-S6</f>
        <v>26822.530485000007</v>
      </c>
      <c r="AD13" s="19">
        <f>F6+C7</f>
        <v>5115</v>
      </c>
    </row>
    <row r="14" spans="1:43" ht="13" x14ac:dyDescent="0.3">
      <c r="A14" s="14"/>
      <c r="B14" s="21"/>
      <c r="C14" s="53"/>
      <c r="D14" s="38"/>
      <c r="E14" s="16" t="s">
        <v>152</v>
      </c>
      <c r="F14" s="6">
        <v>1334</v>
      </c>
      <c r="G14" s="7">
        <v>44286</v>
      </c>
      <c r="H14" s="8">
        <f t="shared" ca="1" si="0"/>
        <v>198</v>
      </c>
      <c r="I14" s="52">
        <f t="shared" ca="1" si="1"/>
        <v>6.6</v>
      </c>
      <c r="J14" s="56" t="s">
        <v>139</v>
      </c>
      <c r="K14" s="81">
        <v>0</v>
      </c>
      <c r="L14" s="14"/>
      <c r="M14" s="47">
        <f t="shared" ref="M14:R14" si="6">M13/N6</f>
        <v>7.0248685748190312</v>
      </c>
      <c r="N14" s="47">
        <f t="shared" si="6"/>
        <v>3.1423335749692858</v>
      </c>
      <c r="O14" s="47">
        <f t="shared" si="6"/>
        <v>3.7619966687928987</v>
      </c>
      <c r="P14" s="47">
        <f t="shared" si="6"/>
        <v>4.5926686981535516</v>
      </c>
      <c r="Q14" s="47">
        <f t="shared" si="6"/>
        <v>3.8412918656011072</v>
      </c>
      <c r="R14" s="47">
        <f t="shared" si="6"/>
        <v>5.6592599594115001</v>
      </c>
      <c r="S14" s="47" t="e">
        <f>S13/#REF!</f>
        <v>#REF!</v>
      </c>
      <c r="AD14" s="19">
        <f>AD13+AD12</f>
        <v>4040.368993</v>
      </c>
    </row>
    <row r="15" spans="1:43" ht="13" x14ac:dyDescent="0.3">
      <c r="A15" s="14"/>
      <c r="B15" s="21"/>
      <c r="C15" s="37"/>
      <c r="D15" s="38"/>
      <c r="E15" s="16" t="s">
        <v>153</v>
      </c>
      <c r="F15" s="6">
        <v>9884</v>
      </c>
      <c r="G15" s="7">
        <v>44316</v>
      </c>
      <c r="H15" s="8">
        <f t="shared" ca="1" si="0"/>
        <v>168</v>
      </c>
      <c r="I15" s="52">
        <f t="shared" ca="1" si="1"/>
        <v>5.6</v>
      </c>
      <c r="J15" s="56" t="s">
        <v>140</v>
      </c>
      <c r="K15" s="81">
        <v>0</v>
      </c>
      <c r="L15" s="14"/>
      <c r="M15" s="47"/>
      <c r="N15" s="47"/>
      <c r="O15" s="47"/>
      <c r="P15" s="47"/>
      <c r="Q15" s="47"/>
      <c r="R15" s="47"/>
      <c r="S15" s="47"/>
    </row>
    <row r="16" spans="1:43" ht="13" x14ac:dyDescent="0.3">
      <c r="A16" s="14"/>
      <c r="B16" s="21"/>
      <c r="C16" s="37"/>
      <c r="D16" s="38">
        <v>44013</v>
      </c>
      <c r="E16" s="61"/>
      <c r="F16" s="62">
        <v>226</v>
      </c>
      <c r="G16" s="10">
        <v>44439</v>
      </c>
      <c r="H16" s="11">
        <f t="shared" ca="1" si="0"/>
        <v>45</v>
      </c>
      <c r="I16" s="63">
        <f t="shared" ca="1" si="1"/>
        <v>1.5</v>
      </c>
      <c r="J16" s="12" t="s">
        <v>136</v>
      </c>
      <c r="K16" s="81">
        <v>0</v>
      </c>
      <c r="L16" s="14"/>
      <c r="M16" s="47"/>
      <c r="N16" s="82">
        <f>O6-F16</f>
        <v>6974.6751619999995</v>
      </c>
      <c r="O16" s="47"/>
      <c r="P16" s="82">
        <f>Q6-O17</f>
        <v>7734.3790959999988</v>
      </c>
      <c r="Q16" s="47"/>
      <c r="R16" s="82">
        <f>S6-Q17-F19</f>
        <v>1747.3928389999983</v>
      </c>
      <c r="S16" s="47"/>
    </row>
    <row r="17" spans="1:43" ht="13" x14ac:dyDescent="0.3">
      <c r="A17" s="14"/>
      <c r="B17" s="21"/>
      <c r="C17" s="37"/>
      <c r="D17" s="38">
        <v>44013</v>
      </c>
      <c r="E17" s="61"/>
      <c r="F17" s="62">
        <v>17211</v>
      </c>
      <c r="G17" s="10">
        <v>44469</v>
      </c>
      <c r="H17" s="11">
        <f t="shared" ca="1" si="0"/>
        <v>15</v>
      </c>
      <c r="I17" s="63">
        <f t="shared" ca="1" si="1"/>
        <v>0.5</v>
      </c>
      <c r="J17" s="12" t="s">
        <v>136</v>
      </c>
      <c r="K17" s="81">
        <v>0</v>
      </c>
      <c r="L17" s="14"/>
      <c r="M17" s="47"/>
      <c r="N17" s="82">
        <f>F17-N16</f>
        <v>10236.324838</v>
      </c>
      <c r="O17" s="82">
        <f>N17-P6</f>
        <v>1560.8125940000009</v>
      </c>
      <c r="P17" s="82">
        <f>F18-P16</f>
        <v>10993.620904000001</v>
      </c>
      <c r="Q17" s="82">
        <f>P17-R6</f>
        <v>1698.4292140000016</v>
      </c>
      <c r="R17" s="82">
        <f>F20-R16</f>
        <v>4421.6071610000017</v>
      </c>
      <c r="S17" s="47"/>
    </row>
    <row r="18" spans="1:43" ht="13" x14ac:dyDescent="0.3">
      <c r="A18" s="14"/>
      <c r="B18" s="21"/>
      <c r="C18" s="37"/>
      <c r="D18" s="38">
        <v>44044</v>
      </c>
      <c r="E18" s="61"/>
      <c r="F18" s="62">
        <v>18728</v>
      </c>
      <c r="G18" s="10">
        <v>44469</v>
      </c>
      <c r="H18" s="11">
        <f t="shared" ca="1" si="0"/>
        <v>15</v>
      </c>
      <c r="I18" s="63">
        <f t="shared" ca="1" si="1"/>
        <v>0.5</v>
      </c>
      <c r="J18" s="12" t="s">
        <v>136</v>
      </c>
      <c r="K18" s="81">
        <v>0</v>
      </c>
      <c r="L18" s="14"/>
      <c r="M18" s="47"/>
      <c r="N18" s="47"/>
      <c r="O18" s="47"/>
      <c r="P18" s="47"/>
      <c r="Q18" s="47"/>
      <c r="R18" s="47"/>
      <c r="S18" s="47"/>
    </row>
    <row r="19" spans="1:43" ht="13" x14ac:dyDescent="0.3">
      <c r="A19" s="14"/>
      <c r="B19" s="21"/>
      <c r="C19" s="37"/>
      <c r="D19" s="38">
        <v>44044</v>
      </c>
      <c r="E19" s="61"/>
      <c r="F19" s="62">
        <v>2311</v>
      </c>
      <c r="G19" s="10">
        <v>44500</v>
      </c>
      <c r="H19" s="11">
        <f t="shared" ca="1" si="0"/>
        <v>-16</v>
      </c>
      <c r="I19" s="63">
        <f t="shared" ca="1" si="1"/>
        <v>-0.53333333333333333</v>
      </c>
      <c r="J19" s="12" t="s">
        <v>136</v>
      </c>
      <c r="K19" s="81">
        <v>0</v>
      </c>
      <c r="L19" s="14"/>
      <c r="M19" s="47"/>
      <c r="N19" s="47"/>
      <c r="O19" s="47"/>
      <c r="P19" s="47"/>
      <c r="Q19" s="47"/>
      <c r="R19" s="47"/>
      <c r="S19" s="47"/>
    </row>
    <row r="20" spans="1:43" ht="13" x14ac:dyDescent="0.3">
      <c r="A20" s="14"/>
      <c r="B20" s="21"/>
      <c r="C20" s="37"/>
      <c r="D20" s="38">
        <v>44075</v>
      </c>
      <c r="E20" s="61"/>
      <c r="F20" s="62">
        <v>6169</v>
      </c>
      <c r="G20" s="10">
        <v>44500</v>
      </c>
      <c r="H20" s="11">
        <f t="shared" ca="1" si="0"/>
        <v>-16</v>
      </c>
      <c r="I20" s="63">
        <f t="shared" ca="1" si="1"/>
        <v>-0.53333333333333333</v>
      </c>
      <c r="J20" s="12" t="s">
        <v>136</v>
      </c>
      <c r="K20" s="81">
        <v>0</v>
      </c>
      <c r="L20" s="14"/>
      <c r="M20" s="47"/>
      <c r="N20" s="82"/>
      <c r="O20" s="47"/>
      <c r="P20" s="47"/>
      <c r="Q20" s="47"/>
      <c r="R20" s="47"/>
      <c r="S20" s="47"/>
    </row>
    <row r="21" spans="1:43" ht="13" x14ac:dyDescent="0.3">
      <c r="A21" s="14"/>
      <c r="B21" s="21"/>
      <c r="C21" s="37"/>
      <c r="D21" s="38">
        <v>44105</v>
      </c>
      <c r="E21" s="61"/>
      <c r="F21" s="62"/>
      <c r="G21" s="10"/>
      <c r="H21" s="11"/>
      <c r="I21" s="12"/>
      <c r="J21" s="12"/>
      <c r="K21" s="30"/>
      <c r="L21" s="14"/>
      <c r="M21" s="47"/>
      <c r="N21" s="47"/>
      <c r="O21" s="47"/>
      <c r="P21" s="47"/>
      <c r="Q21" s="47"/>
      <c r="R21" s="47"/>
      <c r="S21" s="47"/>
    </row>
    <row r="22" spans="1:43" ht="13" x14ac:dyDescent="0.3">
      <c r="A22" s="14"/>
      <c r="B22" s="21"/>
      <c r="C22" s="37"/>
      <c r="D22" s="38">
        <v>44136</v>
      </c>
      <c r="E22" s="61"/>
      <c r="F22" s="62"/>
      <c r="G22" s="10"/>
      <c r="H22" s="11"/>
      <c r="I22" s="12"/>
      <c r="J22" s="12"/>
      <c r="K22" s="30"/>
      <c r="L22" s="14"/>
      <c r="M22" s="47"/>
      <c r="N22" s="47"/>
      <c r="O22" s="47"/>
      <c r="P22" s="47"/>
      <c r="Q22" s="47"/>
      <c r="R22" s="47"/>
      <c r="S22" s="47"/>
    </row>
    <row r="23" spans="1:43" ht="13" x14ac:dyDescent="0.3">
      <c r="A23" s="14"/>
      <c r="B23" s="21"/>
      <c r="C23" s="37"/>
      <c r="D23" s="38">
        <v>44166</v>
      </c>
      <c r="E23" s="61"/>
      <c r="F23" s="62"/>
      <c r="G23" s="10"/>
      <c r="H23" s="11"/>
      <c r="I23" s="12"/>
      <c r="J23" s="12"/>
      <c r="K23" s="30"/>
      <c r="L23" s="14"/>
      <c r="M23" s="47"/>
      <c r="N23" s="47"/>
      <c r="O23" s="47"/>
      <c r="P23" s="47"/>
      <c r="Q23" s="47"/>
      <c r="R23" s="47"/>
      <c r="S23" s="47"/>
    </row>
    <row r="24" spans="1:43" ht="15" thickBot="1" x14ac:dyDescent="0.4">
      <c r="A24" s="14"/>
      <c r="B24" s="95" t="s">
        <v>0</v>
      </c>
      <c r="C24" s="96"/>
      <c r="D24" s="96"/>
      <c r="E24" s="96"/>
      <c r="F24" s="27">
        <f>SUM(F6:F6)</f>
        <v>3959</v>
      </c>
      <c r="G24" s="28"/>
      <c r="H24" s="28"/>
      <c r="I24" s="28"/>
      <c r="J24" s="28"/>
      <c r="K24" s="29"/>
      <c r="L24" s="14"/>
      <c r="M24"/>
      <c r="N24"/>
      <c r="S24" s="14"/>
    </row>
    <row r="25" spans="1:43" x14ac:dyDescent="0.25">
      <c r="A25" s="14"/>
      <c r="B25" s="15" t="s">
        <v>25</v>
      </c>
      <c r="L25" s="14"/>
      <c r="S25" s="14"/>
    </row>
    <row r="26" spans="1:43" x14ac:dyDescent="0.25">
      <c r="A26" s="14"/>
      <c r="B26" s="15"/>
      <c r="L26" s="14"/>
      <c r="O26" s="19"/>
      <c r="S26" s="14"/>
    </row>
    <row r="27" spans="1:43" ht="15" thickBot="1" x14ac:dyDescent="0.4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AA27" s="60">
        <v>43890</v>
      </c>
      <c r="AB27" s="60">
        <v>43921</v>
      </c>
      <c r="AC27" s="60">
        <v>43951</v>
      </c>
      <c r="AD27" s="60">
        <v>43982</v>
      </c>
      <c r="AE27" s="60">
        <v>44012</v>
      </c>
      <c r="AF27" s="60">
        <v>44042</v>
      </c>
      <c r="AG27" s="60">
        <v>44073</v>
      </c>
      <c r="AH27" s="60">
        <v>44104</v>
      </c>
      <c r="AI27" s="60">
        <v>44134</v>
      </c>
      <c r="AJ27" s="60">
        <v>44165</v>
      </c>
      <c r="AK27" s="60">
        <v>44195</v>
      </c>
    </row>
    <row r="28" spans="1:43" ht="13" x14ac:dyDescent="0.25">
      <c r="B28" s="311" t="s">
        <v>4</v>
      </c>
      <c r="C28" s="315" t="s">
        <v>3</v>
      </c>
      <c r="D28" s="315" t="s">
        <v>23</v>
      </c>
      <c r="E28" s="315" t="s">
        <v>2</v>
      </c>
      <c r="F28" s="307" t="s">
        <v>12</v>
      </c>
      <c r="G28" s="307" t="s">
        <v>13</v>
      </c>
      <c r="H28" s="307" t="s">
        <v>14</v>
      </c>
      <c r="I28" s="307" t="s">
        <v>15</v>
      </c>
      <c r="J28" s="309" t="s">
        <v>19</v>
      </c>
      <c r="K28" s="305" t="s">
        <v>21</v>
      </c>
      <c r="M28" s="337" t="s">
        <v>28</v>
      </c>
      <c r="N28" s="337"/>
      <c r="O28" s="337"/>
      <c r="P28" s="337"/>
      <c r="Q28" s="337"/>
      <c r="R28" s="337"/>
      <c r="S28" s="337"/>
      <c r="T28" s="337"/>
      <c r="U28" s="337"/>
      <c r="V28" s="337"/>
      <c r="W28" s="337"/>
      <c r="X28" s="337"/>
      <c r="Y28" s="337"/>
      <c r="AA28" s="97">
        <v>43862</v>
      </c>
      <c r="AB28" s="97">
        <v>43891</v>
      </c>
      <c r="AC28" s="97">
        <v>43922</v>
      </c>
      <c r="AD28" s="97">
        <v>43952</v>
      </c>
      <c r="AE28" s="97">
        <v>43983</v>
      </c>
      <c r="AF28" s="97">
        <v>44013</v>
      </c>
      <c r="AG28" s="97">
        <v>44044</v>
      </c>
      <c r="AH28" s="97">
        <v>44075</v>
      </c>
      <c r="AI28" s="97">
        <v>44105</v>
      </c>
      <c r="AJ28" s="97">
        <v>44136</v>
      </c>
      <c r="AK28" s="97">
        <v>44166</v>
      </c>
      <c r="AL28" s="97">
        <v>44197</v>
      </c>
      <c r="AM28" s="97">
        <v>44228</v>
      </c>
      <c r="AN28" s="97">
        <v>44256</v>
      </c>
      <c r="AO28" s="97">
        <v>44287</v>
      </c>
      <c r="AP28" s="97">
        <v>44317</v>
      </c>
      <c r="AQ28" s="97">
        <v>44348</v>
      </c>
    </row>
    <row r="29" spans="1:43" ht="13.5" thickBot="1" x14ac:dyDescent="0.3">
      <c r="B29" s="334"/>
      <c r="C29" s="335"/>
      <c r="D29" s="335"/>
      <c r="E29" s="335"/>
      <c r="F29" s="336"/>
      <c r="G29" s="336"/>
      <c r="H29" s="336" t="s">
        <v>1</v>
      </c>
      <c r="I29" s="336" t="s">
        <v>1</v>
      </c>
      <c r="J29" s="317"/>
      <c r="K29" s="306"/>
      <c r="M29" s="5">
        <v>43983</v>
      </c>
      <c r="N29" s="5">
        <v>44013</v>
      </c>
      <c r="O29" s="5">
        <v>44044</v>
      </c>
      <c r="P29" s="5">
        <v>44075</v>
      </c>
      <c r="Q29" s="5">
        <v>44105</v>
      </c>
      <c r="R29" s="5">
        <v>44136</v>
      </c>
      <c r="S29" s="5">
        <v>44166</v>
      </c>
      <c r="T29" s="5">
        <v>44197</v>
      </c>
      <c r="U29" s="5">
        <v>44228</v>
      </c>
      <c r="V29" s="5">
        <v>44256</v>
      </c>
      <c r="W29" s="5">
        <v>44287</v>
      </c>
      <c r="X29" s="5">
        <v>44317</v>
      </c>
      <c r="Y29" s="5">
        <v>44348</v>
      </c>
      <c r="Z29" s="1" t="s">
        <v>231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4">
        <v>44</v>
      </c>
      <c r="AM29" s="4">
        <v>115.36087000000001</v>
      </c>
      <c r="AN29" s="4">
        <v>140.74165199999999</v>
      </c>
      <c r="AO29" s="4">
        <v>46.2</v>
      </c>
      <c r="AP29" s="4">
        <v>127.52973799999999</v>
      </c>
      <c r="AQ29" s="4">
        <v>95.682072000000005</v>
      </c>
    </row>
    <row r="30" spans="1:43" ht="13" x14ac:dyDescent="0.3">
      <c r="B30" s="23" t="s">
        <v>154</v>
      </c>
      <c r="C30" s="33" t="s">
        <v>155</v>
      </c>
      <c r="D30" s="58"/>
      <c r="E30" s="16" t="s">
        <v>156</v>
      </c>
      <c r="F30" s="6">
        <v>305</v>
      </c>
      <c r="G30" s="7">
        <v>45138</v>
      </c>
      <c r="H30" s="8">
        <f ca="1">TODAY()-G30</f>
        <v>-654</v>
      </c>
      <c r="I30" s="52">
        <f ca="1">H30/30</f>
        <v>-21.8</v>
      </c>
      <c r="J30" s="9" t="s">
        <v>20</v>
      </c>
      <c r="K30" s="30"/>
      <c r="M30" s="4">
        <v>188.753129</v>
      </c>
      <c r="N30" s="4">
        <v>35.012518</v>
      </c>
      <c r="O30" s="4">
        <v>70.025036999999998</v>
      </c>
      <c r="P30" s="4">
        <v>101.536304</v>
      </c>
      <c r="Q30" s="4">
        <v>175.037556</v>
      </c>
      <c r="R30" s="4">
        <v>108.538808</v>
      </c>
      <c r="S30" s="4">
        <v>65.823535000000007</v>
      </c>
      <c r="T30" s="4">
        <v>44</v>
      </c>
      <c r="U30" s="4">
        <v>115.36087000000001</v>
      </c>
      <c r="V30" s="4">
        <v>140.74165199999999</v>
      </c>
      <c r="W30" s="4">
        <v>46.2</v>
      </c>
      <c r="X30" s="4">
        <v>127.52973799999999</v>
      </c>
      <c r="Y30" s="4">
        <v>95.682072000000005</v>
      </c>
      <c r="Z30" s="1" t="s">
        <v>232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43" ht="13" x14ac:dyDescent="0.3">
      <c r="A31" s="14"/>
      <c r="B31" s="20" t="s">
        <v>22</v>
      </c>
      <c r="C31" s="26">
        <v>0</v>
      </c>
      <c r="D31" s="38"/>
      <c r="E31" s="16" t="s">
        <v>157</v>
      </c>
      <c r="F31" s="6">
        <v>496</v>
      </c>
      <c r="G31" s="7">
        <v>45077</v>
      </c>
      <c r="H31" s="8">
        <f ca="1">TODAY()-G31</f>
        <v>-593</v>
      </c>
      <c r="I31" s="52">
        <f ca="1">H31/30</f>
        <v>-19.766666666666666</v>
      </c>
      <c r="J31" s="9" t="s">
        <v>20</v>
      </c>
      <c r="K31" s="22"/>
      <c r="M31" s="17"/>
      <c r="O31" s="17"/>
      <c r="Q31" s="17"/>
      <c r="S31" s="17"/>
      <c r="Z31" s="1" t="s">
        <v>233</v>
      </c>
      <c r="AA31" s="34">
        <f t="shared" ref="AA31:AK31" si="7">AA29-AA30</f>
        <v>0</v>
      </c>
      <c r="AB31" s="34">
        <f t="shared" si="7"/>
        <v>0</v>
      </c>
      <c r="AC31" s="34">
        <f t="shared" si="7"/>
        <v>0</v>
      </c>
      <c r="AD31" s="34">
        <f t="shared" si="7"/>
        <v>0</v>
      </c>
      <c r="AE31" s="34">
        <f t="shared" si="7"/>
        <v>0</v>
      </c>
      <c r="AF31" s="34">
        <f t="shared" si="7"/>
        <v>0</v>
      </c>
      <c r="AG31" s="34">
        <f t="shared" si="7"/>
        <v>0</v>
      </c>
      <c r="AH31" s="34">
        <f t="shared" si="7"/>
        <v>0</v>
      </c>
      <c r="AI31" s="34">
        <f t="shared" si="7"/>
        <v>0</v>
      </c>
      <c r="AJ31" s="34">
        <f t="shared" si="7"/>
        <v>0</v>
      </c>
      <c r="AK31" s="34">
        <f t="shared" si="7"/>
        <v>0</v>
      </c>
    </row>
    <row r="32" spans="1:43" ht="13" x14ac:dyDescent="0.3">
      <c r="A32" s="14"/>
      <c r="B32" s="20" t="s">
        <v>24</v>
      </c>
      <c r="C32" s="26">
        <v>0</v>
      </c>
      <c r="D32" s="38">
        <v>43952</v>
      </c>
      <c r="G32" s="7"/>
      <c r="H32" s="8"/>
      <c r="I32" s="52"/>
      <c r="J32" s="9"/>
      <c r="K32" s="24"/>
      <c r="M32" s="48" t="s">
        <v>120</v>
      </c>
    </row>
    <row r="33" spans="1:25" ht="13" x14ac:dyDescent="0.25">
      <c r="A33" s="14"/>
      <c r="B33" s="21"/>
      <c r="C33" s="25"/>
      <c r="D33" s="38">
        <v>43983</v>
      </c>
      <c r="F33" s="49"/>
      <c r="G33" s="10"/>
      <c r="H33" s="11"/>
      <c r="I33" s="64"/>
      <c r="J33" s="65"/>
      <c r="K33" s="24"/>
      <c r="L33" s="14"/>
      <c r="M33" s="19">
        <f>SUM(F30:F31)+C31</f>
        <v>801</v>
      </c>
      <c r="N33" s="19">
        <f t="shared" ref="N33:S33" si="8">M37</f>
        <v>612.24687100000006</v>
      </c>
      <c r="O33" s="19">
        <f t="shared" si="8"/>
        <v>577.23435300000006</v>
      </c>
      <c r="P33" s="19">
        <f t="shared" si="8"/>
        <v>507.20931600000006</v>
      </c>
      <c r="Q33" s="19">
        <f t="shared" si="8"/>
        <v>405.67301200000009</v>
      </c>
      <c r="R33" s="19">
        <f t="shared" si="8"/>
        <v>230.63545600000009</v>
      </c>
      <c r="S33" s="19">
        <f t="shared" si="8"/>
        <v>122.09664800000009</v>
      </c>
    </row>
    <row r="34" spans="1:25" ht="13" x14ac:dyDescent="0.25">
      <c r="A34" s="14"/>
      <c r="B34" s="21"/>
      <c r="C34" s="37"/>
      <c r="D34" s="38">
        <v>44013</v>
      </c>
      <c r="F34" s="49"/>
      <c r="G34" s="10"/>
      <c r="H34" s="11"/>
      <c r="I34" s="64"/>
      <c r="J34" s="65"/>
      <c r="K34" s="30"/>
      <c r="L34" s="14"/>
      <c r="M34" s="47">
        <f t="shared" ref="M34:S34" si="9">M33/M30</f>
        <v>4.2436382604285194</v>
      </c>
      <c r="N34" s="47">
        <f t="shared" si="9"/>
        <v>17.486513566376463</v>
      </c>
      <c r="O34" s="47">
        <f t="shared" si="9"/>
        <v>8.2432566654695236</v>
      </c>
      <c r="P34" s="47">
        <f t="shared" si="9"/>
        <v>4.995349407242557</v>
      </c>
      <c r="Q34" s="47">
        <f t="shared" si="9"/>
        <v>2.3176341196171641</v>
      </c>
      <c r="R34" s="47">
        <f t="shared" si="9"/>
        <v>2.1249123723562553</v>
      </c>
      <c r="S34" s="47">
        <f t="shared" si="9"/>
        <v>1.8549087040068581</v>
      </c>
    </row>
    <row r="35" spans="1:25" ht="13" x14ac:dyDescent="0.3">
      <c r="A35" s="14"/>
      <c r="B35" s="21"/>
      <c r="C35" s="53"/>
      <c r="D35" s="38">
        <v>44044</v>
      </c>
      <c r="F35" s="49"/>
      <c r="G35" s="7"/>
      <c r="H35" s="8"/>
      <c r="I35" s="52"/>
      <c r="J35" s="9"/>
      <c r="K35" s="30"/>
      <c r="L35" s="14"/>
    </row>
    <row r="36" spans="1:25" ht="13" x14ac:dyDescent="0.3">
      <c r="A36" s="14"/>
      <c r="B36" s="21"/>
      <c r="C36" s="37"/>
      <c r="D36" s="38">
        <v>44075</v>
      </c>
      <c r="F36" s="49"/>
      <c r="G36" s="7"/>
      <c r="H36" s="8"/>
      <c r="I36" s="52"/>
      <c r="J36" s="9"/>
      <c r="K36" s="30"/>
      <c r="L36" s="14"/>
      <c r="M36" s="48" t="s">
        <v>121</v>
      </c>
    </row>
    <row r="37" spans="1:25" ht="14.5" x14ac:dyDescent="0.35">
      <c r="A37" s="14"/>
      <c r="B37" s="21"/>
      <c r="C37" s="37"/>
      <c r="D37" s="38">
        <v>44105</v>
      </c>
      <c r="F37" s="49"/>
      <c r="G37" s="1"/>
      <c r="H37" s="1"/>
      <c r="I37" s="1"/>
      <c r="J37" s="1"/>
      <c r="K37" s="30"/>
      <c r="L37" s="14"/>
      <c r="M37" s="19">
        <f>IF(C31&gt;M30,M33+F32-C31,M33+F32-M30)</f>
        <v>612.24687100000006</v>
      </c>
      <c r="N37" s="39">
        <f>(N33+F33)-N30</f>
        <v>577.23435300000006</v>
      </c>
      <c r="O37" s="39">
        <f>(O33+F34)-O30</f>
        <v>507.20931600000006</v>
      </c>
      <c r="P37" s="39">
        <f>(P33+F35)-P30</f>
        <v>405.67301200000009</v>
      </c>
      <c r="Q37" s="39">
        <f>(Q33+F36)-Q30</f>
        <v>230.63545600000009</v>
      </c>
      <c r="R37" s="39">
        <f>(R33+F37)-R30</f>
        <v>122.09664800000009</v>
      </c>
      <c r="S37" s="39">
        <f>(S33+F38)-S30</f>
        <v>56.27311300000008</v>
      </c>
    </row>
    <row r="38" spans="1:25" ht="13" x14ac:dyDescent="0.25">
      <c r="A38" s="14"/>
      <c r="B38" s="21"/>
      <c r="C38" s="37"/>
      <c r="D38" s="38">
        <v>44136</v>
      </c>
      <c r="F38" s="49"/>
      <c r="G38" s="1"/>
      <c r="H38" s="1"/>
      <c r="I38" s="1"/>
      <c r="J38" s="1"/>
      <c r="K38" s="30"/>
      <c r="L38" s="14"/>
      <c r="M38" s="47">
        <f t="shared" ref="M38:R38" si="10">M37/N30</f>
        <v>17.486513566376463</v>
      </c>
      <c r="N38" s="47">
        <f t="shared" si="10"/>
        <v>8.2432566654695236</v>
      </c>
      <c r="O38" s="47">
        <f t="shared" si="10"/>
        <v>4.995349407242557</v>
      </c>
      <c r="P38" s="47">
        <f t="shared" si="10"/>
        <v>2.3176341196171641</v>
      </c>
      <c r="Q38" s="47">
        <f t="shared" si="10"/>
        <v>2.1249123723562553</v>
      </c>
      <c r="R38" s="47">
        <f t="shared" si="10"/>
        <v>1.8549087040068581</v>
      </c>
      <c r="S38" s="47" t="e">
        <f>S37/#REF!</f>
        <v>#REF!</v>
      </c>
    </row>
    <row r="39" spans="1:25" ht="13" x14ac:dyDescent="0.25">
      <c r="A39" s="14"/>
      <c r="B39" s="21"/>
      <c r="C39" s="37"/>
      <c r="D39" s="38">
        <v>44166</v>
      </c>
      <c r="F39" s="49"/>
      <c r="G39" s="1"/>
      <c r="H39" s="1"/>
      <c r="I39" s="1"/>
      <c r="J39" s="1"/>
      <c r="K39" s="30"/>
      <c r="L39" s="14"/>
      <c r="M39" s="47"/>
      <c r="N39" s="47"/>
      <c r="O39" s="47"/>
      <c r="P39" s="47"/>
      <c r="Q39" s="47"/>
      <c r="R39" s="47"/>
      <c r="S39" s="47"/>
    </row>
    <row r="40" spans="1:25" ht="15" thickBot="1" x14ac:dyDescent="0.4">
      <c r="B40" s="95" t="s">
        <v>0</v>
      </c>
      <c r="C40" s="96"/>
      <c r="D40" s="96"/>
      <c r="E40" s="96"/>
      <c r="F40" s="27"/>
      <c r="G40" s="28"/>
      <c r="H40" s="28"/>
      <c r="I40" s="28"/>
      <c r="J40" s="28"/>
      <c r="K40" s="29"/>
      <c r="L40" s="14"/>
      <c r="M40"/>
      <c r="N40"/>
      <c r="O40" s="60"/>
      <c r="P40" s="79"/>
      <c r="S40" s="14"/>
    </row>
    <row r="41" spans="1:25" ht="14.5" x14ac:dyDescent="0.35">
      <c r="D41"/>
      <c r="E41"/>
      <c r="F41"/>
      <c r="G41"/>
      <c r="H41"/>
      <c r="I41"/>
      <c r="J41"/>
    </row>
    <row r="42" spans="1:25" ht="15" thickBot="1" x14ac:dyDescent="0.4">
      <c r="D42"/>
      <c r="E42"/>
      <c r="F42"/>
      <c r="G42"/>
      <c r="H42"/>
      <c r="I42"/>
      <c r="J42"/>
      <c r="M42" s="19"/>
    </row>
    <row r="43" spans="1:25" ht="13" x14ac:dyDescent="0.25">
      <c r="B43" s="311" t="s">
        <v>4</v>
      </c>
      <c r="C43" s="315" t="s">
        <v>3</v>
      </c>
      <c r="D43" s="315" t="s">
        <v>23</v>
      </c>
      <c r="E43" s="315" t="s">
        <v>2</v>
      </c>
      <c r="F43" s="307" t="s">
        <v>12</v>
      </c>
      <c r="G43" s="307" t="s">
        <v>13</v>
      </c>
      <c r="H43" s="307" t="s">
        <v>14</v>
      </c>
      <c r="I43" s="307" t="s">
        <v>15</v>
      </c>
      <c r="J43" s="309" t="s">
        <v>19</v>
      </c>
      <c r="K43" s="305" t="s">
        <v>21</v>
      </c>
      <c r="M43" s="337" t="s">
        <v>28</v>
      </c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337"/>
      <c r="Y43" s="337"/>
    </row>
    <row r="44" spans="1:25" ht="13.5" thickBot="1" x14ac:dyDescent="0.3">
      <c r="B44" s="334"/>
      <c r="C44" s="335"/>
      <c r="D44" s="335"/>
      <c r="E44" s="335"/>
      <c r="F44" s="336"/>
      <c r="G44" s="336"/>
      <c r="H44" s="336" t="s">
        <v>1</v>
      </c>
      <c r="I44" s="336" t="s">
        <v>1</v>
      </c>
      <c r="J44" s="317"/>
      <c r="K44" s="306"/>
      <c r="M44" s="5">
        <v>43983</v>
      </c>
      <c r="N44" s="5">
        <v>44013</v>
      </c>
      <c r="O44" s="5">
        <v>44044</v>
      </c>
      <c r="P44" s="5">
        <v>44075</v>
      </c>
      <c r="Q44" s="5">
        <v>44105</v>
      </c>
      <c r="R44" s="5">
        <v>44136</v>
      </c>
      <c r="S44" s="5">
        <v>44166</v>
      </c>
      <c r="T44" s="5">
        <v>44197</v>
      </c>
      <c r="U44" s="5">
        <v>44228</v>
      </c>
      <c r="V44" s="5">
        <v>44256</v>
      </c>
      <c r="W44" s="5">
        <v>44287</v>
      </c>
      <c r="X44" s="5">
        <v>44317</v>
      </c>
      <c r="Y44" s="5">
        <v>44348</v>
      </c>
    </row>
    <row r="45" spans="1:25" ht="13" x14ac:dyDescent="0.3">
      <c r="B45" s="23" t="s">
        <v>158</v>
      </c>
      <c r="C45" s="33" t="s">
        <v>159</v>
      </c>
      <c r="D45" s="58"/>
      <c r="E45" s="16" t="s">
        <v>160</v>
      </c>
      <c r="F45" s="6">
        <v>2147</v>
      </c>
      <c r="G45" s="7">
        <v>44620</v>
      </c>
      <c r="H45" s="8">
        <f ca="1">TODAY()-G45</f>
        <v>-136</v>
      </c>
      <c r="I45" s="52">
        <f ca="1">H45/30</f>
        <v>-4.5333333333333332</v>
      </c>
      <c r="J45" s="9" t="s">
        <v>20</v>
      </c>
      <c r="K45" s="30"/>
      <c r="M45" s="4">
        <v>80.275364999999994</v>
      </c>
      <c r="N45" s="4">
        <v>321.10145999999997</v>
      </c>
      <c r="O45" s="4">
        <v>642.20292099999995</v>
      </c>
      <c r="P45" s="4">
        <v>931.19423600000005</v>
      </c>
      <c r="Q45" s="4">
        <v>963.30438200000003</v>
      </c>
      <c r="R45" s="4">
        <v>995.41452800000002</v>
      </c>
      <c r="S45" s="4">
        <v>603.67074600000001</v>
      </c>
      <c r="T45" s="4">
        <v>440</v>
      </c>
      <c r="U45" s="4">
        <v>550</v>
      </c>
      <c r="V45" s="4">
        <v>877.07079899999997</v>
      </c>
      <c r="W45" s="4">
        <v>385</v>
      </c>
      <c r="X45" s="4">
        <v>794.737077</v>
      </c>
      <c r="Y45" s="4">
        <v>596.26947600000005</v>
      </c>
    </row>
    <row r="46" spans="1:25" ht="13" x14ac:dyDescent="0.3">
      <c r="B46" s="20" t="s">
        <v>22</v>
      </c>
      <c r="C46" s="26">
        <v>119</v>
      </c>
      <c r="D46" s="38"/>
      <c r="E46" s="16" t="s">
        <v>161</v>
      </c>
      <c r="F46" s="6">
        <v>808</v>
      </c>
      <c r="G46" s="7">
        <v>44500</v>
      </c>
      <c r="H46" s="8">
        <f ca="1">TODAY()-G46</f>
        <v>-16</v>
      </c>
      <c r="I46" s="52">
        <f ca="1">H46/30</f>
        <v>-0.53333333333333333</v>
      </c>
      <c r="J46" s="9" t="s">
        <v>20</v>
      </c>
      <c r="K46" s="22"/>
      <c r="M46" s="17"/>
      <c r="O46" s="17"/>
      <c r="Q46" s="17"/>
      <c r="S46" s="17"/>
    </row>
    <row r="47" spans="1:25" ht="13" x14ac:dyDescent="0.3">
      <c r="B47" s="20" t="s">
        <v>24</v>
      </c>
      <c r="C47" s="26">
        <v>0</v>
      </c>
      <c r="D47" s="1"/>
      <c r="E47" s="16" t="s">
        <v>162</v>
      </c>
      <c r="F47" s="6">
        <v>3388</v>
      </c>
      <c r="G47" s="7">
        <v>44620</v>
      </c>
      <c r="H47" s="8">
        <f ca="1">TODAY()-G47</f>
        <v>-136</v>
      </c>
      <c r="I47" s="52">
        <f ca="1">H47/30</f>
        <v>-4.5333333333333332</v>
      </c>
      <c r="J47" s="56" t="s">
        <v>139</v>
      </c>
      <c r="K47" s="24"/>
      <c r="M47" s="48" t="s">
        <v>120</v>
      </c>
    </row>
    <row r="48" spans="1:25" ht="13" x14ac:dyDescent="0.25">
      <c r="B48" s="21"/>
      <c r="C48" s="25"/>
      <c r="D48" s="38">
        <v>43952</v>
      </c>
      <c r="G48" s="10"/>
      <c r="H48" s="11"/>
      <c r="I48" s="64"/>
      <c r="J48" s="65"/>
      <c r="K48" s="24"/>
      <c r="L48" s="14"/>
      <c r="M48" s="19">
        <f>SUM(F45:F47)+C46</f>
        <v>6462</v>
      </c>
      <c r="N48" s="19">
        <f t="shared" ref="N48:S48" si="11">M52</f>
        <v>6343</v>
      </c>
      <c r="O48" s="19">
        <f t="shared" si="11"/>
        <v>6021.8985400000001</v>
      </c>
      <c r="P48" s="19">
        <f t="shared" si="11"/>
        <v>5379.6956190000001</v>
      </c>
      <c r="Q48" s="19">
        <f t="shared" si="11"/>
        <v>4448.5013829999998</v>
      </c>
      <c r="R48" s="19">
        <f t="shared" si="11"/>
        <v>3485.1970009999995</v>
      </c>
      <c r="S48" s="19">
        <f t="shared" si="11"/>
        <v>2489.7824729999993</v>
      </c>
    </row>
    <row r="49" spans="2:43" ht="13" x14ac:dyDescent="0.25">
      <c r="B49" s="21"/>
      <c r="C49" s="37"/>
      <c r="D49" s="38">
        <v>43983</v>
      </c>
      <c r="F49" s="49"/>
      <c r="G49" s="10"/>
      <c r="H49" s="11"/>
      <c r="I49" s="64"/>
      <c r="J49" s="65"/>
      <c r="K49" s="30"/>
      <c r="L49" s="14"/>
      <c r="M49" s="47">
        <f t="shared" ref="M49:S49" si="12">M48/M45</f>
        <v>80.497921124369853</v>
      </c>
      <c r="N49" s="47">
        <f t="shared" si="12"/>
        <v>19.753880907299521</v>
      </c>
      <c r="O49" s="47">
        <f t="shared" si="12"/>
        <v>9.3769404390485498</v>
      </c>
      <c r="P49" s="47">
        <f t="shared" si="12"/>
        <v>5.7772002993798601</v>
      </c>
      <c r="Q49" s="47">
        <f t="shared" si="12"/>
        <v>4.6179602897311431</v>
      </c>
      <c r="R49" s="47">
        <f t="shared" si="12"/>
        <v>3.5012518935226948</v>
      </c>
      <c r="S49" s="47">
        <f t="shared" si="12"/>
        <v>4.1244047181308989</v>
      </c>
    </row>
    <row r="50" spans="2:43" ht="13" x14ac:dyDescent="0.3">
      <c r="B50" s="21"/>
      <c r="C50" s="53"/>
      <c r="D50" s="38">
        <v>44013</v>
      </c>
      <c r="F50" s="49"/>
      <c r="G50" s="7"/>
      <c r="H50" s="8"/>
      <c r="I50" s="52"/>
      <c r="J50" s="9"/>
      <c r="K50" s="30"/>
      <c r="L50" s="14"/>
    </row>
    <row r="51" spans="2:43" ht="13" x14ac:dyDescent="0.3">
      <c r="B51" s="21"/>
      <c r="C51" s="37"/>
      <c r="D51" s="38">
        <v>44044</v>
      </c>
      <c r="F51" s="49"/>
      <c r="G51" s="7"/>
      <c r="H51" s="8"/>
      <c r="I51" s="52"/>
      <c r="J51" s="9"/>
      <c r="K51" s="30"/>
      <c r="L51" s="14"/>
      <c r="M51" s="48" t="s">
        <v>121</v>
      </c>
    </row>
    <row r="52" spans="2:43" ht="14.5" x14ac:dyDescent="0.35">
      <c r="B52" s="21"/>
      <c r="C52" s="37"/>
      <c r="D52" s="38">
        <v>44075</v>
      </c>
      <c r="F52" s="49"/>
      <c r="G52" s="1"/>
      <c r="H52" s="1"/>
      <c r="I52" s="1"/>
      <c r="J52" s="1"/>
      <c r="K52" s="30"/>
      <c r="L52" s="14"/>
      <c r="M52" s="19">
        <f>IF(C46&gt;M45,M48+F48-C46,M48+F48-M45)</f>
        <v>6343</v>
      </c>
      <c r="N52" s="39">
        <f>(N48+F49)-N45</f>
        <v>6021.8985400000001</v>
      </c>
      <c r="O52" s="39">
        <f>(O48+F50)-O45</f>
        <v>5379.6956190000001</v>
      </c>
      <c r="P52" s="39">
        <f>(P48+F51)-P45</f>
        <v>4448.5013829999998</v>
      </c>
      <c r="Q52" s="39">
        <f>(Q48+F52)-Q45</f>
        <v>3485.1970009999995</v>
      </c>
      <c r="R52" s="39">
        <f>(R48+F53)-R45</f>
        <v>2489.7824729999993</v>
      </c>
      <c r="S52" s="39">
        <f>(S48+F54)-S45</f>
        <v>1886.1117269999993</v>
      </c>
    </row>
    <row r="53" spans="2:43" ht="13" x14ac:dyDescent="0.25">
      <c r="B53" s="21"/>
      <c r="C53" s="37"/>
      <c r="D53" s="38">
        <v>44105</v>
      </c>
      <c r="F53" s="49"/>
      <c r="G53" s="1"/>
      <c r="H53" s="1"/>
      <c r="I53" s="1"/>
      <c r="J53" s="1"/>
      <c r="K53" s="30"/>
      <c r="L53" s="14"/>
      <c r="M53" s="47">
        <f t="shared" ref="M53:R53" si="13">M52/N45</f>
        <v>19.753880907299521</v>
      </c>
      <c r="N53" s="47">
        <f t="shared" si="13"/>
        <v>9.3769404390485498</v>
      </c>
      <c r="O53" s="47">
        <f t="shared" si="13"/>
        <v>5.7772002993798601</v>
      </c>
      <c r="P53" s="47">
        <f t="shared" si="13"/>
        <v>4.6179602897311431</v>
      </c>
      <c r="Q53" s="47">
        <f t="shared" si="13"/>
        <v>3.5012518935226948</v>
      </c>
      <c r="R53" s="47">
        <f t="shared" si="13"/>
        <v>4.1244047181308989</v>
      </c>
      <c r="S53" s="47" t="e">
        <f>S52/#REF!</f>
        <v>#REF!</v>
      </c>
    </row>
    <row r="54" spans="2:43" ht="13" x14ac:dyDescent="0.25">
      <c r="B54" s="21"/>
      <c r="C54" s="37"/>
      <c r="D54" s="38">
        <v>44136</v>
      </c>
      <c r="F54" s="49"/>
      <c r="G54" s="1"/>
      <c r="H54" s="1"/>
      <c r="I54" s="1"/>
      <c r="J54" s="1"/>
      <c r="K54" s="30"/>
      <c r="L54" s="14"/>
      <c r="M54" s="47"/>
      <c r="N54" s="47"/>
      <c r="O54" s="47"/>
      <c r="P54" s="47"/>
      <c r="Q54" s="47"/>
      <c r="R54" s="47"/>
      <c r="S54" s="47"/>
    </row>
    <row r="55" spans="2:43" ht="13" x14ac:dyDescent="0.25">
      <c r="B55" s="21"/>
      <c r="C55" s="37"/>
      <c r="D55" s="38">
        <v>44166</v>
      </c>
      <c r="F55" s="49"/>
      <c r="G55" s="1"/>
      <c r="H55" s="1"/>
      <c r="I55" s="1"/>
      <c r="J55" s="1"/>
      <c r="K55" s="30"/>
      <c r="L55" s="14"/>
      <c r="M55" s="47"/>
      <c r="N55" s="47"/>
      <c r="O55" s="47"/>
      <c r="P55" s="47"/>
      <c r="Q55" s="47"/>
      <c r="R55" s="47"/>
      <c r="S55" s="47"/>
    </row>
    <row r="56" spans="2:43" ht="15" thickBot="1" x14ac:dyDescent="0.4">
      <c r="B56" s="95" t="s">
        <v>0</v>
      </c>
      <c r="C56" s="96"/>
      <c r="D56" s="96"/>
      <c r="E56" s="96"/>
      <c r="F56" s="27"/>
      <c r="G56" s="28"/>
      <c r="H56" s="28"/>
      <c r="I56" s="28"/>
      <c r="J56" s="28"/>
      <c r="K56" s="29"/>
      <c r="L56" s="14"/>
      <c r="M56"/>
      <c r="N56"/>
      <c r="S56" s="14"/>
    </row>
    <row r="58" spans="2:43" ht="13" thickBot="1" x14ac:dyDescent="0.3">
      <c r="M58" s="19"/>
      <c r="N58" s="19"/>
      <c r="Q58" s="19"/>
      <c r="R58" s="19"/>
      <c r="AA58" s="60">
        <v>43890</v>
      </c>
      <c r="AB58" s="60">
        <v>43921</v>
      </c>
      <c r="AC58" s="60">
        <v>43951</v>
      </c>
      <c r="AD58" s="60">
        <v>43982</v>
      </c>
      <c r="AE58" s="60">
        <v>44012</v>
      </c>
      <c r="AF58" s="60">
        <v>44042</v>
      </c>
      <c r="AG58" s="60">
        <v>44073</v>
      </c>
      <c r="AH58" s="60">
        <v>44104</v>
      </c>
      <c r="AI58" s="60">
        <v>44134</v>
      </c>
      <c r="AJ58" s="60">
        <v>44165</v>
      </c>
      <c r="AK58" s="60">
        <v>44195</v>
      </c>
    </row>
    <row r="59" spans="2:43" ht="13" x14ac:dyDescent="0.25">
      <c r="B59" s="311" t="s">
        <v>4</v>
      </c>
      <c r="C59" s="315" t="s">
        <v>3</v>
      </c>
      <c r="D59" s="315" t="s">
        <v>23</v>
      </c>
      <c r="E59" s="315" t="s">
        <v>2</v>
      </c>
      <c r="F59" s="307" t="s">
        <v>12</v>
      </c>
      <c r="G59" s="307" t="s">
        <v>13</v>
      </c>
      <c r="H59" s="307" t="s">
        <v>14</v>
      </c>
      <c r="I59" s="307" t="s">
        <v>15</v>
      </c>
      <c r="J59" s="309" t="s">
        <v>19</v>
      </c>
      <c r="K59" s="305" t="s">
        <v>21</v>
      </c>
      <c r="M59" s="337" t="s">
        <v>28</v>
      </c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AA59" s="97">
        <v>43862</v>
      </c>
      <c r="AB59" s="97">
        <v>43891</v>
      </c>
      <c r="AC59" s="97">
        <v>43922</v>
      </c>
      <c r="AD59" s="97">
        <v>43952</v>
      </c>
      <c r="AE59" s="97">
        <v>43983</v>
      </c>
      <c r="AF59" s="97">
        <v>44013</v>
      </c>
      <c r="AG59" s="97">
        <v>44044</v>
      </c>
      <c r="AH59" s="97">
        <v>44075</v>
      </c>
      <c r="AI59" s="97">
        <v>44105</v>
      </c>
      <c r="AJ59" s="97">
        <v>44136</v>
      </c>
      <c r="AK59" s="97">
        <v>44166</v>
      </c>
      <c r="AL59" s="97">
        <v>44197</v>
      </c>
      <c r="AM59" s="97">
        <v>44228</v>
      </c>
      <c r="AN59" s="97">
        <v>44256</v>
      </c>
      <c r="AO59" s="97">
        <v>44287</v>
      </c>
      <c r="AP59" s="97">
        <v>44317</v>
      </c>
      <c r="AQ59" s="97">
        <v>44348</v>
      </c>
    </row>
    <row r="60" spans="2:43" ht="13.5" thickBot="1" x14ac:dyDescent="0.3">
      <c r="B60" s="334"/>
      <c r="C60" s="335"/>
      <c r="D60" s="335"/>
      <c r="E60" s="335"/>
      <c r="F60" s="336"/>
      <c r="G60" s="336"/>
      <c r="H60" s="336" t="s">
        <v>1</v>
      </c>
      <c r="I60" s="336" t="s">
        <v>1</v>
      </c>
      <c r="J60" s="317"/>
      <c r="K60" s="306"/>
      <c r="M60" s="5">
        <v>43983</v>
      </c>
      <c r="N60" s="5">
        <v>44013</v>
      </c>
      <c r="O60" s="5">
        <v>44044</v>
      </c>
      <c r="P60" s="5">
        <v>44075</v>
      </c>
      <c r="Q60" s="5">
        <v>44105</v>
      </c>
      <c r="R60" s="5">
        <v>44136</v>
      </c>
      <c r="S60" s="5">
        <v>44166</v>
      </c>
      <c r="T60" s="5">
        <v>44197</v>
      </c>
      <c r="U60" s="5">
        <v>44228</v>
      </c>
      <c r="V60" s="5">
        <v>44256</v>
      </c>
      <c r="W60" s="5">
        <v>44287</v>
      </c>
      <c r="X60" s="5">
        <v>44317</v>
      </c>
      <c r="Y60" s="5">
        <v>44348</v>
      </c>
      <c r="Z60" s="1" t="s">
        <v>231</v>
      </c>
      <c r="AA60" s="34">
        <v>600.25082499999996</v>
      </c>
      <c r="AB60" s="34">
        <v>1983.2549670000001</v>
      </c>
      <c r="AC60" s="34">
        <v>752.53953300000001</v>
      </c>
      <c r="AD60" s="34">
        <v>1125.790767</v>
      </c>
      <c r="AE60" s="34">
        <v>913.00817800000004</v>
      </c>
      <c r="AF60" s="34">
        <v>858.34714799999995</v>
      </c>
      <c r="AG60" s="34">
        <v>1006.465116</v>
      </c>
      <c r="AH60" s="34">
        <v>1067.8411550000001</v>
      </c>
      <c r="AI60" s="34">
        <v>917.67459899999994</v>
      </c>
      <c r="AJ60" s="34">
        <v>942.05248800000004</v>
      </c>
      <c r="AK60" s="34">
        <v>438.17911600000002</v>
      </c>
    </row>
    <row r="61" spans="2:43" ht="13" x14ac:dyDescent="0.3">
      <c r="B61" s="23" t="s">
        <v>163</v>
      </c>
      <c r="C61" s="33" t="s">
        <v>164</v>
      </c>
      <c r="D61" s="58"/>
      <c r="E61" s="16" t="s">
        <v>165</v>
      </c>
      <c r="F61" s="6">
        <v>4516</v>
      </c>
      <c r="G61" s="7">
        <v>44104</v>
      </c>
      <c r="H61" s="8">
        <f ca="1">TODAY()-G61</f>
        <v>380</v>
      </c>
      <c r="I61" s="52">
        <f ca="1">H61/30</f>
        <v>12.666666666666666</v>
      </c>
      <c r="J61" s="9" t="s">
        <v>20</v>
      </c>
      <c r="K61" s="81">
        <v>4516</v>
      </c>
      <c r="M61" s="4">
        <v>63.847912999999998</v>
      </c>
      <c r="N61" s="4">
        <v>255.39165399999999</v>
      </c>
      <c r="O61" s="4">
        <v>702.32704999999999</v>
      </c>
      <c r="P61" s="4">
        <v>835.76918899999998</v>
      </c>
      <c r="Q61" s="4">
        <v>893.87079100000005</v>
      </c>
      <c r="R61" s="4">
        <v>957.718704</v>
      </c>
      <c r="S61" s="4">
        <v>574.63122199999998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1" t="s">
        <v>232</v>
      </c>
      <c r="AA61" s="34">
        <v>374</v>
      </c>
      <c r="AB61" s="34">
        <v>1092</v>
      </c>
      <c r="AC61" s="34">
        <v>0</v>
      </c>
      <c r="AD61" s="34">
        <v>0</v>
      </c>
      <c r="AE61" s="34"/>
      <c r="AF61" s="34"/>
      <c r="AG61" s="34"/>
      <c r="AH61" s="34"/>
      <c r="AI61" s="34"/>
      <c r="AJ61" s="34"/>
      <c r="AK61" s="34"/>
    </row>
    <row r="62" spans="2:43" ht="13" x14ac:dyDescent="0.3">
      <c r="B62" s="20" t="s">
        <v>22</v>
      </c>
      <c r="C62" s="26">
        <v>94</v>
      </c>
      <c r="D62" s="38"/>
      <c r="E62" s="16" t="s">
        <v>166</v>
      </c>
      <c r="F62" s="6">
        <v>3</v>
      </c>
      <c r="G62" s="7">
        <v>44255</v>
      </c>
      <c r="H62" s="8">
        <f ca="1">TODAY()-G62</f>
        <v>229</v>
      </c>
      <c r="I62" s="52">
        <f ca="1">H62/30</f>
        <v>7.6333333333333337</v>
      </c>
      <c r="J62" s="9" t="s">
        <v>20</v>
      </c>
      <c r="K62" s="81">
        <v>0</v>
      </c>
      <c r="M62" s="17"/>
      <c r="O62" s="17"/>
      <c r="Q62" s="17"/>
      <c r="S62" s="17"/>
      <c r="Z62" s="1" t="s">
        <v>233</v>
      </c>
      <c r="AA62" s="34">
        <f t="shared" ref="AA62:AK62" si="14">AA60-AA61</f>
        <v>226.25082499999996</v>
      </c>
      <c r="AB62" s="34">
        <f t="shared" si="14"/>
        <v>891.25496700000008</v>
      </c>
      <c r="AC62" s="34">
        <f t="shared" si="14"/>
        <v>752.53953300000001</v>
      </c>
      <c r="AD62" s="34">
        <f t="shared" si="14"/>
        <v>1125.790767</v>
      </c>
      <c r="AE62" s="34">
        <f t="shared" si="14"/>
        <v>913.00817800000004</v>
      </c>
      <c r="AF62" s="34">
        <f t="shared" si="14"/>
        <v>858.34714799999995</v>
      </c>
      <c r="AG62" s="34">
        <f t="shared" si="14"/>
        <v>1006.465116</v>
      </c>
      <c r="AH62" s="34">
        <f t="shared" si="14"/>
        <v>1067.8411550000001</v>
      </c>
      <c r="AI62" s="34">
        <f t="shared" si="14"/>
        <v>917.67459899999994</v>
      </c>
      <c r="AJ62" s="34">
        <f t="shared" si="14"/>
        <v>942.05248800000004</v>
      </c>
      <c r="AK62" s="34">
        <f t="shared" si="14"/>
        <v>438.17911600000002</v>
      </c>
    </row>
    <row r="63" spans="2:43" ht="13" x14ac:dyDescent="0.3">
      <c r="B63" s="20" t="s">
        <v>24</v>
      </c>
      <c r="C63" s="26">
        <v>0</v>
      </c>
      <c r="D63" s="1"/>
      <c r="E63" s="16" t="s">
        <v>167</v>
      </c>
      <c r="F63" s="6">
        <v>131</v>
      </c>
      <c r="G63" s="7">
        <v>44255</v>
      </c>
      <c r="H63" s="8">
        <f ca="1">TODAY()-G63</f>
        <v>229</v>
      </c>
      <c r="I63" s="52">
        <f ca="1">H63/30</f>
        <v>7.6333333333333337</v>
      </c>
      <c r="J63" s="9" t="s">
        <v>20</v>
      </c>
      <c r="K63" s="81">
        <v>0</v>
      </c>
      <c r="M63" s="48" t="s">
        <v>120</v>
      </c>
    </row>
    <row r="64" spans="2:43" ht="13" x14ac:dyDescent="0.3">
      <c r="B64" s="21"/>
      <c r="C64" s="68"/>
      <c r="D64" s="38"/>
      <c r="E64" s="16" t="s">
        <v>168</v>
      </c>
      <c r="F64" s="6">
        <v>2638</v>
      </c>
      <c r="G64" s="7">
        <v>44469</v>
      </c>
      <c r="H64" s="8">
        <f ca="1">TODAY()-G64</f>
        <v>15</v>
      </c>
      <c r="I64" s="52">
        <f ca="1">H64/30</f>
        <v>0.5</v>
      </c>
      <c r="J64" s="9" t="s">
        <v>20</v>
      </c>
      <c r="K64" s="81">
        <v>0</v>
      </c>
      <c r="L64" s="14"/>
      <c r="M64" s="19">
        <f>SUM(F64)+C62</f>
        <v>2732</v>
      </c>
      <c r="N64" s="19">
        <f t="shared" ref="N64:S64" si="15">M68</f>
        <v>5276</v>
      </c>
      <c r="O64" s="19">
        <f t="shared" si="15"/>
        <v>5020.608346</v>
      </c>
      <c r="P64" s="19">
        <f t="shared" si="15"/>
        <v>4318.2812960000001</v>
      </c>
      <c r="Q64" s="19">
        <f t="shared" si="15"/>
        <v>3482.512107</v>
      </c>
      <c r="R64" s="19">
        <f t="shared" si="15"/>
        <v>2588.6413160000002</v>
      </c>
      <c r="S64" s="19">
        <f t="shared" si="15"/>
        <v>1630.9226120000003</v>
      </c>
    </row>
    <row r="65" spans="2:43" ht="13" x14ac:dyDescent="0.25">
      <c r="B65" s="21"/>
      <c r="C65" s="37"/>
      <c r="D65" s="38">
        <v>43983</v>
      </c>
      <c r="F65" s="49"/>
      <c r="G65" s="10"/>
      <c r="H65" s="11"/>
      <c r="I65" s="64"/>
      <c r="J65" s="65"/>
      <c r="K65" s="30"/>
      <c r="L65" s="14"/>
      <c r="M65" s="47">
        <f t="shared" ref="M65:S65" si="16">M64/M61</f>
        <v>42.789182474922868</v>
      </c>
      <c r="N65" s="47">
        <f t="shared" si="16"/>
        <v>20.658466779811061</v>
      </c>
      <c r="O65" s="47">
        <f t="shared" si="16"/>
        <v>7.1485333592092175</v>
      </c>
      <c r="P65" s="47">
        <f t="shared" si="16"/>
        <v>5.1668347587290633</v>
      </c>
      <c r="Q65" s="47">
        <f t="shared" si="16"/>
        <v>3.8959904966846599</v>
      </c>
      <c r="R65" s="47">
        <f t="shared" si="16"/>
        <v>2.7029244653866553</v>
      </c>
      <c r="S65" s="47">
        <f t="shared" si="16"/>
        <v>2.8382074442867644</v>
      </c>
      <c r="AA65" s="79">
        <f>AA62-F62</f>
        <v>223.25082499999996</v>
      </c>
    </row>
    <row r="66" spans="2:43" ht="13" x14ac:dyDescent="0.3">
      <c r="B66" s="21"/>
      <c r="C66" s="53"/>
      <c r="D66" s="38">
        <v>44013</v>
      </c>
      <c r="F66" s="49"/>
      <c r="G66" s="7"/>
      <c r="H66" s="8"/>
      <c r="I66" s="52"/>
      <c r="J66" s="9"/>
      <c r="K66" s="30"/>
      <c r="L66" s="14"/>
      <c r="AA66" s="99">
        <f>AA65-F63</f>
        <v>92.250824999999963</v>
      </c>
    </row>
    <row r="67" spans="2:43" ht="13" x14ac:dyDescent="0.3">
      <c r="B67" s="21"/>
      <c r="C67" s="37"/>
      <c r="D67" s="38">
        <v>44044</v>
      </c>
      <c r="F67" s="49"/>
      <c r="G67" s="7"/>
      <c r="H67" s="8"/>
      <c r="I67" s="52"/>
      <c r="J67" s="9"/>
      <c r="K67" s="30"/>
      <c r="L67" s="14"/>
      <c r="M67" s="48" t="s">
        <v>121</v>
      </c>
      <c r="AA67" s="99">
        <f>F64-AA66</f>
        <v>2545.7491749999999</v>
      </c>
    </row>
    <row r="68" spans="2:43" ht="14.5" x14ac:dyDescent="0.35">
      <c r="B68" s="21"/>
      <c r="C68" s="37"/>
      <c r="D68" s="38">
        <v>44075</v>
      </c>
      <c r="F68" s="49"/>
      <c r="G68" s="1"/>
      <c r="H68" s="1"/>
      <c r="I68" s="1"/>
      <c r="J68" s="1"/>
      <c r="K68" s="30"/>
      <c r="L68" s="14"/>
      <c r="M68" s="19">
        <f>IF(C62&gt;M61,M64+F64-C62,M64+F64-M61)</f>
        <v>5276</v>
      </c>
      <c r="N68" s="39">
        <f>(N64+F65)-N61</f>
        <v>5020.608346</v>
      </c>
      <c r="O68" s="39">
        <f>(O64+F66)-O61</f>
        <v>4318.2812960000001</v>
      </c>
      <c r="P68" s="39">
        <f>(P64+F67)-P61</f>
        <v>3482.512107</v>
      </c>
      <c r="Q68" s="39">
        <f>(Q64+F68)-Q61</f>
        <v>2588.6413160000002</v>
      </c>
      <c r="R68" s="39">
        <f>(R64+F69)-R61</f>
        <v>1630.9226120000003</v>
      </c>
      <c r="S68" s="39">
        <f>(S64+F70)-S61</f>
        <v>1056.2913900000003</v>
      </c>
    </row>
    <row r="69" spans="2:43" ht="13" x14ac:dyDescent="0.25">
      <c r="B69" s="21"/>
      <c r="C69" s="37"/>
      <c r="D69" s="38">
        <v>44105</v>
      </c>
      <c r="F69" s="49"/>
      <c r="G69" s="1"/>
      <c r="H69" s="1"/>
      <c r="I69" s="1"/>
      <c r="J69" s="1"/>
      <c r="K69" s="30"/>
      <c r="L69" s="14"/>
      <c r="M69" s="47">
        <f t="shared" ref="M69:R69" si="17">M68/N61</f>
        <v>20.658466779811061</v>
      </c>
      <c r="N69" s="47">
        <f t="shared" si="17"/>
        <v>7.1485333592092175</v>
      </c>
      <c r="O69" s="47">
        <f t="shared" si="17"/>
        <v>5.1668347587290633</v>
      </c>
      <c r="P69" s="47">
        <f t="shared" si="17"/>
        <v>3.8959904966846599</v>
      </c>
      <c r="Q69" s="47">
        <f t="shared" si="17"/>
        <v>2.7029244653866553</v>
      </c>
      <c r="R69" s="47">
        <f t="shared" si="17"/>
        <v>2.8382074442867644</v>
      </c>
      <c r="S69" s="47" t="e">
        <f>S68/#REF!</f>
        <v>#REF!</v>
      </c>
    </row>
    <row r="70" spans="2:43" ht="13" x14ac:dyDescent="0.25">
      <c r="B70" s="21"/>
      <c r="C70" s="37"/>
      <c r="D70" s="38">
        <v>44136</v>
      </c>
      <c r="F70" s="49"/>
      <c r="G70" s="1"/>
      <c r="H70" s="1"/>
      <c r="I70" s="1"/>
      <c r="J70" s="1"/>
      <c r="K70" s="30"/>
      <c r="L70" s="14"/>
      <c r="M70" s="47"/>
      <c r="N70" s="47"/>
      <c r="O70" s="47"/>
      <c r="P70" s="47"/>
      <c r="Q70" s="47"/>
      <c r="R70" s="47"/>
      <c r="S70" s="47"/>
    </row>
    <row r="71" spans="2:43" ht="13" x14ac:dyDescent="0.25">
      <c r="B71" s="21"/>
      <c r="C71" s="37"/>
      <c r="D71" s="38">
        <v>44166</v>
      </c>
      <c r="F71" s="49"/>
      <c r="G71" s="1"/>
      <c r="H71" s="1"/>
      <c r="I71" s="1"/>
      <c r="J71" s="1"/>
      <c r="K71" s="30"/>
      <c r="L71" s="14"/>
      <c r="M71" s="47"/>
      <c r="N71" s="47"/>
      <c r="O71" s="47"/>
      <c r="P71" s="47"/>
      <c r="Q71" s="47"/>
      <c r="R71" s="47"/>
      <c r="S71" s="47"/>
    </row>
    <row r="72" spans="2:43" ht="15" thickBot="1" x14ac:dyDescent="0.4">
      <c r="B72" s="95" t="s">
        <v>0</v>
      </c>
      <c r="C72" s="96"/>
      <c r="D72" s="96"/>
      <c r="E72" s="96"/>
      <c r="F72" s="27"/>
      <c r="G72" s="28"/>
      <c r="H72" s="28"/>
      <c r="I72" s="28"/>
      <c r="J72" s="28"/>
      <c r="K72" s="29"/>
      <c r="L72" s="14"/>
      <c r="M72"/>
      <c r="N72"/>
      <c r="S72" s="14"/>
    </row>
    <row r="73" spans="2:43" x14ac:dyDescent="0.25">
      <c r="N73" s="19"/>
      <c r="O73" s="19"/>
    </row>
    <row r="74" spans="2:43" ht="13" thickBot="1" x14ac:dyDescent="0.3">
      <c r="M74" s="19"/>
      <c r="N74" s="19"/>
      <c r="O74" s="19">
        <f>F84-O77</f>
        <v>3459.0801929999998</v>
      </c>
      <c r="P74" s="19"/>
      <c r="AA74" s="60">
        <v>43890</v>
      </c>
      <c r="AB74" s="60">
        <v>43921</v>
      </c>
      <c r="AC74" s="60">
        <v>43951</v>
      </c>
      <c r="AD74" s="60">
        <v>43982</v>
      </c>
      <c r="AE74" s="60">
        <v>44012</v>
      </c>
      <c r="AF74" s="60">
        <v>44042</v>
      </c>
      <c r="AG74" s="60">
        <v>44073</v>
      </c>
      <c r="AH74" s="60">
        <v>44104</v>
      </c>
      <c r="AI74" s="60">
        <v>44134</v>
      </c>
      <c r="AJ74" s="60">
        <v>44165</v>
      </c>
      <c r="AK74" s="60">
        <v>44195</v>
      </c>
    </row>
    <row r="75" spans="2:43" ht="13" x14ac:dyDescent="0.25">
      <c r="B75" s="311" t="s">
        <v>4</v>
      </c>
      <c r="C75" s="315" t="s">
        <v>3</v>
      </c>
      <c r="D75" s="315" t="s">
        <v>23</v>
      </c>
      <c r="E75" s="315" t="s">
        <v>2</v>
      </c>
      <c r="F75" s="307" t="s">
        <v>12</v>
      </c>
      <c r="G75" s="307" t="s">
        <v>13</v>
      </c>
      <c r="H75" s="307" t="s">
        <v>14</v>
      </c>
      <c r="I75" s="307" t="s">
        <v>15</v>
      </c>
      <c r="J75" s="309" t="s">
        <v>19</v>
      </c>
      <c r="K75" s="305" t="s">
        <v>21</v>
      </c>
      <c r="M75" s="337" t="s">
        <v>28</v>
      </c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AA75" s="97">
        <v>43862</v>
      </c>
      <c r="AB75" s="97">
        <v>43891</v>
      </c>
      <c r="AC75" s="97">
        <v>43922</v>
      </c>
      <c r="AD75" s="97">
        <v>43952</v>
      </c>
      <c r="AE75" s="97">
        <v>43983</v>
      </c>
      <c r="AF75" s="97">
        <v>44013</v>
      </c>
      <c r="AG75" s="97">
        <v>44044</v>
      </c>
      <c r="AH75" s="97">
        <v>44075</v>
      </c>
      <c r="AI75" s="97">
        <v>44105</v>
      </c>
      <c r="AJ75" s="97">
        <v>44136</v>
      </c>
      <c r="AK75" s="97">
        <v>44166</v>
      </c>
      <c r="AL75" s="97">
        <v>44197</v>
      </c>
      <c r="AM75" s="97">
        <v>44228</v>
      </c>
      <c r="AN75" s="97">
        <v>44256</v>
      </c>
      <c r="AO75" s="97">
        <v>44287</v>
      </c>
      <c r="AP75" s="97">
        <v>44317</v>
      </c>
      <c r="AQ75" s="97">
        <v>44348</v>
      </c>
    </row>
    <row r="76" spans="2:43" ht="13.5" thickBot="1" x14ac:dyDescent="0.3">
      <c r="B76" s="334"/>
      <c r="C76" s="335"/>
      <c r="D76" s="335"/>
      <c r="E76" s="335"/>
      <c r="F76" s="336"/>
      <c r="G76" s="336"/>
      <c r="H76" s="336" t="s">
        <v>1</v>
      </c>
      <c r="I76" s="336" t="s">
        <v>1</v>
      </c>
      <c r="J76" s="317"/>
      <c r="K76" s="306"/>
      <c r="M76" s="5">
        <v>43983</v>
      </c>
      <c r="N76" s="5">
        <v>44013</v>
      </c>
      <c r="O76" s="5">
        <v>44044</v>
      </c>
      <c r="P76" s="5">
        <v>44075</v>
      </c>
      <c r="Q76" s="5">
        <v>44105</v>
      </c>
      <c r="R76" s="5">
        <v>44136</v>
      </c>
      <c r="S76" s="5">
        <v>44166</v>
      </c>
      <c r="T76" s="5">
        <v>44197</v>
      </c>
      <c r="U76" s="5">
        <v>44228</v>
      </c>
      <c r="V76" s="5">
        <v>44256</v>
      </c>
      <c r="W76" s="5">
        <v>44287</v>
      </c>
      <c r="X76" s="5">
        <v>44317</v>
      </c>
      <c r="Y76" s="5">
        <v>44348</v>
      </c>
      <c r="Z76" s="1" t="s">
        <v>231</v>
      </c>
      <c r="AA76" s="34">
        <v>2228.2149770000001</v>
      </c>
      <c r="AB76" s="34">
        <v>3500.2913130000002</v>
      </c>
      <c r="AC76" s="34">
        <v>3332.6137720000002</v>
      </c>
      <c r="AD76" s="34">
        <v>3718.3327519999998</v>
      </c>
      <c r="AE76" s="34">
        <v>2712.9591059999998</v>
      </c>
      <c r="AF76" s="34">
        <v>3411.4425040000001</v>
      </c>
      <c r="AG76" s="34">
        <v>3298.9317470000001</v>
      </c>
      <c r="AH76" s="34">
        <v>3944.5711550000001</v>
      </c>
      <c r="AI76" s="34">
        <v>3803.5542059999998</v>
      </c>
      <c r="AJ76" s="34">
        <v>4448.479343</v>
      </c>
      <c r="AK76" s="34">
        <v>2321.7110269999998</v>
      </c>
      <c r="AL76" s="4">
        <v>3406</v>
      </c>
      <c r="AM76" s="4">
        <v>3419.75</v>
      </c>
      <c r="AN76" s="4">
        <v>5179.75</v>
      </c>
      <c r="AO76" s="4">
        <v>162</v>
      </c>
      <c r="AP76" s="4">
        <v>3395.78</v>
      </c>
      <c r="AQ76" s="4">
        <v>162</v>
      </c>
    </row>
    <row r="77" spans="2:43" ht="13" x14ac:dyDescent="0.3">
      <c r="B77" s="23" t="s">
        <v>169</v>
      </c>
      <c r="C77" s="33" t="s">
        <v>170</v>
      </c>
      <c r="D77" s="58"/>
      <c r="E77" s="16" t="s">
        <v>171</v>
      </c>
      <c r="F77" s="6">
        <v>4096</v>
      </c>
      <c r="G77" s="7">
        <v>44316</v>
      </c>
      <c r="H77" s="8">
        <f t="shared" ref="H77:H90" ca="1" si="18">TODAY()-G77</f>
        <v>168</v>
      </c>
      <c r="I77" s="52">
        <f t="shared" ref="I77:I90" ca="1" si="19">H77/30</f>
        <v>5.6</v>
      </c>
      <c r="J77" s="9" t="s">
        <v>20</v>
      </c>
      <c r="K77" s="81">
        <v>0</v>
      </c>
      <c r="M77" s="4">
        <v>254.17452700000001</v>
      </c>
      <c r="N77" s="4">
        <v>1016.698111</v>
      </c>
      <c r="O77" s="4">
        <v>2795.9198070000002</v>
      </c>
      <c r="P77" s="4">
        <v>3537.1445709999998</v>
      </c>
      <c r="Q77" s="4">
        <v>3558.4433909999998</v>
      </c>
      <c r="R77" s="4">
        <v>3812.6179189999998</v>
      </c>
      <c r="S77" s="4">
        <v>2497.5707510000002</v>
      </c>
      <c r="T77" s="4">
        <v>3406</v>
      </c>
      <c r="U77" s="4">
        <v>3419.75</v>
      </c>
      <c r="V77" s="4">
        <v>5179.75</v>
      </c>
      <c r="W77" s="4">
        <v>162</v>
      </c>
      <c r="X77" s="4">
        <v>3395.78</v>
      </c>
      <c r="Y77" s="4">
        <v>162</v>
      </c>
      <c r="Z77" s="1" t="s">
        <v>232</v>
      </c>
      <c r="AA77" s="34">
        <v>2648</v>
      </c>
      <c r="AB77" s="34">
        <v>5480</v>
      </c>
      <c r="AC77" s="34">
        <v>30</v>
      </c>
      <c r="AD77" s="34">
        <v>69</v>
      </c>
      <c r="AE77" s="34"/>
      <c r="AF77" s="34"/>
      <c r="AG77" s="34"/>
      <c r="AH77" s="34"/>
      <c r="AI77" s="34"/>
      <c r="AJ77" s="34"/>
      <c r="AK77" s="34"/>
    </row>
    <row r="78" spans="2:43" ht="13" x14ac:dyDescent="0.3">
      <c r="B78" s="20" t="s">
        <v>22</v>
      </c>
      <c r="C78" s="26">
        <v>445</v>
      </c>
      <c r="D78" s="38"/>
      <c r="E78" s="16" t="s">
        <v>172</v>
      </c>
      <c r="F78" s="6">
        <v>2218</v>
      </c>
      <c r="G78" s="7">
        <v>44316</v>
      </c>
      <c r="H78" s="8">
        <f t="shared" ca="1" si="18"/>
        <v>168</v>
      </c>
      <c r="I78" s="52">
        <f t="shared" ca="1" si="19"/>
        <v>5.6</v>
      </c>
      <c r="J78" s="9" t="s">
        <v>20</v>
      </c>
      <c r="K78" s="81">
        <v>0</v>
      </c>
      <c r="M78" s="17"/>
      <c r="O78" s="17"/>
      <c r="Q78" s="17"/>
      <c r="S78" s="17"/>
      <c r="Z78" s="1" t="s">
        <v>233</v>
      </c>
      <c r="AA78" s="34">
        <v>0</v>
      </c>
      <c r="AB78" s="34">
        <v>0</v>
      </c>
      <c r="AC78" s="34">
        <f t="shared" ref="AC78:AK78" si="20">AC76-AC77</f>
        <v>3302.6137720000002</v>
      </c>
      <c r="AD78" s="34">
        <f t="shared" si="20"/>
        <v>3649.3327519999998</v>
      </c>
      <c r="AE78" s="34">
        <f t="shared" si="20"/>
        <v>2712.9591059999998</v>
      </c>
      <c r="AF78" s="34">
        <f t="shared" si="20"/>
        <v>3411.4425040000001</v>
      </c>
      <c r="AG78" s="34">
        <f t="shared" si="20"/>
        <v>3298.9317470000001</v>
      </c>
      <c r="AH78" s="34">
        <f t="shared" si="20"/>
        <v>3944.5711550000001</v>
      </c>
      <c r="AI78" s="34">
        <f t="shared" si="20"/>
        <v>3803.5542059999998</v>
      </c>
      <c r="AJ78" s="34">
        <f t="shared" si="20"/>
        <v>4448.479343</v>
      </c>
      <c r="AK78" s="34">
        <f t="shared" si="20"/>
        <v>2321.7110269999998</v>
      </c>
    </row>
    <row r="79" spans="2:43" ht="13" x14ac:dyDescent="0.3">
      <c r="B79" s="20" t="s">
        <v>24</v>
      </c>
      <c r="C79" s="26">
        <v>0</v>
      </c>
      <c r="D79" s="38"/>
      <c r="E79" s="16" t="s">
        <v>173</v>
      </c>
      <c r="F79" s="6">
        <v>48</v>
      </c>
      <c r="G79" s="7">
        <v>44285</v>
      </c>
      <c r="H79" s="8">
        <f t="shared" ca="1" si="18"/>
        <v>199</v>
      </c>
      <c r="I79" s="52">
        <f t="shared" ca="1" si="19"/>
        <v>6.6333333333333337</v>
      </c>
      <c r="J79" s="9" t="s">
        <v>20</v>
      </c>
      <c r="K79" s="81">
        <v>0</v>
      </c>
      <c r="M79" s="48" t="s">
        <v>120</v>
      </c>
    </row>
    <row r="80" spans="2:43" ht="13" x14ac:dyDescent="0.3">
      <c r="B80" s="21"/>
      <c r="C80" s="68"/>
      <c r="D80" s="38"/>
      <c r="E80" s="16" t="s">
        <v>174</v>
      </c>
      <c r="F80" s="6">
        <v>2398</v>
      </c>
      <c r="G80" s="7">
        <v>44104</v>
      </c>
      <c r="H80" s="8">
        <f t="shared" ca="1" si="18"/>
        <v>380</v>
      </c>
      <c r="I80" s="52">
        <f t="shared" ca="1" si="19"/>
        <v>12.666666666666666</v>
      </c>
      <c r="J80" s="9" t="s">
        <v>20</v>
      </c>
      <c r="K80" s="81">
        <v>2398</v>
      </c>
      <c r="L80" s="14"/>
      <c r="M80" s="19">
        <f>SUM(F77:F79)+F84+C78</f>
        <v>13062</v>
      </c>
      <c r="N80" s="19">
        <f t="shared" ref="N80:S80" si="21">M84</f>
        <v>12709</v>
      </c>
      <c r="O80" s="19">
        <f t="shared" si="21"/>
        <v>12992.301889</v>
      </c>
      <c r="P80" s="19">
        <f t="shared" si="21"/>
        <v>14056.382082000002</v>
      </c>
      <c r="Q80" s="19">
        <f t="shared" si="21"/>
        <v>18765.237511000003</v>
      </c>
      <c r="R80" s="19">
        <f t="shared" si="21"/>
        <v>17398.794120000002</v>
      </c>
      <c r="S80" s="19">
        <f t="shared" si="21"/>
        <v>19292.176201000002</v>
      </c>
      <c r="AC80" s="1">
        <f>($G$89-AC74)/30</f>
        <v>17.266666666666666</v>
      </c>
      <c r="AD80" s="1">
        <f t="shared" ref="AD80:AK80" si="22">($G$89-AD74)/30</f>
        <v>16.233333333333334</v>
      </c>
      <c r="AE80" s="1">
        <f t="shared" si="22"/>
        <v>15.233333333333333</v>
      </c>
      <c r="AF80" s="1">
        <f t="shared" si="22"/>
        <v>14.233333333333333</v>
      </c>
      <c r="AG80" s="1">
        <f t="shared" si="22"/>
        <v>13.2</v>
      </c>
      <c r="AH80" s="1">
        <f t="shared" si="22"/>
        <v>12.166666666666666</v>
      </c>
      <c r="AI80" s="1">
        <f t="shared" si="22"/>
        <v>11.166666666666666</v>
      </c>
      <c r="AJ80" s="1">
        <f t="shared" si="22"/>
        <v>10.133333333333333</v>
      </c>
      <c r="AK80" s="1">
        <f t="shared" si="22"/>
        <v>9.1333333333333329</v>
      </c>
    </row>
    <row r="81" spans="2:43" ht="13" x14ac:dyDescent="0.3">
      <c r="B81" s="21"/>
      <c r="C81" s="53"/>
      <c r="D81" s="38"/>
      <c r="E81" s="16" t="s">
        <v>175</v>
      </c>
      <c r="F81" s="6">
        <v>1119</v>
      </c>
      <c r="G81" s="7">
        <v>44074</v>
      </c>
      <c r="H81" s="8">
        <f t="shared" ca="1" si="18"/>
        <v>410</v>
      </c>
      <c r="I81" s="52">
        <f t="shared" ca="1" si="19"/>
        <v>13.666666666666666</v>
      </c>
      <c r="J81" s="9" t="s">
        <v>20</v>
      </c>
      <c r="K81" s="81">
        <v>1119</v>
      </c>
      <c r="L81" s="14"/>
      <c r="M81" s="47">
        <f t="shared" ref="M81:S81" si="23">M80/M77</f>
        <v>51.389886131272313</v>
      </c>
      <c r="N81" s="47">
        <f t="shared" si="23"/>
        <v>12.500269118725646</v>
      </c>
      <c r="O81" s="47">
        <f t="shared" si="23"/>
        <v>4.6468793047897314</v>
      </c>
      <c r="P81" s="47">
        <f t="shared" si="23"/>
        <v>3.97393485051307</v>
      </c>
      <c r="Q81" s="47">
        <f t="shared" si="23"/>
        <v>5.273439942436899</v>
      </c>
      <c r="R81" s="47">
        <f t="shared" si="23"/>
        <v>4.5634769834380569</v>
      </c>
      <c r="S81" s="47">
        <f t="shared" si="23"/>
        <v>7.7243762537159855</v>
      </c>
      <c r="AC81" s="19">
        <f>AC78-F79</f>
        <v>3254.6137720000002</v>
      </c>
      <c r="AD81" s="19">
        <f>AC83-AD78</f>
        <v>-589.94652399999995</v>
      </c>
      <c r="AE81" s="19">
        <f>AD82-AE78</f>
        <v>2952.0943700000003</v>
      </c>
      <c r="AF81" s="19">
        <f>AE81-AF78</f>
        <v>-459.34813399999985</v>
      </c>
      <c r="AG81" s="19">
        <f>AF83-AG78</f>
        <v>-2366.2798809999999</v>
      </c>
      <c r="AH81" s="19">
        <f>AG82-AH78</f>
        <v>-2450.851036</v>
      </c>
      <c r="AI81" s="19">
        <f>AH82-AI78</f>
        <v>1991.5947580000002</v>
      </c>
      <c r="AJ81" s="19">
        <f>AI81-AJ78</f>
        <v>-2456.8845849999998</v>
      </c>
      <c r="AK81" s="19">
        <f>AJ83-AK78</f>
        <v>3119.4043880000004</v>
      </c>
    </row>
    <row r="82" spans="2:43" ht="13" x14ac:dyDescent="0.3">
      <c r="B82" s="21"/>
      <c r="C82" s="53"/>
      <c r="D82" s="38"/>
      <c r="E82" s="16" t="s">
        <v>176</v>
      </c>
      <c r="F82" s="6">
        <v>5</v>
      </c>
      <c r="G82" s="7">
        <v>44074</v>
      </c>
      <c r="H82" s="8">
        <f t="shared" ca="1" si="18"/>
        <v>410</v>
      </c>
      <c r="I82" s="52">
        <f t="shared" ca="1" si="19"/>
        <v>13.666666666666666</v>
      </c>
      <c r="J82" s="9" t="s">
        <v>20</v>
      </c>
      <c r="K82" s="81">
        <v>5</v>
      </c>
      <c r="L82" s="14"/>
      <c r="AC82" s="19">
        <f>AC81-F78</f>
        <v>1036.6137720000002</v>
      </c>
      <c r="AD82" s="19">
        <f>AD81+F84</f>
        <v>5665.053476</v>
      </c>
      <c r="AF82" s="19">
        <f>AF81+F85</f>
        <v>-367.34813399999985</v>
      </c>
      <c r="AG82" s="19">
        <f>AG81+F87</f>
        <v>1493.7201190000001</v>
      </c>
      <c r="AH82" s="19">
        <f>AH81+F88</f>
        <v>5795.148964</v>
      </c>
      <c r="AJ82" s="19">
        <f>AJ81+F89</f>
        <v>-264.88458499999979</v>
      </c>
    </row>
    <row r="83" spans="2:43" ht="13" x14ac:dyDescent="0.3">
      <c r="B83" s="21"/>
      <c r="C83" s="37"/>
      <c r="D83" s="38"/>
      <c r="E83" s="16" t="s">
        <v>177</v>
      </c>
      <c r="F83" s="6">
        <v>1</v>
      </c>
      <c r="G83" s="7">
        <v>43982</v>
      </c>
      <c r="H83" s="8">
        <f t="shared" ca="1" si="18"/>
        <v>502</v>
      </c>
      <c r="I83" s="52">
        <f t="shared" ca="1" si="19"/>
        <v>16.733333333333334</v>
      </c>
      <c r="J83" s="9" t="s">
        <v>20</v>
      </c>
      <c r="K83" s="81">
        <v>1</v>
      </c>
      <c r="L83" s="14"/>
      <c r="M83" s="48" t="s">
        <v>121</v>
      </c>
      <c r="AC83" s="19">
        <f>F77-AC82</f>
        <v>3059.3862279999998</v>
      </c>
      <c r="AF83" s="19">
        <f>AF82+F86</f>
        <v>932.65186600000015</v>
      </c>
      <c r="AJ83" s="19">
        <f>AJ82+F90</f>
        <v>5441.1154150000002</v>
      </c>
    </row>
    <row r="84" spans="2:43" ht="14.5" x14ac:dyDescent="0.35">
      <c r="B84" s="21"/>
      <c r="C84" s="53"/>
      <c r="D84" s="38"/>
      <c r="E84" s="16" t="s">
        <v>178</v>
      </c>
      <c r="F84" s="6">
        <v>6255</v>
      </c>
      <c r="G84" s="7">
        <v>44347</v>
      </c>
      <c r="H84" s="8">
        <f t="shared" ca="1" si="18"/>
        <v>137</v>
      </c>
      <c r="I84" s="52">
        <f t="shared" ca="1" si="19"/>
        <v>4.5666666666666664</v>
      </c>
      <c r="J84" s="56" t="s">
        <v>139</v>
      </c>
      <c r="K84" s="81">
        <v>0</v>
      </c>
      <c r="L84" s="14"/>
      <c r="M84" s="19">
        <f>IF(C78&gt;M77,M80+F85-C78,M80+F85-M77)</f>
        <v>12709</v>
      </c>
      <c r="N84" s="39">
        <f>(N80+F86)-N77</f>
        <v>12992.301889</v>
      </c>
      <c r="O84" s="39">
        <f>(O80+F87)-O77</f>
        <v>14056.382082000002</v>
      </c>
      <c r="P84" s="39">
        <f>(P80+F88)-P77</f>
        <v>18765.237511000003</v>
      </c>
      <c r="Q84" s="39">
        <f>(Q80+F89)-Q77</f>
        <v>17398.794120000002</v>
      </c>
      <c r="R84" s="39">
        <f>(R80+F90)-R77</f>
        <v>19292.176201000002</v>
      </c>
      <c r="S84" s="39">
        <f>(S80+F91)-S77</f>
        <v>16794.605450000003</v>
      </c>
    </row>
    <row r="85" spans="2:43" ht="13" x14ac:dyDescent="0.3">
      <c r="B85" s="21"/>
      <c r="C85" s="37"/>
      <c r="D85" s="38">
        <v>44013</v>
      </c>
      <c r="E85" s="83"/>
      <c r="F85" s="84">
        <v>92</v>
      </c>
      <c r="G85" s="85">
        <v>44347</v>
      </c>
      <c r="H85" s="86">
        <f t="shared" ca="1" si="18"/>
        <v>137</v>
      </c>
      <c r="I85" s="63">
        <f t="shared" ca="1" si="19"/>
        <v>4.5666666666666664</v>
      </c>
      <c r="J85" s="87" t="s">
        <v>136</v>
      </c>
      <c r="K85" s="81">
        <v>0</v>
      </c>
      <c r="L85" s="14"/>
      <c r="M85" s="47">
        <f t="shared" ref="M85:R85" si="24">M84/N77</f>
        <v>12.500269118725646</v>
      </c>
      <c r="N85" s="47">
        <f t="shared" si="24"/>
        <v>4.6468793047897314</v>
      </c>
      <c r="O85" s="47">
        <f t="shared" si="24"/>
        <v>3.97393485051307</v>
      </c>
      <c r="P85" s="47">
        <f t="shared" si="24"/>
        <v>5.273439942436899</v>
      </c>
      <c r="Q85" s="47">
        <f t="shared" si="24"/>
        <v>4.5634769834380569</v>
      </c>
      <c r="R85" s="47">
        <f t="shared" si="24"/>
        <v>7.7243762537159855</v>
      </c>
      <c r="S85" s="47" t="e">
        <f>S84/#REF!</f>
        <v>#REF!</v>
      </c>
    </row>
    <row r="86" spans="2:43" ht="13" x14ac:dyDescent="0.3">
      <c r="B86" s="21"/>
      <c r="C86" s="37"/>
      <c r="D86" s="38">
        <v>44013</v>
      </c>
      <c r="F86" s="84">
        <v>1300</v>
      </c>
      <c r="G86" s="85">
        <v>44408</v>
      </c>
      <c r="H86" s="86">
        <f t="shared" ca="1" si="18"/>
        <v>76</v>
      </c>
      <c r="I86" s="63">
        <f t="shared" ca="1" si="19"/>
        <v>2.5333333333333332</v>
      </c>
      <c r="J86" s="87" t="s">
        <v>136</v>
      </c>
      <c r="K86" s="81">
        <v>0</v>
      </c>
      <c r="L86" s="14"/>
      <c r="M86" s="47"/>
      <c r="N86" s="47"/>
      <c r="O86" s="47"/>
      <c r="P86" s="47"/>
      <c r="Q86" s="47"/>
      <c r="R86" s="47"/>
      <c r="S86" s="47"/>
    </row>
    <row r="87" spans="2:43" ht="13" x14ac:dyDescent="0.3">
      <c r="B87" s="21"/>
      <c r="C87" s="37"/>
      <c r="D87" s="38">
        <v>44013</v>
      </c>
      <c r="F87" s="84">
        <v>3860</v>
      </c>
      <c r="G87" s="85">
        <v>44439</v>
      </c>
      <c r="H87" s="86">
        <f t="shared" ca="1" si="18"/>
        <v>45</v>
      </c>
      <c r="I87" s="63">
        <f t="shared" ca="1" si="19"/>
        <v>1.5</v>
      </c>
      <c r="J87" s="87" t="s">
        <v>136</v>
      </c>
      <c r="K87" s="81">
        <v>0</v>
      </c>
      <c r="L87" s="14"/>
      <c r="M87" s="82"/>
      <c r="N87" s="82"/>
      <c r="O87" s="47"/>
      <c r="P87" s="82">
        <f>P77-F86</f>
        <v>2237.1445709999998</v>
      </c>
      <c r="Q87" s="82">
        <f>Q77-P88</f>
        <v>1935.5879619999996</v>
      </c>
      <c r="R87" s="47"/>
      <c r="S87" s="47"/>
    </row>
    <row r="88" spans="2:43" ht="13" x14ac:dyDescent="0.3">
      <c r="B88" s="21"/>
      <c r="C88" s="37"/>
      <c r="D88" s="38">
        <v>44013</v>
      </c>
      <c r="F88" s="84">
        <v>8246</v>
      </c>
      <c r="G88" s="85">
        <v>44469</v>
      </c>
      <c r="H88" s="86">
        <f t="shared" ca="1" si="18"/>
        <v>15</v>
      </c>
      <c r="I88" s="63">
        <f t="shared" ca="1" si="19"/>
        <v>0.5</v>
      </c>
      <c r="J88" s="87" t="s">
        <v>136</v>
      </c>
      <c r="K88" s="81">
        <v>0</v>
      </c>
      <c r="L88" s="14"/>
      <c r="M88" s="47"/>
      <c r="N88" s="47"/>
      <c r="O88" s="47"/>
      <c r="P88" s="82">
        <f>F87-P87</f>
        <v>1622.8554290000002</v>
      </c>
      <c r="Q88" s="82">
        <f>F88-Q87</f>
        <v>6310.4120380000004</v>
      </c>
      <c r="R88" s="82">
        <f>Q88-R77</f>
        <v>2497.7941190000006</v>
      </c>
      <c r="S88" s="82">
        <f>R88-S77</f>
        <v>0.22336800000039148</v>
      </c>
    </row>
    <row r="89" spans="2:43" ht="13" x14ac:dyDescent="0.3">
      <c r="B89" s="21"/>
      <c r="C89" s="37"/>
      <c r="D89" s="38">
        <v>44044</v>
      </c>
      <c r="F89" s="84">
        <v>2192</v>
      </c>
      <c r="G89" s="85">
        <v>44469</v>
      </c>
      <c r="H89" s="86">
        <f t="shared" ca="1" si="18"/>
        <v>15</v>
      </c>
      <c r="I89" s="63">
        <f t="shared" ca="1" si="19"/>
        <v>0.5</v>
      </c>
      <c r="J89" s="87" t="s">
        <v>136</v>
      </c>
      <c r="K89" s="81">
        <v>0</v>
      </c>
      <c r="L89" s="14"/>
      <c r="M89" s="47"/>
      <c r="N89" s="47"/>
      <c r="O89" s="47"/>
      <c r="P89" s="47"/>
      <c r="Q89" s="47"/>
      <c r="R89" s="47"/>
      <c r="S89" s="47"/>
    </row>
    <row r="90" spans="2:43" ht="13" x14ac:dyDescent="0.3">
      <c r="B90" s="21"/>
      <c r="C90" s="37"/>
      <c r="D90" s="38">
        <v>44044</v>
      </c>
      <c r="F90" s="84">
        <v>5706</v>
      </c>
      <c r="G90" s="85">
        <v>44500</v>
      </c>
      <c r="H90" s="86">
        <f t="shared" ca="1" si="18"/>
        <v>-16</v>
      </c>
      <c r="I90" s="63">
        <f t="shared" ca="1" si="19"/>
        <v>-0.53333333333333333</v>
      </c>
      <c r="J90" s="87" t="s">
        <v>136</v>
      </c>
      <c r="K90" s="81">
        <v>3119</v>
      </c>
      <c r="L90" s="14"/>
      <c r="M90" s="47"/>
      <c r="N90" s="47"/>
      <c r="O90" s="47"/>
      <c r="P90" s="47"/>
      <c r="Q90" s="47"/>
      <c r="R90" s="47"/>
      <c r="S90" s="47"/>
    </row>
    <row r="91" spans="2:43" ht="13" x14ac:dyDescent="0.25">
      <c r="B91" s="21"/>
      <c r="C91" s="37"/>
      <c r="D91" s="38">
        <v>44075</v>
      </c>
      <c r="F91" s="49"/>
      <c r="G91" s="1"/>
      <c r="H91" s="1"/>
      <c r="I91" s="1"/>
      <c r="J91" s="1"/>
      <c r="K91" s="30"/>
      <c r="L91" s="14"/>
      <c r="M91" s="47"/>
      <c r="N91" s="47"/>
      <c r="O91" s="47"/>
      <c r="P91" s="47"/>
      <c r="Q91" s="47"/>
      <c r="R91" s="47"/>
      <c r="S91" s="47"/>
    </row>
    <row r="92" spans="2:43" ht="13" x14ac:dyDescent="0.25">
      <c r="B92" s="21"/>
      <c r="C92" s="37"/>
      <c r="D92" s="38">
        <v>44105</v>
      </c>
      <c r="F92" s="49"/>
      <c r="G92" s="1"/>
      <c r="H92" s="1"/>
      <c r="I92" s="1"/>
      <c r="J92" s="1"/>
      <c r="K92" s="30"/>
      <c r="L92" s="14"/>
      <c r="M92" s="47"/>
      <c r="N92" s="47"/>
      <c r="O92" s="47"/>
      <c r="P92" s="47"/>
      <c r="Q92" s="47"/>
      <c r="R92" s="47"/>
      <c r="S92" s="47"/>
    </row>
    <row r="93" spans="2:43" ht="15" thickBot="1" x14ac:dyDescent="0.4">
      <c r="B93" s="95" t="s">
        <v>0</v>
      </c>
      <c r="C93" s="96"/>
      <c r="D93" s="96"/>
      <c r="E93" s="96"/>
      <c r="F93" s="27"/>
      <c r="G93" s="28"/>
      <c r="H93" s="28"/>
      <c r="I93" s="28"/>
      <c r="J93" s="28"/>
      <c r="K93" s="29"/>
      <c r="L93" s="14"/>
      <c r="M93"/>
      <c r="N93"/>
      <c r="S93" s="14"/>
    </row>
    <row r="95" spans="2:43" ht="13" thickBot="1" x14ac:dyDescent="0.3">
      <c r="N95" s="19"/>
      <c r="O95" s="19"/>
      <c r="AA95" s="60">
        <v>43890</v>
      </c>
      <c r="AB95" s="60">
        <v>43921</v>
      </c>
      <c r="AC95" s="60">
        <v>43951</v>
      </c>
      <c r="AD95" s="60">
        <v>43982</v>
      </c>
      <c r="AE95" s="60">
        <v>44012</v>
      </c>
      <c r="AF95" s="60">
        <v>44042</v>
      </c>
      <c r="AG95" s="60">
        <v>44073</v>
      </c>
      <c r="AH95" s="60">
        <v>44104</v>
      </c>
      <c r="AI95" s="60">
        <v>44134</v>
      </c>
      <c r="AJ95" s="60">
        <v>44165</v>
      </c>
      <c r="AK95" s="60">
        <v>44195</v>
      </c>
      <c r="AL95" s="60">
        <f t="shared" ref="AL95:AQ95" si="25">AK95+30</f>
        <v>44225</v>
      </c>
      <c r="AM95" s="60">
        <f t="shared" si="25"/>
        <v>44255</v>
      </c>
      <c r="AN95" s="60">
        <f t="shared" si="25"/>
        <v>44285</v>
      </c>
      <c r="AO95" s="60">
        <f t="shared" si="25"/>
        <v>44315</v>
      </c>
      <c r="AP95" s="60">
        <f t="shared" si="25"/>
        <v>44345</v>
      </c>
      <c r="AQ95" s="60">
        <f t="shared" si="25"/>
        <v>44375</v>
      </c>
    </row>
    <row r="96" spans="2:43" ht="13" x14ac:dyDescent="0.25">
      <c r="B96" s="311" t="s">
        <v>4</v>
      </c>
      <c r="C96" s="315" t="s">
        <v>3</v>
      </c>
      <c r="D96" s="315" t="s">
        <v>23</v>
      </c>
      <c r="E96" s="315" t="s">
        <v>2</v>
      </c>
      <c r="F96" s="307" t="s">
        <v>12</v>
      </c>
      <c r="G96" s="307" t="s">
        <v>13</v>
      </c>
      <c r="H96" s="307" t="s">
        <v>14</v>
      </c>
      <c r="I96" s="307" t="s">
        <v>15</v>
      </c>
      <c r="J96" s="309" t="s">
        <v>19</v>
      </c>
      <c r="K96" s="305" t="s">
        <v>21</v>
      </c>
      <c r="M96" s="337" t="s">
        <v>28</v>
      </c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AA96" s="97">
        <v>43862</v>
      </c>
      <c r="AB96" s="97">
        <v>43891</v>
      </c>
      <c r="AC96" s="97">
        <v>43922</v>
      </c>
      <c r="AD96" s="97">
        <v>43952</v>
      </c>
      <c r="AE96" s="97">
        <v>43983</v>
      </c>
      <c r="AF96" s="97">
        <v>44013</v>
      </c>
      <c r="AG96" s="97">
        <v>44044</v>
      </c>
      <c r="AH96" s="97">
        <v>44075</v>
      </c>
      <c r="AI96" s="97">
        <v>44105</v>
      </c>
      <c r="AJ96" s="97">
        <v>44136</v>
      </c>
      <c r="AK96" s="97">
        <v>44166</v>
      </c>
      <c r="AL96" s="97">
        <v>44197</v>
      </c>
      <c r="AM96" s="97">
        <v>44228</v>
      </c>
      <c r="AN96" s="97">
        <v>44256</v>
      </c>
      <c r="AO96" s="97">
        <v>44287</v>
      </c>
      <c r="AP96" s="97">
        <v>44317</v>
      </c>
      <c r="AQ96" s="97">
        <v>44348</v>
      </c>
    </row>
    <row r="97" spans="2:43" ht="13.5" thickBot="1" x14ac:dyDescent="0.3">
      <c r="B97" s="334"/>
      <c r="C97" s="335"/>
      <c r="D97" s="335"/>
      <c r="E97" s="335"/>
      <c r="F97" s="336"/>
      <c r="G97" s="336"/>
      <c r="H97" s="336" t="s">
        <v>1</v>
      </c>
      <c r="I97" s="336" t="s">
        <v>1</v>
      </c>
      <c r="J97" s="317"/>
      <c r="K97" s="306"/>
      <c r="M97" s="5">
        <v>43983</v>
      </c>
      <c r="N97" s="5">
        <v>44013</v>
      </c>
      <c r="O97" s="5">
        <v>44044</v>
      </c>
      <c r="P97" s="5">
        <v>44075</v>
      </c>
      <c r="Q97" s="5">
        <v>44105</v>
      </c>
      <c r="R97" s="5">
        <v>44136</v>
      </c>
      <c r="S97" s="5">
        <v>44166</v>
      </c>
      <c r="T97" s="5">
        <v>44197</v>
      </c>
      <c r="U97" s="5">
        <v>44228</v>
      </c>
      <c r="V97" s="5">
        <v>44256</v>
      </c>
      <c r="W97" s="5">
        <v>44287</v>
      </c>
      <c r="X97" s="5">
        <v>44317</v>
      </c>
      <c r="Y97" s="5">
        <v>44348</v>
      </c>
      <c r="Z97" s="1" t="s">
        <v>231</v>
      </c>
      <c r="AA97" s="34">
        <v>147.53948600000001</v>
      </c>
      <c r="AB97" s="34">
        <v>275.002501</v>
      </c>
      <c r="AC97" s="34">
        <v>192.26738800000001</v>
      </c>
      <c r="AD97" s="34">
        <v>170.69832</v>
      </c>
      <c r="AE97" s="34">
        <v>178.78280799999999</v>
      </c>
      <c r="AF97" s="34">
        <v>280.90636999999998</v>
      </c>
      <c r="AG97" s="34">
        <v>205.287766</v>
      </c>
      <c r="AH97" s="34">
        <v>226.97566699999999</v>
      </c>
      <c r="AI97" s="34">
        <v>237.995127</v>
      </c>
      <c r="AJ97" s="34">
        <v>228.89726999999999</v>
      </c>
      <c r="AK97" s="34">
        <v>163.30957799999999</v>
      </c>
      <c r="AL97" s="4">
        <v>197.08333200000001</v>
      </c>
      <c r="AM97" s="4">
        <v>192.5</v>
      </c>
      <c r="AN97" s="4">
        <v>316.25</v>
      </c>
      <c r="AO97" s="4">
        <v>172.7</v>
      </c>
      <c r="AP97" s="4">
        <v>221.75</v>
      </c>
      <c r="AQ97" s="4">
        <v>229.87</v>
      </c>
    </row>
    <row r="98" spans="2:43" ht="13" x14ac:dyDescent="0.3">
      <c r="B98" s="23" t="s">
        <v>127</v>
      </c>
      <c r="C98" s="33" t="s">
        <v>128</v>
      </c>
      <c r="D98" s="58"/>
      <c r="E98" s="16" t="s">
        <v>129</v>
      </c>
      <c r="F98" s="6">
        <v>463</v>
      </c>
      <c r="G98" s="7">
        <v>44316</v>
      </c>
      <c r="H98" s="8">
        <f t="shared" ref="H98:H103" ca="1" si="26">TODAY()-G98</f>
        <v>168</v>
      </c>
      <c r="I98" s="66">
        <f t="shared" ref="I98:I103" ca="1" si="27">H98/30</f>
        <v>5.6</v>
      </c>
      <c r="J98" s="9" t="s">
        <v>20</v>
      </c>
      <c r="K98" s="81">
        <v>0</v>
      </c>
      <c r="M98" s="4">
        <v>18.553160999999999</v>
      </c>
      <c r="N98" s="4">
        <v>74.212646000000007</v>
      </c>
      <c r="O98" s="4">
        <v>204.084779</v>
      </c>
      <c r="P98" s="4">
        <v>242.86088699999999</v>
      </c>
      <c r="Q98" s="4">
        <v>259.74426399999999</v>
      </c>
      <c r="R98" s="4">
        <v>278.29742499999998</v>
      </c>
      <c r="S98" s="4">
        <v>166.978455</v>
      </c>
      <c r="T98" s="4">
        <v>197.08333200000001</v>
      </c>
      <c r="U98" s="4">
        <v>192.5</v>
      </c>
      <c r="V98" s="4">
        <v>316.25</v>
      </c>
      <c r="W98" s="4">
        <v>172.7</v>
      </c>
      <c r="X98" s="4">
        <v>221.75</v>
      </c>
      <c r="Y98" s="4">
        <v>229.87</v>
      </c>
      <c r="Z98" s="1" t="s">
        <v>232</v>
      </c>
      <c r="AA98" s="34">
        <v>131</v>
      </c>
      <c r="AB98" s="34">
        <v>290</v>
      </c>
      <c r="AC98" s="34">
        <v>8</v>
      </c>
      <c r="AD98" s="34">
        <v>10</v>
      </c>
      <c r="AE98" s="34"/>
      <c r="AF98" s="34"/>
      <c r="AG98" s="34"/>
      <c r="AH98" s="34"/>
      <c r="AI98" s="34"/>
      <c r="AJ98" s="34"/>
      <c r="AK98" s="34"/>
    </row>
    <row r="99" spans="2:43" ht="13" x14ac:dyDescent="0.3">
      <c r="B99" s="20" t="s">
        <v>22</v>
      </c>
      <c r="C99" s="26">
        <v>2</v>
      </c>
      <c r="D99" s="38"/>
      <c r="E99" s="16" t="s">
        <v>179</v>
      </c>
      <c r="F99" s="6">
        <v>603</v>
      </c>
      <c r="G99" s="7">
        <v>44227</v>
      </c>
      <c r="H99" s="8">
        <f t="shared" ca="1" si="26"/>
        <v>257</v>
      </c>
      <c r="I99" s="66">
        <f t="shared" ca="1" si="27"/>
        <v>8.5666666666666664</v>
      </c>
      <c r="J99" s="9" t="s">
        <v>20</v>
      </c>
      <c r="K99" s="81">
        <v>419</v>
      </c>
      <c r="M99" s="17"/>
      <c r="O99" s="17"/>
      <c r="Q99" s="17"/>
      <c r="S99" s="17"/>
      <c r="Z99" s="1" t="s">
        <v>233</v>
      </c>
      <c r="AA99" s="34">
        <f>AA97-AA98</f>
        <v>16.539486000000011</v>
      </c>
      <c r="AB99" s="34">
        <v>0</v>
      </c>
      <c r="AC99" s="34">
        <f t="shared" ref="AC99:AK99" si="28">AC97-AC98</f>
        <v>184.26738800000001</v>
      </c>
      <c r="AD99" s="34">
        <f t="shared" si="28"/>
        <v>160.69832</v>
      </c>
      <c r="AE99" s="34">
        <f t="shared" si="28"/>
        <v>178.78280799999999</v>
      </c>
      <c r="AF99" s="34">
        <f t="shared" si="28"/>
        <v>280.90636999999998</v>
      </c>
      <c r="AG99" s="34">
        <f t="shared" si="28"/>
        <v>205.287766</v>
      </c>
      <c r="AH99" s="34">
        <f t="shared" si="28"/>
        <v>226.97566699999999</v>
      </c>
      <c r="AI99" s="34">
        <f t="shared" si="28"/>
        <v>237.995127</v>
      </c>
      <c r="AJ99" s="34">
        <f t="shared" si="28"/>
        <v>228.89726999999999</v>
      </c>
      <c r="AK99" s="34">
        <f t="shared" si="28"/>
        <v>163.30957799999999</v>
      </c>
    </row>
    <row r="100" spans="2:43" ht="13" x14ac:dyDescent="0.3">
      <c r="B100" s="20" t="s">
        <v>24</v>
      </c>
      <c r="C100" s="26">
        <v>0</v>
      </c>
      <c r="D100" s="38"/>
      <c r="E100" s="16" t="s">
        <v>180</v>
      </c>
      <c r="F100" s="6">
        <v>101</v>
      </c>
      <c r="G100" s="7">
        <v>44165</v>
      </c>
      <c r="H100" s="8">
        <f ca="1">TODAY()-G100</f>
        <v>319</v>
      </c>
      <c r="I100" s="66">
        <f t="shared" ca="1" si="27"/>
        <v>10.633333333333333</v>
      </c>
      <c r="J100" s="9" t="s">
        <v>20</v>
      </c>
      <c r="K100" s="81">
        <v>84</v>
      </c>
      <c r="M100" s="48" t="s">
        <v>120</v>
      </c>
    </row>
    <row r="101" spans="2:43" ht="13" x14ac:dyDescent="0.3">
      <c r="B101" s="21"/>
      <c r="C101" s="68"/>
      <c r="D101" s="38"/>
      <c r="E101" s="16" t="s">
        <v>181</v>
      </c>
      <c r="F101" s="6">
        <v>80</v>
      </c>
      <c r="G101" s="7">
        <v>44074</v>
      </c>
      <c r="H101" s="8">
        <f t="shared" ca="1" si="26"/>
        <v>410</v>
      </c>
      <c r="I101" s="66">
        <f t="shared" ca="1" si="27"/>
        <v>13.666666666666666</v>
      </c>
      <c r="J101" s="9" t="s">
        <v>20</v>
      </c>
      <c r="K101" s="81">
        <v>80</v>
      </c>
      <c r="L101" s="14"/>
      <c r="M101" s="19">
        <f>SUM(F98)+C99</f>
        <v>465</v>
      </c>
      <c r="N101" s="19">
        <f t="shared" ref="N101:S101" si="29">M105</f>
        <v>1431.446839</v>
      </c>
      <c r="O101" s="19">
        <f t="shared" si="29"/>
        <v>1524.234193</v>
      </c>
      <c r="P101" s="19">
        <f t="shared" si="29"/>
        <v>1320.149414</v>
      </c>
      <c r="Q101" s="19">
        <f t="shared" si="29"/>
        <v>1077.2885269999999</v>
      </c>
      <c r="R101" s="19">
        <f t="shared" si="29"/>
        <v>817.544263</v>
      </c>
      <c r="S101" s="19">
        <f t="shared" si="29"/>
        <v>539.24683800000003</v>
      </c>
      <c r="AA101" s="1">
        <f>($G$102-AA95)/30</f>
        <v>18.3</v>
      </c>
      <c r="AB101" s="1">
        <f t="shared" ref="AB101:AK101" si="30">($G$102-AB95)/30</f>
        <v>17.266666666666666</v>
      </c>
      <c r="AC101" s="1">
        <f t="shared" si="30"/>
        <v>16.266666666666666</v>
      </c>
      <c r="AD101" s="1">
        <f t="shared" si="30"/>
        <v>15.233333333333333</v>
      </c>
      <c r="AE101" s="1">
        <f t="shared" si="30"/>
        <v>14.233333333333333</v>
      </c>
      <c r="AF101" s="1">
        <f t="shared" si="30"/>
        <v>13.233333333333333</v>
      </c>
      <c r="AG101" s="1">
        <f t="shared" si="30"/>
        <v>12.2</v>
      </c>
      <c r="AH101" s="1">
        <f t="shared" si="30"/>
        <v>11.166666666666666</v>
      </c>
      <c r="AI101" s="1">
        <f t="shared" si="30"/>
        <v>10.166666666666666</v>
      </c>
      <c r="AJ101" s="1">
        <f t="shared" si="30"/>
        <v>9.1333333333333329</v>
      </c>
      <c r="AK101" s="1">
        <f t="shared" si="30"/>
        <v>8.1333333333333329</v>
      </c>
    </row>
    <row r="102" spans="2:43" ht="13" x14ac:dyDescent="0.3">
      <c r="B102" s="21"/>
      <c r="C102" s="37"/>
      <c r="D102" s="38">
        <v>44013</v>
      </c>
      <c r="F102" s="84">
        <v>985</v>
      </c>
      <c r="G102" s="85">
        <v>44439</v>
      </c>
      <c r="H102" s="86">
        <f t="shared" ca="1" si="26"/>
        <v>45</v>
      </c>
      <c r="I102" s="63">
        <f t="shared" ca="1" si="27"/>
        <v>1.5</v>
      </c>
      <c r="J102" s="87" t="s">
        <v>136</v>
      </c>
      <c r="K102" s="81">
        <v>0</v>
      </c>
      <c r="L102" s="14"/>
      <c r="M102" s="47">
        <f t="shared" ref="M102:S102" si="31">M101/M98</f>
        <v>25.063114581930272</v>
      </c>
      <c r="N102" s="47">
        <f t="shared" si="31"/>
        <v>19.288449019861115</v>
      </c>
      <c r="O102" s="47">
        <f t="shared" si="31"/>
        <v>7.4686324010474099</v>
      </c>
      <c r="P102" s="47">
        <f t="shared" si="31"/>
        <v>5.4358255473224881</v>
      </c>
      <c r="Q102" s="47">
        <f t="shared" si="31"/>
        <v>4.147496889478953</v>
      </c>
      <c r="R102" s="47">
        <f t="shared" si="31"/>
        <v>2.9376637710535771</v>
      </c>
      <c r="S102" s="47">
        <f t="shared" si="31"/>
        <v>3.2294396184226284</v>
      </c>
      <c r="AA102" s="19">
        <f>F100-AA99</f>
        <v>84.460513999999989</v>
      </c>
      <c r="AC102" s="19">
        <f>F99-AC99</f>
        <v>418.73261200000002</v>
      </c>
      <c r="AD102" s="19">
        <f>F98-AD99</f>
        <v>302.30168000000003</v>
      </c>
      <c r="AE102" s="19">
        <f>AD102-AE99</f>
        <v>123.51887200000004</v>
      </c>
      <c r="AF102" s="19">
        <f>AE102-AF99</f>
        <v>-157.38749799999994</v>
      </c>
      <c r="AG102" s="19">
        <f>AF103-AG99</f>
        <v>622.32473600000003</v>
      </c>
      <c r="AH102" s="19">
        <f>AG102-AH99</f>
        <v>395.34906900000004</v>
      </c>
      <c r="AI102" s="19">
        <f>AH102-AI99</f>
        <v>157.35394200000005</v>
      </c>
      <c r="AJ102" s="19">
        <f>AI102-AJ99</f>
        <v>-71.543327999999946</v>
      </c>
      <c r="AK102" s="19">
        <f>AJ103-AK99</f>
        <v>-67.852905999999933</v>
      </c>
    </row>
    <row r="103" spans="2:43" ht="13" x14ac:dyDescent="0.3">
      <c r="B103" s="21"/>
      <c r="C103" s="53"/>
      <c r="D103" s="38">
        <v>44044</v>
      </c>
      <c r="F103" s="84">
        <v>167</v>
      </c>
      <c r="G103" s="85">
        <v>44469</v>
      </c>
      <c r="H103" s="86">
        <f t="shared" ca="1" si="26"/>
        <v>15</v>
      </c>
      <c r="I103" s="63">
        <f t="shared" ca="1" si="27"/>
        <v>0.5</v>
      </c>
      <c r="J103" s="87" t="s">
        <v>136</v>
      </c>
      <c r="K103" s="81">
        <v>0</v>
      </c>
      <c r="L103" s="14"/>
      <c r="AF103" s="19">
        <f>AF102+F102</f>
        <v>827.61250200000006</v>
      </c>
      <c r="AJ103" s="19">
        <f>AJ102+F103</f>
        <v>95.456672000000054</v>
      </c>
    </row>
    <row r="104" spans="2:43" ht="13" x14ac:dyDescent="0.3">
      <c r="B104" s="21"/>
      <c r="C104" s="37"/>
      <c r="D104" s="38">
        <v>44075</v>
      </c>
      <c r="F104" s="49"/>
      <c r="G104" s="7"/>
      <c r="H104" s="8"/>
      <c r="I104" s="52"/>
      <c r="J104" s="9"/>
      <c r="K104" s="30"/>
      <c r="L104" s="14"/>
      <c r="M104" s="48" t="s">
        <v>121</v>
      </c>
    </row>
    <row r="105" spans="2:43" ht="14.5" x14ac:dyDescent="0.35">
      <c r="B105" s="21"/>
      <c r="C105" s="37"/>
      <c r="D105" s="38">
        <v>44105</v>
      </c>
      <c r="F105" s="49"/>
      <c r="G105" s="1"/>
      <c r="H105" s="1"/>
      <c r="I105" s="1"/>
      <c r="J105" s="1"/>
      <c r="K105" s="30"/>
      <c r="L105" s="14"/>
      <c r="M105" s="19">
        <f>IF(C99&gt;M98,M101+F102-C99,M101+F102-M98)</f>
        <v>1431.446839</v>
      </c>
      <c r="N105" s="39">
        <f>(N101+F103)-N98</f>
        <v>1524.234193</v>
      </c>
      <c r="O105" s="39">
        <f>(O101+F104)-O98</f>
        <v>1320.149414</v>
      </c>
      <c r="P105" s="39">
        <f>(P101+F105)-P98</f>
        <v>1077.2885269999999</v>
      </c>
      <c r="Q105" s="39">
        <f>(Q101+F106)-Q98</f>
        <v>817.544263</v>
      </c>
      <c r="R105" s="39">
        <f>(R101+F107)-R98</f>
        <v>539.24683800000003</v>
      </c>
      <c r="S105" s="39">
        <f>(S101+F108)-S98</f>
        <v>372.26838300000003</v>
      </c>
    </row>
    <row r="106" spans="2:43" ht="13" x14ac:dyDescent="0.25">
      <c r="B106" s="21"/>
      <c r="C106" s="37"/>
      <c r="D106" s="38">
        <v>44136</v>
      </c>
      <c r="F106" s="49"/>
      <c r="G106" s="1"/>
      <c r="H106" s="1"/>
      <c r="I106" s="1"/>
      <c r="J106" s="1"/>
      <c r="K106" s="30"/>
      <c r="L106" s="14"/>
      <c r="M106" s="47">
        <f t="shared" ref="M106:R106" si="32">M105/N98</f>
        <v>19.288449019861115</v>
      </c>
      <c r="N106" s="47">
        <f t="shared" si="32"/>
        <v>7.4686324010474099</v>
      </c>
      <c r="O106" s="47">
        <f t="shared" si="32"/>
        <v>5.4358255473224881</v>
      </c>
      <c r="P106" s="47">
        <f t="shared" si="32"/>
        <v>4.147496889478953</v>
      </c>
      <c r="Q106" s="47">
        <f t="shared" si="32"/>
        <v>2.9376637710535771</v>
      </c>
      <c r="R106" s="47">
        <f t="shared" si="32"/>
        <v>3.2294396184226284</v>
      </c>
      <c r="S106" s="47" t="e">
        <f>S105/#REF!</f>
        <v>#REF!</v>
      </c>
    </row>
    <row r="107" spans="2:43" ht="13" x14ac:dyDescent="0.25">
      <c r="B107" s="21"/>
      <c r="C107" s="37"/>
      <c r="D107" s="38">
        <v>44166</v>
      </c>
      <c r="F107" s="49"/>
      <c r="G107" s="1"/>
      <c r="H107" s="1"/>
      <c r="I107" s="1"/>
      <c r="J107" s="1"/>
      <c r="K107" s="30"/>
      <c r="L107" s="14"/>
      <c r="M107" s="47"/>
      <c r="N107" s="47"/>
      <c r="O107" s="47"/>
      <c r="P107" s="47"/>
      <c r="Q107" s="47"/>
      <c r="R107" s="47"/>
      <c r="S107" s="47"/>
    </row>
    <row r="108" spans="2:43" ht="13" x14ac:dyDescent="0.25">
      <c r="B108" s="21"/>
      <c r="C108" s="37"/>
      <c r="D108" s="38">
        <v>44136</v>
      </c>
      <c r="F108" s="49"/>
      <c r="G108" s="1"/>
      <c r="H108" s="1"/>
      <c r="I108" s="1"/>
      <c r="J108" s="1"/>
      <c r="K108" s="30"/>
      <c r="L108" s="14"/>
      <c r="M108" s="47"/>
      <c r="N108" s="47"/>
      <c r="O108" s="47"/>
      <c r="P108" s="47"/>
      <c r="Q108" s="47"/>
      <c r="R108" s="47"/>
      <c r="S108" s="47"/>
    </row>
    <row r="109" spans="2:43" ht="13" x14ac:dyDescent="0.25">
      <c r="B109" s="21"/>
      <c r="C109" s="37"/>
      <c r="D109" s="38">
        <v>44166</v>
      </c>
      <c r="F109" s="49"/>
      <c r="G109" s="1"/>
      <c r="H109" s="1"/>
      <c r="I109" s="1"/>
      <c r="J109" s="1"/>
      <c r="K109" s="30"/>
      <c r="L109" s="14"/>
      <c r="M109" s="47"/>
      <c r="N109" s="47"/>
      <c r="O109" s="47"/>
      <c r="P109" s="47"/>
      <c r="Q109" s="47"/>
      <c r="R109" s="47"/>
      <c r="S109" s="47"/>
    </row>
    <row r="110" spans="2:43" ht="15" thickBot="1" x14ac:dyDescent="0.4">
      <c r="B110" s="95" t="s">
        <v>0</v>
      </c>
      <c r="C110" s="96"/>
      <c r="D110" s="96"/>
      <c r="E110" s="96"/>
      <c r="F110" s="27"/>
      <c r="G110" s="28"/>
      <c r="H110" s="28"/>
      <c r="I110" s="28"/>
      <c r="J110" s="28"/>
      <c r="K110" s="29"/>
      <c r="L110" s="14"/>
      <c r="M110"/>
      <c r="N110"/>
      <c r="S110" s="14"/>
    </row>
    <row r="112" spans="2:43" ht="13" thickBot="1" x14ac:dyDescent="0.3">
      <c r="M112" s="19"/>
      <c r="N112" s="19">
        <f>F115-N115</f>
        <v>1906.2395409999999</v>
      </c>
      <c r="AA112" s="60">
        <v>43890</v>
      </c>
      <c r="AB112" s="60">
        <v>43921</v>
      </c>
      <c r="AC112" s="60">
        <v>43951</v>
      </c>
      <c r="AD112" s="60">
        <v>43982</v>
      </c>
      <c r="AE112" s="60">
        <v>44012</v>
      </c>
      <c r="AF112" s="60">
        <v>44042</v>
      </c>
      <c r="AG112" s="60">
        <v>44073</v>
      </c>
      <c r="AH112" s="60">
        <v>44104</v>
      </c>
      <c r="AI112" s="60">
        <v>44134</v>
      </c>
      <c r="AJ112" s="60">
        <v>44165</v>
      </c>
      <c r="AK112" s="60">
        <v>44195</v>
      </c>
      <c r="AL112" s="60">
        <f t="shared" ref="AL112:AQ112" si="33">AK112+30</f>
        <v>44225</v>
      </c>
      <c r="AM112" s="60">
        <f t="shared" si="33"/>
        <v>44255</v>
      </c>
      <c r="AN112" s="60">
        <f t="shared" si="33"/>
        <v>44285</v>
      </c>
      <c r="AO112" s="60">
        <f t="shared" si="33"/>
        <v>44315</v>
      </c>
      <c r="AP112" s="60">
        <f t="shared" si="33"/>
        <v>44345</v>
      </c>
      <c r="AQ112" s="60">
        <f t="shared" si="33"/>
        <v>44375</v>
      </c>
    </row>
    <row r="113" spans="2:43" ht="13" x14ac:dyDescent="0.25">
      <c r="B113" s="311" t="s">
        <v>4</v>
      </c>
      <c r="C113" s="315" t="s">
        <v>3</v>
      </c>
      <c r="D113" s="315" t="s">
        <v>23</v>
      </c>
      <c r="E113" s="315" t="s">
        <v>2</v>
      </c>
      <c r="F113" s="307" t="s">
        <v>12</v>
      </c>
      <c r="G113" s="307" t="s">
        <v>13</v>
      </c>
      <c r="H113" s="307" t="s">
        <v>14</v>
      </c>
      <c r="I113" s="307" t="s">
        <v>15</v>
      </c>
      <c r="J113" s="309" t="s">
        <v>19</v>
      </c>
      <c r="K113" s="305" t="s">
        <v>21</v>
      </c>
      <c r="M113" s="337" t="s">
        <v>28</v>
      </c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AA113" s="97">
        <v>43862</v>
      </c>
      <c r="AB113" s="97">
        <v>43891</v>
      </c>
      <c r="AC113" s="97">
        <v>43922</v>
      </c>
      <c r="AD113" s="97">
        <v>43952</v>
      </c>
      <c r="AE113" s="97">
        <v>43983</v>
      </c>
      <c r="AF113" s="97">
        <v>44013</v>
      </c>
      <c r="AG113" s="97">
        <v>44044</v>
      </c>
      <c r="AH113" s="97">
        <v>44075</v>
      </c>
      <c r="AI113" s="97">
        <v>44105</v>
      </c>
      <c r="AJ113" s="97">
        <v>44136</v>
      </c>
      <c r="AK113" s="97">
        <v>44166</v>
      </c>
      <c r="AL113" s="97">
        <v>44197</v>
      </c>
      <c r="AM113" s="97">
        <v>44228</v>
      </c>
      <c r="AN113" s="97">
        <v>44256</v>
      </c>
      <c r="AO113" s="97">
        <v>44287</v>
      </c>
      <c r="AP113" s="97">
        <v>44317</v>
      </c>
      <c r="AQ113" s="97">
        <v>44348</v>
      </c>
    </row>
    <row r="114" spans="2:43" ht="13.5" thickBot="1" x14ac:dyDescent="0.3">
      <c r="B114" s="334"/>
      <c r="C114" s="335"/>
      <c r="D114" s="335"/>
      <c r="E114" s="335"/>
      <c r="F114" s="336"/>
      <c r="G114" s="336"/>
      <c r="H114" s="336" t="s">
        <v>1</v>
      </c>
      <c r="I114" s="336" t="s">
        <v>1</v>
      </c>
      <c r="J114" s="317"/>
      <c r="K114" s="306"/>
      <c r="M114" s="5">
        <v>43983</v>
      </c>
      <c r="N114" s="5">
        <v>44013</v>
      </c>
      <c r="O114" s="5">
        <v>44044</v>
      </c>
      <c r="P114" s="5">
        <v>44075</v>
      </c>
      <c r="Q114" s="5">
        <v>44105</v>
      </c>
      <c r="R114" s="5">
        <v>44136</v>
      </c>
      <c r="S114" s="5">
        <v>44166</v>
      </c>
      <c r="T114" s="5">
        <v>44197</v>
      </c>
      <c r="U114" s="5">
        <v>44228</v>
      </c>
      <c r="V114" s="5">
        <v>44256</v>
      </c>
      <c r="W114" s="5">
        <v>44287</v>
      </c>
      <c r="X114" s="5">
        <v>44317</v>
      </c>
      <c r="Y114" s="5">
        <v>44348</v>
      </c>
      <c r="Z114" s="1" t="s">
        <v>231</v>
      </c>
      <c r="AA114" s="34">
        <v>890.07992999999999</v>
      </c>
      <c r="AB114" s="34">
        <v>1125.4383110000001</v>
      </c>
      <c r="AC114" s="34">
        <v>1015.281281</v>
      </c>
      <c r="AD114" s="34">
        <v>1222.7779029999999</v>
      </c>
      <c r="AE114" s="34">
        <v>1149.6536140000001</v>
      </c>
      <c r="AF114" s="34">
        <v>1420.851848</v>
      </c>
      <c r="AG114" s="34">
        <v>1311.090471</v>
      </c>
      <c r="AH114" s="34">
        <v>1417.804304</v>
      </c>
      <c r="AI114" s="34">
        <v>1385.9740690000001</v>
      </c>
      <c r="AJ114" s="34">
        <v>1039.4518310000001</v>
      </c>
      <c r="AK114" s="34">
        <v>790.992797</v>
      </c>
      <c r="AL114" s="4">
        <v>1691.8333319999999</v>
      </c>
      <c r="AM114" s="4">
        <v>1690.3666659999999</v>
      </c>
      <c r="AN114" s="4">
        <v>2452.6666660000001</v>
      </c>
      <c r="AO114" s="4">
        <v>1481</v>
      </c>
      <c r="AP114" s="4">
        <v>1984.25</v>
      </c>
      <c r="AQ114" s="4">
        <v>1783.5</v>
      </c>
    </row>
    <row r="115" spans="2:43" ht="13" x14ac:dyDescent="0.3">
      <c r="B115" s="23" t="s">
        <v>182</v>
      </c>
      <c r="C115" s="33" t="s">
        <v>183</v>
      </c>
      <c r="D115" s="58"/>
      <c r="E115" s="16" t="s">
        <v>184</v>
      </c>
      <c r="F115" s="6">
        <v>2269</v>
      </c>
      <c r="G115" s="7">
        <v>44316</v>
      </c>
      <c r="H115" s="8">
        <f t="shared" ref="H115:H120" ca="1" si="34">TODAY()-G115</f>
        <v>168</v>
      </c>
      <c r="I115" s="66">
        <f t="shared" ref="I115:I120" ca="1" si="35">H115/30</f>
        <v>5.6</v>
      </c>
      <c r="J115" s="9" t="s">
        <v>20</v>
      </c>
      <c r="K115" s="81">
        <v>0</v>
      </c>
      <c r="M115" s="4">
        <v>170.69011399999999</v>
      </c>
      <c r="N115" s="4">
        <v>362.76045900000003</v>
      </c>
      <c r="O115" s="4">
        <v>997.59126400000002</v>
      </c>
      <c r="P115" s="4">
        <v>1187.133605</v>
      </c>
      <c r="Q115" s="4">
        <v>1269.661609</v>
      </c>
      <c r="R115" s="4">
        <v>1360.3517240000001</v>
      </c>
      <c r="S115" s="4">
        <v>936.21103400000004</v>
      </c>
      <c r="T115" s="4">
        <v>1691.8333319999999</v>
      </c>
      <c r="U115" s="4">
        <v>1690.3666659999999</v>
      </c>
      <c r="V115" s="4">
        <v>2452.6666660000001</v>
      </c>
      <c r="W115" s="4">
        <v>1481</v>
      </c>
      <c r="X115" s="4">
        <v>1984.25</v>
      </c>
      <c r="Y115" s="4">
        <v>1783.5</v>
      </c>
      <c r="Z115" s="1" t="s">
        <v>232</v>
      </c>
      <c r="AA115" s="34">
        <v>873</v>
      </c>
      <c r="AB115" s="34">
        <v>1266</v>
      </c>
      <c r="AC115" s="34">
        <v>23</v>
      </c>
      <c r="AD115" s="34">
        <v>15</v>
      </c>
      <c r="AE115" s="34"/>
      <c r="AF115" s="34"/>
      <c r="AG115" s="34"/>
      <c r="AH115" s="34"/>
      <c r="AI115" s="34"/>
      <c r="AJ115" s="34"/>
      <c r="AK115" s="34"/>
    </row>
    <row r="116" spans="2:43" ht="13" x14ac:dyDescent="0.3">
      <c r="B116" s="20" t="s">
        <v>22</v>
      </c>
      <c r="C116" s="26">
        <v>412</v>
      </c>
      <c r="D116" s="38"/>
      <c r="E116" s="16" t="s">
        <v>185</v>
      </c>
      <c r="F116" s="6">
        <v>2024</v>
      </c>
      <c r="G116" s="7">
        <v>44135</v>
      </c>
      <c r="H116" s="8">
        <f t="shared" ca="1" si="34"/>
        <v>349</v>
      </c>
      <c r="I116" s="66">
        <f t="shared" ca="1" si="35"/>
        <v>11.633333333333333</v>
      </c>
      <c r="J116" s="9" t="s">
        <v>20</v>
      </c>
      <c r="K116" s="81">
        <v>2024</v>
      </c>
      <c r="M116" s="17"/>
      <c r="O116" s="17"/>
      <c r="Q116" s="17"/>
      <c r="S116" s="17"/>
      <c r="Z116" s="1" t="s">
        <v>233</v>
      </c>
      <c r="AA116" s="34">
        <f>AA114-AA115</f>
        <v>17.07992999999999</v>
      </c>
      <c r="AB116" s="34">
        <v>0</v>
      </c>
      <c r="AC116" s="34">
        <f t="shared" ref="AC116:AK116" si="36">AC114-AC115</f>
        <v>992.28128100000004</v>
      </c>
      <c r="AD116" s="34">
        <f t="shared" si="36"/>
        <v>1207.7779029999999</v>
      </c>
      <c r="AE116" s="34">
        <f t="shared" si="36"/>
        <v>1149.6536140000001</v>
      </c>
      <c r="AF116" s="34">
        <f t="shared" si="36"/>
        <v>1420.851848</v>
      </c>
      <c r="AG116" s="34">
        <f t="shared" si="36"/>
        <v>1311.090471</v>
      </c>
      <c r="AH116" s="34">
        <f t="shared" si="36"/>
        <v>1417.804304</v>
      </c>
      <c r="AI116" s="34">
        <f t="shared" si="36"/>
        <v>1385.9740690000001</v>
      </c>
      <c r="AJ116" s="34">
        <f t="shared" si="36"/>
        <v>1039.4518310000001</v>
      </c>
      <c r="AK116" s="34">
        <f t="shared" si="36"/>
        <v>790.992797</v>
      </c>
    </row>
    <row r="117" spans="2:43" ht="13" x14ac:dyDescent="0.3">
      <c r="B117" s="20" t="s">
        <v>24</v>
      </c>
      <c r="C117" s="26">
        <v>0</v>
      </c>
      <c r="D117" s="38"/>
      <c r="E117" s="16" t="s">
        <v>186</v>
      </c>
      <c r="F117" s="6">
        <v>2796</v>
      </c>
      <c r="G117" s="7">
        <v>44074</v>
      </c>
      <c r="H117" s="8">
        <f t="shared" ca="1" si="34"/>
        <v>410</v>
      </c>
      <c r="I117" s="66">
        <f t="shared" ca="1" si="35"/>
        <v>13.666666666666666</v>
      </c>
      <c r="J117" s="9" t="s">
        <v>20</v>
      </c>
      <c r="K117" s="81">
        <v>2796</v>
      </c>
      <c r="M117" s="48" t="s">
        <v>120</v>
      </c>
    </row>
    <row r="118" spans="2:43" ht="13" x14ac:dyDescent="0.3">
      <c r="B118" s="21"/>
      <c r="C118" s="25"/>
      <c r="D118" s="38"/>
      <c r="E118" s="16" t="s">
        <v>187</v>
      </c>
      <c r="F118" s="6">
        <v>389</v>
      </c>
      <c r="G118" s="7">
        <v>44074</v>
      </c>
      <c r="H118" s="8">
        <f t="shared" ca="1" si="34"/>
        <v>410</v>
      </c>
      <c r="I118" s="66">
        <f t="shared" ca="1" si="35"/>
        <v>13.666666666666666</v>
      </c>
      <c r="J118" s="9" t="s">
        <v>20</v>
      </c>
      <c r="K118" s="81">
        <v>389</v>
      </c>
      <c r="L118" s="14"/>
      <c r="M118" s="19">
        <f>SUM(F115)+C116</f>
        <v>2681</v>
      </c>
      <c r="N118" s="19">
        <f t="shared" ref="N118:S118" si="37">M122</f>
        <v>7869</v>
      </c>
      <c r="O118" s="19">
        <f t="shared" si="37"/>
        <v>8131.2395409999999</v>
      </c>
      <c r="P118" s="19">
        <f t="shared" si="37"/>
        <v>7133.6482770000002</v>
      </c>
      <c r="Q118" s="19">
        <f t="shared" si="37"/>
        <v>5946.5146720000002</v>
      </c>
      <c r="R118" s="19">
        <f t="shared" si="37"/>
        <v>4676.8530630000005</v>
      </c>
      <c r="S118" s="19">
        <f t="shared" si="37"/>
        <v>3316.5013390000004</v>
      </c>
      <c r="AA118" s="1">
        <f t="shared" ref="AA118:AK118" si="38">($G$119-AA112)/30</f>
        <v>19.3</v>
      </c>
      <c r="AB118" s="1">
        <f t="shared" si="38"/>
        <v>18.266666666666666</v>
      </c>
      <c r="AC118" s="1">
        <f t="shared" si="38"/>
        <v>17.266666666666666</v>
      </c>
      <c r="AD118" s="1">
        <f t="shared" si="38"/>
        <v>16.233333333333334</v>
      </c>
      <c r="AE118" s="1">
        <f t="shared" si="38"/>
        <v>15.233333333333333</v>
      </c>
      <c r="AF118" s="1">
        <f t="shared" si="38"/>
        <v>14.233333333333333</v>
      </c>
      <c r="AG118" s="1">
        <f t="shared" si="38"/>
        <v>13.2</v>
      </c>
      <c r="AH118" s="1">
        <f t="shared" si="38"/>
        <v>12.166666666666666</v>
      </c>
      <c r="AI118" s="1">
        <f t="shared" si="38"/>
        <v>11.166666666666666</v>
      </c>
      <c r="AJ118" s="1">
        <f t="shared" si="38"/>
        <v>10.133333333333333</v>
      </c>
      <c r="AK118" s="1">
        <f t="shared" si="38"/>
        <v>9.1333333333333329</v>
      </c>
    </row>
    <row r="119" spans="2:43" ht="13" x14ac:dyDescent="0.3">
      <c r="B119" s="21"/>
      <c r="C119" s="53"/>
      <c r="D119" s="38">
        <v>44013</v>
      </c>
      <c r="F119" s="84">
        <v>5600</v>
      </c>
      <c r="G119" s="85">
        <v>44469</v>
      </c>
      <c r="H119" s="86">
        <f t="shared" ca="1" si="34"/>
        <v>15</v>
      </c>
      <c r="I119" s="63">
        <f t="shared" ca="1" si="35"/>
        <v>0.5</v>
      </c>
      <c r="J119" s="87" t="s">
        <v>136</v>
      </c>
      <c r="K119" s="81">
        <v>0</v>
      </c>
      <c r="L119" s="14"/>
      <c r="M119" s="47">
        <f t="shared" ref="M119:S119" si="39">M118/M115</f>
        <v>15.706826465649909</v>
      </c>
      <c r="N119" s="47">
        <f t="shared" si="39"/>
        <v>21.692000340092193</v>
      </c>
      <c r="O119" s="47">
        <f t="shared" si="39"/>
        <v>8.150872841845576</v>
      </c>
      <c r="P119" s="47">
        <f t="shared" si="39"/>
        <v>6.0091368376350536</v>
      </c>
      <c r="Q119" s="47">
        <f t="shared" si="39"/>
        <v>4.6835429454967477</v>
      </c>
      <c r="R119" s="47">
        <f t="shared" si="39"/>
        <v>3.4379734156164456</v>
      </c>
      <c r="S119" s="47">
        <f t="shared" si="39"/>
        <v>3.5424719625767627</v>
      </c>
      <c r="AA119" s="19">
        <f>(F115+C116)-AA116</f>
        <v>2663.9200700000001</v>
      </c>
      <c r="AB119" s="19">
        <f>AA119-AB116</f>
        <v>2663.9200700000001</v>
      </c>
      <c r="AC119" s="19">
        <f>AB119-AC116</f>
        <v>1671.6387890000001</v>
      </c>
      <c r="AD119" s="19">
        <f>AC119-AD116</f>
        <v>463.86088600000016</v>
      </c>
      <c r="AE119" s="19">
        <f>AD119-AE116</f>
        <v>-685.7927279999999</v>
      </c>
      <c r="AF119" s="19">
        <f>AE121-AF116</f>
        <v>4118.3554239999994</v>
      </c>
      <c r="AG119" s="19">
        <f>AF119-AG116</f>
        <v>2807.2649529999994</v>
      </c>
      <c r="AH119" s="19">
        <f>AG119-AH116</f>
        <v>1389.4606489999994</v>
      </c>
      <c r="AI119" s="19">
        <f>AH119-AI116</f>
        <v>3.4865799999993214</v>
      </c>
    </row>
    <row r="120" spans="2:43" ht="13" x14ac:dyDescent="0.3">
      <c r="B120" s="21"/>
      <c r="C120" s="53"/>
      <c r="D120" s="38">
        <v>44044</v>
      </c>
      <c r="F120" s="84">
        <v>625</v>
      </c>
      <c r="G120" s="85">
        <v>44469</v>
      </c>
      <c r="H120" s="86">
        <f t="shared" ca="1" si="34"/>
        <v>15</v>
      </c>
      <c r="I120" s="63">
        <f t="shared" ca="1" si="35"/>
        <v>0.5</v>
      </c>
      <c r="J120" s="87" t="s">
        <v>136</v>
      </c>
      <c r="K120" s="81">
        <v>0</v>
      </c>
      <c r="L120" s="14"/>
      <c r="AE120" s="19">
        <f>AE119+F120</f>
        <v>-60.792727999999897</v>
      </c>
    </row>
    <row r="121" spans="2:43" ht="13" x14ac:dyDescent="0.3">
      <c r="B121" s="21"/>
      <c r="C121" s="37"/>
      <c r="D121" s="38">
        <v>44075</v>
      </c>
      <c r="F121" s="49"/>
      <c r="G121" s="7"/>
      <c r="H121" s="8"/>
      <c r="I121" s="52"/>
      <c r="J121" s="9"/>
      <c r="K121" s="30"/>
      <c r="L121" s="14"/>
      <c r="M121" s="48" t="s">
        <v>121</v>
      </c>
      <c r="AE121" s="19">
        <f>AE120+F119</f>
        <v>5539.2072719999996</v>
      </c>
    </row>
    <row r="122" spans="2:43" ht="14.5" x14ac:dyDescent="0.35">
      <c r="B122" s="21"/>
      <c r="C122" s="37"/>
      <c r="D122" s="38">
        <v>44105</v>
      </c>
      <c r="F122" s="49"/>
      <c r="G122" s="1"/>
      <c r="H122" s="1"/>
      <c r="I122" s="1"/>
      <c r="J122" s="1"/>
      <c r="K122" s="30"/>
      <c r="L122" s="14"/>
      <c r="M122" s="19">
        <f>IF(C116&gt;M115,M118+F119-C116,M118+F119-M115)</f>
        <v>7869</v>
      </c>
      <c r="N122" s="39">
        <f>(N118+F120)-N115</f>
        <v>8131.2395409999999</v>
      </c>
      <c r="O122" s="39">
        <f>(O118+F121)-O115</f>
        <v>7133.6482770000002</v>
      </c>
      <c r="P122" s="39">
        <f>(P118+F122)-P115</f>
        <v>5946.5146720000002</v>
      </c>
      <c r="Q122" s="39">
        <f>(Q118+F123)-Q115</f>
        <v>4676.8530630000005</v>
      </c>
      <c r="R122" s="39">
        <f>(R118+F124)-R115</f>
        <v>3316.5013390000004</v>
      </c>
      <c r="S122" s="39">
        <f>(S118+F125)-S115</f>
        <v>2380.2903050000004</v>
      </c>
    </row>
    <row r="123" spans="2:43" ht="13" x14ac:dyDescent="0.25">
      <c r="B123" s="21"/>
      <c r="C123" s="37"/>
      <c r="D123" s="38">
        <v>44136</v>
      </c>
      <c r="F123" s="49"/>
      <c r="G123" s="1"/>
      <c r="H123" s="1"/>
      <c r="I123" s="1"/>
      <c r="J123" s="1"/>
      <c r="K123" s="30"/>
      <c r="L123" s="14"/>
      <c r="M123" s="47">
        <f t="shared" ref="M123:R123" si="40">M122/N115</f>
        <v>21.692000340092193</v>
      </c>
      <c r="N123" s="47">
        <f t="shared" si="40"/>
        <v>8.150872841845576</v>
      </c>
      <c r="O123" s="47">
        <f t="shared" si="40"/>
        <v>6.0091368376350536</v>
      </c>
      <c r="P123" s="47">
        <f t="shared" si="40"/>
        <v>4.6835429454967477</v>
      </c>
      <c r="Q123" s="47">
        <f t="shared" si="40"/>
        <v>3.4379734156164456</v>
      </c>
      <c r="R123" s="47">
        <f t="shared" si="40"/>
        <v>3.5424719625767627</v>
      </c>
      <c r="S123" s="47" t="e">
        <f>S122/#REF!</f>
        <v>#REF!</v>
      </c>
    </row>
    <row r="124" spans="2:43" ht="13" x14ac:dyDescent="0.25">
      <c r="B124" s="21"/>
      <c r="C124" s="37"/>
      <c r="D124" s="38">
        <v>44166</v>
      </c>
      <c r="F124" s="49"/>
      <c r="G124" s="1"/>
      <c r="H124" s="1"/>
      <c r="I124" s="1"/>
      <c r="J124" s="1"/>
      <c r="K124" s="30"/>
      <c r="L124" s="14"/>
      <c r="M124" s="47"/>
      <c r="N124" s="47"/>
      <c r="O124" s="47"/>
      <c r="P124" s="47"/>
      <c r="Q124" s="47"/>
      <c r="R124" s="47"/>
      <c r="S124" s="47"/>
    </row>
    <row r="125" spans="2:43" ht="13" x14ac:dyDescent="0.25">
      <c r="B125" s="21"/>
      <c r="C125" s="37"/>
      <c r="D125" s="38"/>
      <c r="F125" s="49"/>
      <c r="G125" s="1"/>
      <c r="H125" s="1"/>
      <c r="I125" s="1"/>
      <c r="J125" s="1"/>
      <c r="K125" s="30"/>
      <c r="L125" s="14"/>
      <c r="M125" s="47"/>
      <c r="N125" s="82"/>
      <c r="O125" s="47"/>
      <c r="P125" s="47"/>
      <c r="Q125" s="47"/>
      <c r="R125" s="47"/>
      <c r="S125" s="47"/>
    </row>
    <row r="126" spans="2:43" ht="13" x14ac:dyDescent="0.25">
      <c r="B126" s="21"/>
      <c r="C126" s="37"/>
      <c r="D126" s="38"/>
      <c r="F126" s="49"/>
      <c r="G126" s="1"/>
      <c r="H126" s="1"/>
      <c r="I126" s="1"/>
      <c r="J126" s="1"/>
      <c r="K126" s="30"/>
      <c r="L126" s="14"/>
      <c r="M126" s="47"/>
      <c r="N126" s="82"/>
      <c r="O126" s="47"/>
      <c r="P126" s="47"/>
      <c r="Q126" s="47"/>
      <c r="R126" s="47"/>
      <c r="S126" s="47"/>
    </row>
    <row r="127" spans="2:43" ht="15" thickBot="1" x14ac:dyDescent="0.4">
      <c r="B127" s="95" t="s">
        <v>0</v>
      </c>
      <c r="C127" s="96"/>
      <c r="D127" s="96"/>
      <c r="E127" s="96"/>
      <c r="F127" s="27"/>
      <c r="G127" s="28"/>
      <c r="H127" s="28"/>
      <c r="I127" s="28"/>
      <c r="J127" s="28"/>
      <c r="K127" s="29"/>
      <c r="L127" s="14"/>
      <c r="M127"/>
      <c r="N127" s="39"/>
      <c r="S127" s="14"/>
    </row>
    <row r="128" spans="2:43" x14ac:dyDescent="0.25">
      <c r="N128" s="19"/>
    </row>
    <row r="129" spans="2:43" ht="13" thickBot="1" x14ac:dyDescent="0.3">
      <c r="N129" s="19">
        <f>F132-111</f>
        <v>1292</v>
      </c>
      <c r="O129" s="19">
        <f>F135-O132</f>
        <v>1541</v>
      </c>
      <c r="P129" s="19">
        <f>O129-P132</f>
        <v>1290</v>
      </c>
      <c r="Q129" s="19">
        <f>P129-Q132</f>
        <v>961</v>
      </c>
      <c r="R129" s="19">
        <f>Q129-R132</f>
        <v>597</v>
      </c>
      <c r="S129" s="19">
        <f>R129-S132</f>
        <v>322.5</v>
      </c>
      <c r="AA129" s="60">
        <v>43890</v>
      </c>
      <c r="AB129" s="60">
        <v>43921</v>
      </c>
      <c r="AC129" s="60">
        <v>43951</v>
      </c>
      <c r="AD129" s="60">
        <v>43982</v>
      </c>
      <c r="AE129" s="60">
        <v>44012</v>
      </c>
      <c r="AF129" s="60">
        <v>44042</v>
      </c>
      <c r="AG129" s="60">
        <v>44073</v>
      </c>
      <c r="AH129" s="60">
        <v>44104</v>
      </c>
      <c r="AI129" s="60">
        <v>44134</v>
      </c>
      <c r="AJ129" s="60">
        <v>44165</v>
      </c>
      <c r="AK129" s="60">
        <v>44195</v>
      </c>
      <c r="AL129" s="60">
        <f t="shared" ref="AL129:AQ129" si="41">AK129+30</f>
        <v>44225</v>
      </c>
      <c r="AM129" s="60">
        <f t="shared" si="41"/>
        <v>44255</v>
      </c>
      <c r="AN129" s="60">
        <f t="shared" si="41"/>
        <v>44285</v>
      </c>
      <c r="AO129" s="60">
        <f t="shared" si="41"/>
        <v>44315</v>
      </c>
      <c r="AP129" s="60">
        <f t="shared" si="41"/>
        <v>44345</v>
      </c>
      <c r="AQ129" s="60">
        <f t="shared" si="41"/>
        <v>44375</v>
      </c>
    </row>
    <row r="130" spans="2:43" ht="13" x14ac:dyDescent="0.25">
      <c r="B130" s="311" t="s">
        <v>4</v>
      </c>
      <c r="C130" s="315" t="s">
        <v>3</v>
      </c>
      <c r="D130" s="315" t="s">
        <v>23</v>
      </c>
      <c r="E130" s="315" t="s">
        <v>2</v>
      </c>
      <c r="F130" s="307" t="s">
        <v>12</v>
      </c>
      <c r="G130" s="307" t="s">
        <v>13</v>
      </c>
      <c r="H130" s="307" t="s">
        <v>14</v>
      </c>
      <c r="I130" s="307" t="s">
        <v>15</v>
      </c>
      <c r="J130" s="309" t="s">
        <v>19</v>
      </c>
      <c r="K130" s="305" t="s">
        <v>21</v>
      </c>
      <c r="M130" s="337" t="s">
        <v>28</v>
      </c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AA130" s="97">
        <v>43862</v>
      </c>
      <c r="AB130" s="97">
        <v>43891</v>
      </c>
      <c r="AC130" s="97">
        <v>43922</v>
      </c>
      <c r="AD130" s="97">
        <v>43952</v>
      </c>
      <c r="AE130" s="97">
        <v>43983</v>
      </c>
      <c r="AF130" s="97">
        <v>44013</v>
      </c>
      <c r="AG130" s="97">
        <v>44044</v>
      </c>
      <c r="AH130" s="97">
        <v>44075</v>
      </c>
      <c r="AI130" s="97">
        <v>44105</v>
      </c>
      <c r="AJ130" s="97">
        <v>44136</v>
      </c>
      <c r="AK130" s="97">
        <v>44166</v>
      </c>
      <c r="AL130" s="97">
        <v>44197</v>
      </c>
      <c r="AM130" s="97">
        <v>44228</v>
      </c>
      <c r="AN130" s="97">
        <v>44256</v>
      </c>
      <c r="AO130" s="97">
        <v>44287</v>
      </c>
      <c r="AP130" s="97">
        <v>44317</v>
      </c>
      <c r="AQ130" s="97">
        <v>44348</v>
      </c>
    </row>
    <row r="131" spans="2:43" ht="13.5" thickBot="1" x14ac:dyDescent="0.3">
      <c r="B131" s="334"/>
      <c r="C131" s="335"/>
      <c r="D131" s="335"/>
      <c r="E131" s="335"/>
      <c r="F131" s="336"/>
      <c r="G131" s="336"/>
      <c r="H131" s="336" t="s">
        <v>1</v>
      </c>
      <c r="I131" s="336" t="s">
        <v>1</v>
      </c>
      <c r="J131" s="317"/>
      <c r="K131" s="306"/>
      <c r="M131" s="5">
        <v>43983</v>
      </c>
      <c r="N131" s="5">
        <v>44013</v>
      </c>
      <c r="O131" s="5">
        <v>44044</v>
      </c>
      <c r="P131" s="5">
        <v>44075</v>
      </c>
      <c r="Q131" s="5">
        <v>44105</v>
      </c>
      <c r="R131" s="5">
        <v>44136</v>
      </c>
      <c r="S131" s="5">
        <v>44166</v>
      </c>
      <c r="T131" s="5">
        <v>44197</v>
      </c>
      <c r="U131" s="5">
        <v>44228</v>
      </c>
      <c r="V131" s="5">
        <v>44256</v>
      </c>
      <c r="W131" s="5">
        <v>44287</v>
      </c>
      <c r="X131" s="5">
        <v>44317</v>
      </c>
      <c r="Y131" s="5">
        <v>44348</v>
      </c>
      <c r="Z131" s="1" t="s">
        <v>231</v>
      </c>
      <c r="AA131" s="34">
        <v>241.43656899999999</v>
      </c>
      <c r="AB131" s="34">
        <v>321.37582700000002</v>
      </c>
      <c r="AC131" s="34">
        <v>430</v>
      </c>
      <c r="AD131" s="34">
        <v>430</v>
      </c>
      <c r="AE131" s="34">
        <v>430</v>
      </c>
      <c r="AF131" s="34">
        <v>430</v>
      </c>
      <c r="AG131" s="34">
        <v>430</v>
      </c>
      <c r="AH131" s="34">
        <v>430</v>
      </c>
      <c r="AI131" s="34">
        <v>430</v>
      </c>
      <c r="AJ131" s="34">
        <v>430</v>
      </c>
      <c r="AK131" s="34">
        <v>430</v>
      </c>
      <c r="AL131" s="4"/>
      <c r="AM131" s="4"/>
      <c r="AN131" s="4"/>
      <c r="AO131" s="4"/>
      <c r="AP131" s="4"/>
      <c r="AQ131" s="4"/>
    </row>
    <row r="132" spans="2:43" ht="13" x14ac:dyDescent="0.3">
      <c r="B132" s="23" t="s">
        <v>188</v>
      </c>
      <c r="C132" s="33" t="s">
        <v>189</v>
      </c>
      <c r="D132" s="58"/>
      <c r="E132" s="16" t="s">
        <v>190</v>
      </c>
      <c r="F132" s="6">
        <v>1403</v>
      </c>
      <c r="G132" s="7">
        <v>44620</v>
      </c>
      <c r="H132" s="8">
        <f ca="1">TODAY()-G132</f>
        <v>-136</v>
      </c>
      <c r="I132" s="66">
        <f ca="1">H132/30</f>
        <v>-4.5333333333333332</v>
      </c>
      <c r="J132" s="9" t="s">
        <v>20</v>
      </c>
      <c r="K132" s="81">
        <v>0</v>
      </c>
      <c r="M132" s="4">
        <v>22.5</v>
      </c>
      <c r="N132" s="4">
        <v>112.5</v>
      </c>
      <c r="O132" s="4">
        <v>159</v>
      </c>
      <c r="P132" s="4">
        <v>251</v>
      </c>
      <c r="Q132" s="4">
        <v>329</v>
      </c>
      <c r="R132" s="4">
        <v>364</v>
      </c>
      <c r="S132" s="4">
        <v>274.5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1" t="s">
        <v>232</v>
      </c>
      <c r="AA132" s="34">
        <v>201</v>
      </c>
      <c r="AB132" s="34">
        <v>1100</v>
      </c>
      <c r="AC132" s="34">
        <v>20</v>
      </c>
      <c r="AD132" s="34"/>
      <c r="AE132" s="34"/>
      <c r="AF132" s="34"/>
      <c r="AG132" s="34"/>
      <c r="AH132" s="34"/>
      <c r="AI132" s="34"/>
      <c r="AJ132" s="34"/>
      <c r="AK132" s="34"/>
    </row>
    <row r="133" spans="2:43" ht="13" x14ac:dyDescent="0.3">
      <c r="B133" s="20" t="s">
        <v>22</v>
      </c>
      <c r="C133" s="26">
        <v>24</v>
      </c>
      <c r="D133" s="38"/>
      <c r="E133" s="16" t="s">
        <v>191</v>
      </c>
      <c r="F133" s="6">
        <v>2</v>
      </c>
      <c r="G133" s="7">
        <v>44469</v>
      </c>
      <c r="H133" s="8">
        <f ca="1">TODAY()-G133</f>
        <v>15</v>
      </c>
      <c r="I133" s="66">
        <f ca="1">H133/30</f>
        <v>0.5</v>
      </c>
      <c r="J133" s="9" t="s">
        <v>20</v>
      </c>
      <c r="K133" s="81">
        <v>0</v>
      </c>
      <c r="M133" s="17"/>
      <c r="O133" s="17"/>
      <c r="Q133" s="17"/>
      <c r="S133" s="17"/>
      <c r="Z133" s="1" t="s">
        <v>233</v>
      </c>
      <c r="AA133" s="34">
        <f>AA131-AA132</f>
        <v>40.436568999999992</v>
      </c>
      <c r="AB133" s="34">
        <v>0</v>
      </c>
      <c r="AC133" s="34">
        <f t="shared" ref="AC133:AK133" si="42">AC131-AC132</f>
        <v>410</v>
      </c>
      <c r="AD133" s="34">
        <f t="shared" si="42"/>
        <v>430</v>
      </c>
      <c r="AE133" s="34">
        <f t="shared" si="42"/>
        <v>430</v>
      </c>
      <c r="AF133" s="34">
        <f t="shared" si="42"/>
        <v>430</v>
      </c>
      <c r="AG133" s="34">
        <f t="shared" si="42"/>
        <v>430</v>
      </c>
      <c r="AH133" s="34">
        <f t="shared" si="42"/>
        <v>430</v>
      </c>
      <c r="AI133" s="34">
        <f t="shared" si="42"/>
        <v>430</v>
      </c>
      <c r="AJ133" s="34">
        <f t="shared" si="42"/>
        <v>430</v>
      </c>
      <c r="AK133" s="34">
        <f t="shared" si="42"/>
        <v>430</v>
      </c>
    </row>
    <row r="134" spans="2:43" ht="13" x14ac:dyDescent="0.3">
      <c r="B134" s="20" t="s">
        <v>24</v>
      </c>
      <c r="C134" s="26">
        <v>0</v>
      </c>
      <c r="D134" s="38"/>
      <c r="E134" s="16" t="s">
        <v>192</v>
      </c>
      <c r="F134" s="6">
        <v>0</v>
      </c>
      <c r="G134" s="7">
        <v>44316</v>
      </c>
      <c r="H134" s="8">
        <f ca="1">TODAY()-G134</f>
        <v>168</v>
      </c>
      <c r="I134" s="66">
        <f ca="1">H134/30</f>
        <v>5.6</v>
      </c>
      <c r="J134" s="9" t="s">
        <v>20</v>
      </c>
      <c r="K134" s="81">
        <v>0</v>
      </c>
      <c r="M134" s="48" t="s">
        <v>120</v>
      </c>
      <c r="AA134" s="1">
        <f t="shared" ref="AA134:AM134" si="43">($G$135-AA129)/30</f>
        <v>21.333333333333332</v>
      </c>
      <c r="AB134" s="1">
        <f t="shared" si="43"/>
        <v>20.3</v>
      </c>
      <c r="AC134" s="1">
        <f t="shared" si="43"/>
        <v>19.3</v>
      </c>
      <c r="AD134" s="1">
        <f t="shared" si="43"/>
        <v>18.266666666666666</v>
      </c>
      <c r="AE134" s="1">
        <f t="shared" si="43"/>
        <v>17.266666666666666</v>
      </c>
      <c r="AF134" s="1">
        <f t="shared" si="43"/>
        <v>16.266666666666666</v>
      </c>
      <c r="AG134" s="1">
        <f t="shared" si="43"/>
        <v>15.233333333333333</v>
      </c>
      <c r="AH134" s="1">
        <f t="shared" si="43"/>
        <v>14.2</v>
      </c>
      <c r="AI134" s="1">
        <f t="shared" si="43"/>
        <v>13.2</v>
      </c>
      <c r="AJ134" s="1">
        <f t="shared" si="43"/>
        <v>12.166666666666666</v>
      </c>
      <c r="AK134" s="1">
        <f t="shared" si="43"/>
        <v>11.166666666666666</v>
      </c>
      <c r="AL134" s="1">
        <f t="shared" si="43"/>
        <v>10.166666666666666</v>
      </c>
      <c r="AM134" s="1">
        <f t="shared" si="43"/>
        <v>9.1666666666666661</v>
      </c>
    </row>
    <row r="135" spans="2:43" ht="13" x14ac:dyDescent="0.3">
      <c r="B135" s="21"/>
      <c r="C135" s="25"/>
      <c r="D135" s="38">
        <v>44013</v>
      </c>
      <c r="F135" s="84">
        <v>1700</v>
      </c>
      <c r="G135" s="85">
        <v>44530</v>
      </c>
      <c r="H135" s="86">
        <f ca="1">TODAY()-G135</f>
        <v>-46</v>
      </c>
      <c r="I135" s="63">
        <f ca="1">H135/30</f>
        <v>-1.5333333333333334</v>
      </c>
      <c r="J135" s="87" t="s">
        <v>136</v>
      </c>
      <c r="K135" s="81">
        <v>0</v>
      </c>
      <c r="L135" s="14"/>
      <c r="M135" s="19">
        <f>SUM(F132:F134)+C133</f>
        <v>1429</v>
      </c>
      <c r="N135" s="19">
        <f t="shared" ref="N135:S135" si="44">M139</f>
        <v>3105</v>
      </c>
      <c r="O135" s="19">
        <f t="shared" si="44"/>
        <v>2992.5</v>
      </c>
      <c r="P135" s="19">
        <f t="shared" si="44"/>
        <v>2833.5</v>
      </c>
      <c r="Q135" s="19">
        <f t="shared" si="44"/>
        <v>2582.5</v>
      </c>
      <c r="R135" s="19">
        <f t="shared" si="44"/>
        <v>2253.5</v>
      </c>
      <c r="S135" s="19">
        <f t="shared" si="44"/>
        <v>1889.5</v>
      </c>
      <c r="AA135" s="19">
        <f>AA133-F133</f>
        <v>38.436568999999992</v>
      </c>
      <c r="AB135" s="19">
        <f>AA136-AB133</f>
        <v>1364.563431</v>
      </c>
      <c r="AC135" s="19">
        <f>AB135-AC133</f>
        <v>954.56343100000004</v>
      </c>
      <c r="AD135" s="19">
        <f>AC135-AD133</f>
        <v>524.56343100000004</v>
      </c>
      <c r="AE135" s="19">
        <f>AD135+C133-AE133</f>
        <v>118.56343100000004</v>
      </c>
      <c r="AF135" s="19">
        <f>AE135-AF133</f>
        <v>-311.43656899999996</v>
      </c>
      <c r="AG135" s="19">
        <f>AF136-AG133</f>
        <v>958.56343100000004</v>
      </c>
      <c r="AH135" s="19">
        <f>AG135-AH133</f>
        <v>528.56343100000004</v>
      </c>
      <c r="AI135" s="19">
        <f>AH135-AI133</f>
        <v>98.563431000000037</v>
      </c>
    </row>
    <row r="136" spans="2:43" ht="13" x14ac:dyDescent="0.25">
      <c r="B136" s="21"/>
      <c r="C136" s="37"/>
      <c r="D136" s="38">
        <v>44044</v>
      </c>
      <c r="F136" s="49"/>
      <c r="G136" s="10"/>
      <c r="H136" s="11"/>
      <c r="I136" s="64"/>
      <c r="J136" s="65"/>
      <c r="K136" s="30"/>
      <c r="L136" s="14"/>
      <c r="M136" s="47">
        <f t="shared" ref="M136:S136" si="45">M135/M132</f>
        <v>63.511111111111113</v>
      </c>
      <c r="N136" s="47">
        <f t="shared" si="45"/>
        <v>27.6</v>
      </c>
      <c r="O136" s="47">
        <f t="shared" si="45"/>
        <v>18.820754716981131</v>
      </c>
      <c r="P136" s="47">
        <f t="shared" si="45"/>
        <v>11.288844621513944</v>
      </c>
      <c r="Q136" s="47">
        <f t="shared" si="45"/>
        <v>7.8495440729483281</v>
      </c>
      <c r="R136" s="47">
        <f t="shared" si="45"/>
        <v>6.1909340659340657</v>
      </c>
      <c r="S136" s="47">
        <f t="shared" si="45"/>
        <v>6.8834244080145721</v>
      </c>
      <c r="AA136" s="19">
        <f>F132-AA135</f>
        <v>1364.563431</v>
      </c>
      <c r="AB136" s="19"/>
      <c r="AF136" s="19">
        <f>AF135+F135</f>
        <v>1388.563431</v>
      </c>
    </row>
    <row r="137" spans="2:43" ht="13" x14ac:dyDescent="0.3">
      <c r="B137" s="21"/>
      <c r="C137" s="53"/>
      <c r="D137" s="38">
        <v>44075</v>
      </c>
      <c r="F137" s="49"/>
      <c r="G137" s="7"/>
      <c r="H137" s="8"/>
      <c r="I137" s="52"/>
      <c r="J137" s="9"/>
      <c r="K137" s="30"/>
      <c r="L137" s="14"/>
    </row>
    <row r="138" spans="2:43" ht="13" x14ac:dyDescent="0.3">
      <c r="B138" s="21"/>
      <c r="C138" s="37"/>
      <c r="D138" s="38">
        <v>44105</v>
      </c>
      <c r="F138" s="49"/>
      <c r="G138" s="7"/>
      <c r="H138" s="8"/>
      <c r="I138" s="52"/>
      <c r="J138" s="9"/>
      <c r="K138" s="30"/>
      <c r="L138" s="14"/>
      <c r="M138" s="48" t="s">
        <v>121</v>
      </c>
    </row>
    <row r="139" spans="2:43" ht="14.5" x14ac:dyDescent="0.35">
      <c r="B139" s="21"/>
      <c r="C139" s="37"/>
      <c r="D139" s="38">
        <v>44136</v>
      </c>
      <c r="F139" s="49"/>
      <c r="G139" s="1"/>
      <c r="H139" s="1"/>
      <c r="I139" s="1"/>
      <c r="J139" s="1"/>
      <c r="K139" s="30"/>
      <c r="L139" s="14"/>
      <c r="M139" s="19">
        <f>IF(C133&gt;M132,M135+F135-C133,M135+F135-M132)</f>
        <v>3105</v>
      </c>
      <c r="N139" s="39">
        <f>(N135+F136)-N132</f>
        <v>2992.5</v>
      </c>
      <c r="O139" s="39">
        <f>(O135+F137)-O132</f>
        <v>2833.5</v>
      </c>
      <c r="P139" s="39">
        <f>(P135+F138)-P132</f>
        <v>2582.5</v>
      </c>
      <c r="Q139" s="39">
        <f>(Q135+F139)-Q132</f>
        <v>2253.5</v>
      </c>
      <c r="R139" s="39">
        <f>(R135+F140)-R132</f>
        <v>1889.5</v>
      </c>
      <c r="S139" s="39">
        <f>(S135+F141)-S132</f>
        <v>1615</v>
      </c>
    </row>
    <row r="140" spans="2:43" ht="13" x14ac:dyDescent="0.25">
      <c r="B140" s="21"/>
      <c r="C140" s="37"/>
      <c r="D140" s="38">
        <v>44166</v>
      </c>
      <c r="F140" s="49"/>
      <c r="G140" s="1"/>
      <c r="H140" s="1"/>
      <c r="I140" s="1"/>
      <c r="J140" s="1"/>
      <c r="K140" s="30"/>
      <c r="L140" s="14"/>
      <c r="M140" s="47">
        <f t="shared" ref="M140:R140" si="46">M139/N132</f>
        <v>27.6</v>
      </c>
      <c r="N140" s="47">
        <f t="shared" si="46"/>
        <v>18.820754716981131</v>
      </c>
      <c r="O140" s="47">
        <f t="shared" si="46"/>
        <v>11.288844621513944</v>
      </c>
      <c r="P140" s="47">
        <f t="shared" si="46"/>
        <v>7.8495440729483281</v>
      </c>
      <c r="Q140" s="47">
        <f t="shared" si="46"/>
        <v>6.1909340659340657</v>
      </c>
      <c r="R140" s="47">
        <f t="shared" si="46"/>
        <v>6.8834244080145721</v>
      </c>
      <c r="S140" s="47" t="e">
        <f>S139/#REF!</f>
        <v>#REF!</v>
      </c>
    </row>
    <row r="141" spans="2:43" ht="13" x14ac:dyDescent="0.25">
      <c r="B141" s="21"/>
      <c r="C141" s="37"/>
      <c r="D141" s="38"/>
      <c r="F141" s="49"/>
      <c r="G141" s="1"/>
      <c r="H141" s="1"/>
      <c r="I141" s="1"/>
      <c r="J141" s="1"/>
      <c r="K141" s="30"/>
      <c r="L141" s="14"/>
      <c r="M141" s="47"/>
      <c r="N141" s="47"/>
      <c r="O141" s="47"/>
      <c r="P141" s="47"/>
      <c r="Q141" s="47"/>
      <c r="R141" s="47"/>
      <c r="S141" s="47"/>
    </row>
    <row r="142" spans="2:43" ht="13" x14ac:dyDescent="0.25">
      <c r="B142" s="21"/>
      <c r="C142" s="37"/>
      <c r="D142" s="38"/>
      <c r="F142" s="49"/>
      <c r="G142" s="1"/>
      <c r="H142" s="1"/>
      <c r="I142" s="1"/>
      <c r="J142" s="1"/>
      <c r="K142" s="30"/>
      <c r="L142" s="14"/>
      <c r="M142" s="47"/>
      <c r="N142" s="47"/>
      <c r="O142" s="47"/>
      <c r="P142" s="47"/>
      <c r="Q142" s="47"/>
      <c r="R142" s="47"/>
      <c r="S142" s="47"/>
    </row>
    <row r="143" spans="2:43" ht="15" thickBot="1" x14ac:dyDescent="0.4">
      <c r="B143" s="95" t="s">
        <v>0</v>
      </c>
      <c r="C143" s="96"/>
      <c r="D143" s="96"/>
      <c r="E143" s="96"/>
      <c r="F143" s="27"/>
      <c r="G143" s="28"/>
      <c r="H143" s="28"/>
      <c r="I143" s="28"/>
      <c r="J143" s="28"/>
      <c r="K143" s="29"/>
      <c r="L143" s="14"/>
      <c r="M143"/>
      <c r="N143"/>
      <c r="S143" s="14"/>
    </row>
    <row r="144" spans="2:43" x14ac:dyDescent="0.25">
      <c r="M144" s="19"/>
      <c r="O144" s="19"/>
      <c r="P144" s="19"/>
      <c r="Q144" s="19"/>
      <c r="R144" s="19"/>
    </row>
    <row r="145" spans="2:43" ht="13" thickBot="1" x14ac:dyDescent="0.3">
      <c r="M145" s="19"/>
      <c r="N145" s="19">
        <f>F148-N148</f>
        <v>3631.191108</v>
      </c>
      <c r="O145" s="19"/>
      <c r="Q145" s="19"/>
      <c r="R145" s="19"/>
      <c r="S145" s="19"/>
      <c r="AA145" s="60">
        <v>43890</v>
      </c>
      <c r="AB145" s="60">
        <v>43921</v>
      </c>
      <c r="AC145" s="60">
        <v>43951</v>
      </c>
      <c r="AD145" s="60">
        <v>43982</v>
      </c>
      <c r="AE145" s="60">
        <v>44012</v>
      </c>
      <c r="AF145" s="60">
        <v>44042</v>
      </c>
      <c r="AG145" s="60">
        <v>44073</v>
      </c>
      <c r="AH145" s="60">
        <v>44104</v>
      </c>
      <c r="AI145" s="60">
        <v>44134</v>
      </c>
      <c r="AJ145" s="60">
        <v>44165</v>
      </c>
      <c r="AK145" s="60">
        <v>44195</v>
      </c>
      <c r="AL145" s="60">
        <f t="shared" ref="AL145:AQ145" si="47">AK145+30</f>
        <v>44225</v>
      </c>
      <c r="AM145" s="60">
        <f t="shared" si="47"/>
        <v>44255</v>
      </c>
      <c r="AN145" s="60">
        <f t="shared" si="47"/>
        <v>44285</v>
      </c>
      <c r="AO145" s="60">
        <f t="shared" si="47"/>
        <v>44315</v>
      </c>
      <c r="AP145" s="60">
        <f t="shared" si="47"/>
        <v>44345</v>
      </c>
      <c r="AQ145" s="60">
        <f t="shared" si="47"/>
        <v>44375</v>
      </c>
    </row>
    <row r="146" spans="2:43" ht="13" x14ac:dyDescent="0.25">
      <c r="B146" s="311" t="s">
        <v>4</v>
      </c>
      <c r="C146" s="315" t="s">
        <v>3</v>
      </c>
      <c r="D146" s="315" t="s">
        <v>23</v>
      </c>
      <c r="E146" s="315" t="s">
        <v>2</v>
      </c>
      <c r="F146" s="307" t="s">
        <v>12</v>
      </c>
      <c r="G146" s="307" t="s">
        <v>13</v>
      </c>
      <c r="H146" s="307" t="s">
        <v>14</v>
      </c>
      <c r="I146" s="307" t="s">
        <v>15</v>
      </c>
      <c r="J146" s="309" t="s">
        <v>19</v>
      </c>
      <c r="K146" s="305" t="s">
        <v>21</v>
      </c>
      <c r="M146" s="337" t="s">
        <v>28</v>
      </c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AA146" s="97">
        <v>43862</v>
      </c>
      <c r="AB146" s="97">
        <v>43891</v>
      </c>
      <c r="AC146" s="97">
        <v>43922</v>
      </c>
      <c r="AD146" s="97">
        <v>43952</v>
      </c>
      <c r="AE146" s="97">
        <v>43983</v>
      </c>
      <c r="AF146" s="97">
        <v>44013</v>
      </c>
      <c r="AG146" s="97">
        <v>44044</v>
      </c>
      <c r="AH146" s="97">
        <v>44075</v>
      </c>
      <c r="AI146" s="97">
        <v>44105</v>
      </c>
      <c r="AJ146" s="97">
        <v>44136</v>
      </c>
      <c r="AK146" s="97">
        <v>44166</v>
      </c>
      <c r="AL146" s="97">
        <v>44197</v>
      </c>
      <c r="AM146" s="97">
        <v>44228</v>
      </c>
      <c r="AN146" s="97">
        <v>44256</v>
      </c>
      <c r="AO146" s="97">
        <v>44287</v>
      </c>
      <c r="AP146" s="97">
        <v>44317</v>
      </c>
      <c r="AQ146" s="97">
        <v>44348</v>
      </c>
    </row>
    <row r="147" spans="2:43" ht="13.5" thickBot="1" x14ac:dyDescent="0.3">
      <c r="B147" s="334"/>
      <c r="C147" s="335"/>
      <c r="D147" s="335"/>
      <c r="E147" s="335"/>
      <c r="F147" s="336"/>
      <c r="G147" s="336"/>
      <c r="H147" s="336" t="s">
        <v>1</v>
      </c>
      <c r="I147" s="336" t="s">
        <v>1</v>
      </c>
      <c r="J147" s="317"/>
      <c r="K147" s="306"/>
      <c r="M147" s="5">
        <v>43983</v>
      </c>
      <c r="N147" s="5">
        <v>44013</v>
      </c>
      <c r="O147" s="5">
        <v>44044</v>
      </c>
      <c r="P147" s="5">
        <v>44075</v>
      </c>
      <c r="Q147" s="5">
        <v>44105</v>
      </c>
      <c r="R147" s="5">
        <v>44136</v>
      </c>
      <c r="S147" s="5">
        <v>44166</v>
      </c>
      <c r="T147" s="5">
        <v>44197</v>
      </c>
      <c r="U147" s="5">
        <v>44228</v>
      </c>
      <c r="V147" s="5">
        <v>44256</v>
      </c>
      <c r="W147" s="5">
        <v>44287</v>
      </c>
      <c r="X147" s="5">
        <v>44317</v>
      </c>
      <c r="Y147" s="5">
        <v>44348</v>
      </c>
      <c r="Z147" s="1" t="s">
        <v>231</v>
      </c>
      <c r="AA147" s="34">
        <v>2420.981507</v>
      </c>
      <c r="AB147" s="34">
        <v>3420.009908</v>
      </c>
      <c r="AC147" s="34">
        <v>2660.7100230000001</v>
      </c>
      <c r="AD147" s="34">
        <v>2915.5806109999999</v>
      </c>
      <c r="AE147" s="34">
        <v>2344.763586</v>
      </c>
      <c r="AF147" s="34">
        <v>2998.1947919999998</v>
      </c>
      <c r="AG147" s="34">
        <v>3198.587947</v>
      </c>
      <c r="AH147" s="34">
        <v>2996.3318850000001</v>
      </c>
      <c r="AI147" s="34">
        <v>3119.261047</v>
      </c>
      <c r="AJ147" s="34">
        <v>3018.1810399999999</v>
      </c>
      <c r="AK147" s="34">
        <v>1779.673491</v>
      </c>
      <c r="AL147" s="4"/>
      <c r="AM147" s="4"/>
      <c r="AN147" s="4"/>
      <c r="AO147" s="4"/>
      <c r="AP147" s="4"/>
      <c r="AQ147" s="4"/>
    </row>
    <row r="148" spans="2:43" ht="13" x14ac:dyDescent="0.3">
      <c r="B148" s="23" t="s">
        <v>193</v>
      </c>
      <c r="C148" s="33" t="s">
        <v>194</v>
      </c>
      <c r="D148" s="58"/>
      <c r="E148" s="16" t="s">
        <v>195</v>
      </c>
      <c r="F148" s="6">
        <v>5058</v>
      </c>
      <c r="G148" s="7">
        <v>44316</v>
      </c>
      <c r="H148" s="8">
        <f ca="1">TODAY()-G148</f>
        <v>168</v>
      </c>
      <c r="I148" s="66">
        <f t="shared" ref="I148:I153" ca="1" si="48">H148/30</f>
        <v>5.6</v>
      </c>
      <c r="J148" s="9" t="s">
        <v>20</v>
      </c>
      <c r="K148" s="81">
        <v>0</v>
      </c>
      <c r="M148" s="4">
        <v>118.900741</v>
      </c>
      <c r="N148" s="4">
        <v>1426.808892</v>
      </c>
      <c r="O148" s="4">
        <v>2660.9985839999999</v>
      </c>
      <c r="P148" s="4">
        <v>3329.2207490000001</v>
      </c>
      <c r="Q148" s="4">
        <v>3567.0222309999999</v>
      </c>
      <c r="R148" s="4">
        <v>3567.0222309999999</v>
      </c>
      <c r="S148" s="4">
        <v>2140.2133389999999</v>
      </c>
      <c r="T148" s="4">
        <v>2531.789577</v>
      </c>
      <c r="U148" s="4">
        <v>2365.138508</v>
      </c>
      <c r="V148" s="4">
        <v>2674.855102</v>
      </c>
      <c r="W148" s="4">
        <v>2653.9225860000001</v>
      </c>
      <c r="X148" s="4">
        <v>2656.7388129999999</v>
      </c>
      <c r="Y148" s="4">
        <v>2661.2619690000001</v>
      </c>
      <c r="Z148" s="1" t="s">
        <v>232</v>
      </c>
      <c r="AA148" s="34">
        <v>2239</v>
      </c>
      <c r="AB148" s="34">
        <v>3980</v>
      </c>
      <c r="AC148" s="34">
        <v>78</v>
      </c>
      <c r="AD148" s="34">
        <v>153</v>
      </c>
      <c r="AE148" s="34"/>
      <c r="AF148" s="34"/>
      <c r="AG148" s="34"/>
      <c r="AH148" s="34"/>
      <c r="AI148" s="34"/>
      <c r="AJ148" s="34"/>
      <c r="AK148" s="34"/>
    </row>
    <row r="149" spans="2:43" ht="13" x14ac:dyDescent="0.3">
      <c r="B149" s="20" t="s">
        <v>22</v>
      </c>
      <c r="C149" s="26">
        <v>859</v>
      </c>
      <c r="D149" s="38"/>
      <c r="E149" s="16"/>
      <c r="F149" s="6"/>
      <c r="G149" s="7"/>
      <c r="H149" s="8"/>
      <c r="I149" s="66"/>
      <c r="J149" s="9"/>
      <c r="K149" s="81"/>
      <c r="M149" s="17"/>
      <c r="O149" s="17"/>
      <c r="Q149" s="17"/>
      <c r="S149" s="17"/>
      <c r="Z149" s="1" t="s">
        <v>233</v>
      </c>
      <c r="AA149" s="34">
        <f>AA147-AA148</f>
        <v>181.98150699999997</v>
      </c>
      <c r="AB149" s="34">
        <v>0</v>
      </c>
      <c r="AC149" s="34">
        <f t="shared" ref="AC149:AK149" si="49">AC147-AC148</f>
        <v>2582.7100230000001</v>
      </c>
      <c r="AD149" s="34">
        <f t="shared" si="49"/>
        <v>2762.5806109999999</v>
      </c>
      <c r="AE149" s="34">
        <f t="shared" si="49"/>
        <v>2344.763586</v>
      </c>
      <c r="AF149" s="34">
        <f t="shared" si="49"/>
        <v>2998.1947919999998</v>
      </c>
      <c r="AG149" s="34">
        <f t="shared" si="49"/>
        <v>3198.587947</v>
      </c>
      <c r="AH149" s="34">
        <f t="shared" si="49"/>
        <v>2996.3318850000001</v>
      </c>
      <c r="AI149" s="34">
        <f t="shared" si="49"/>
        <v>3119.261047</v>
      </c>
      <c r="AJ149" s="34">
        <f t="shared" si="49"/>
        <v>3018.1810399999999</v>
      </c>
      <c r="AK149" s="34">
        <f t="shared" si="49"/>
        <v>1779.673491</v>
      </c>
    </row>
    <row r="150" spans="2:43" ht="13" x14ac:dyDescent="0.3">
      <c r="B150" s="20" t="s">
        <v>24</v>
      </c>
      <c r="C150" s="26">
        <v>0</v>
      </c>
      <c r="D150" s="38"/>
      <c r="E150" s="16" t="s">
        <v>196</v>
      </c>
      <c r="F150" s="6">
        <v>1079</v>
      </c>
      <c r="G150" s="7">
        <v>44165</v>
      </c>
      <c r="H150" s="8">
        <f ca="1">TODAY()-G150</f>
        <v>319</v>
      </c>
      <c r="I150" s="66">
        <f t="shared" ca="1" si="48"/>
        <v>10.633333333333333</v>
      </c>
      <c r="J150" s="9" t="s">
        <v>20</v>
      </c>
      <c r="K150" s="81">
        <v>897</v>
      </c>
      <c r="M150" s="48" t="s">
        <v>120</v>
      </c>
    </row>
    <row r="151" spans="2:43" ht="13" x14ac:dyDescent="0.3">
      <c r="B151" s="21"/>
      <c r="C151" s="68"/>
      <c r="D151" s="38">
        <v>43983</v>
      </c>
      <c r="E151" s="61"/>
      <c r="F151" s="62">
        <v>5233</v>
      </c>
      <c r="G151" s="10">
        <v>44439</v>
      </c>
      <c r="H151" s="86">
        <f ca="1">TODAY()-G151</f>
        <v>45</v>
      </c>
      <c r="I151" s="63">
        <f t="shared" ca="1" si="48"/>
        <v>1.5</v>
      </c>
      <c r="J151" s="87" t="s">
        <v>136</v>
      </c>
      <c r="K151" s="81">
        <v>0</v>
      </c>
      <c r="L151" s="14"/>
      <c r="M151" s="19">
        <f>SUM(F148:F149)+C149</f>
        <v>5917</v>
      </c>
      <c r="N151" s="19">
        <f t="shared" ref="N151:S151" si="50">M155</f>
        <v>10291</v>
      </c>
      <c r="O151" s="19">
        <f t="shared" si="50"/>
        <v>13188.191107999999</v>
      </c>
      <c r="P151" s="19">
        <f t="shared" si="50"/>
        <v>11367.192523999998</v>
      </c>
      <c r="Q151" s="19">
        <f t="shared" si="50"/>
        <v>8037.9717749999982</v>
      </c>
      <c r="R151" s="19">
        <f t="shared" si="50"/>
        <v>4470.9495439999982</v>
      </c>
      <c r="S151" s="19">
        <f t="shared" si="50"/>
        <v>903.92731299999832</v>
      </c>
      <c r="AA151" s="1">
        <f>($G$151-AA145)/30</f>
        <v>18.3</v>
      </c>
      <c r="AB151" s="1">
        <f t="shared" ref="AB151:AJ151" si="51">($G$151-AB145)/30</f>
        <v>17.266666666666666</v>
      </c>
      <c r="AC151" s="1">
        <f t="shared" si="51"/>
        <v>16.266666666666666</v>
      </c>
      <c r="AD151" s="1">
        <f t="shared" si="51"/>
        <v>15.233333333333333</v>
      </c>
      <c r="AE151" s="1">
        <f t="shared" si="51"/>
        <v>14.233333333333333</v>
      </c>
      <c r="AF151" s="1">
        <f t="shared" si="51"/>
        <v>13.233333333333333</v>
      </c>
      <c r="AG151" s="1">
        <f t="shared" si="51"/>
        <v>12.2</v>
      </c>
      <c r="AH151" s="1">
        <f t="shared" si="51"/>
        <v>11.166666666666666</v>
      </c>
      <c r="AI151" s="1">
        <f t="shared" si="51"/>
        <v>10.166666666666666</v>
      </c>
      <c r="AJ151" s="1">
        <f t="shared" si="51"/>
        <v>9.1333333333333329</v>
      </c>
    </row>
    <row r="152" spans="2:43" ht="13" x14ac:dyDescent="0.3">
      <c r="B152" s="21"/>
      <c r="C152" s="37"/>
      <c r="D152" s="38">
        <v>44013</v>
      </c>
      <c r="F152" s="62">
        <v>4324</v>
      </c>
      <c r="G152" s="10">
        <v>44439</v>
      </c>
      <c r="H152" s="86">
        <f ca="1">TODAY()-G152</f>
        <v>45</v>
      </c>
      <c r="I152" s="63">
        <f t="shared" ca="1" si="48"/>
        <v>1.5</v>
      </c>
      <c r="J152" s="87" t="s">
        <v>136</v>
      </c>
      <c r="K152" s="81">
        <v>0</v>
      </c>
      <c r="L152" s="14"/>
      <c r="M152" s="47">
        <f t="shared" ref="M152:S152" si="52">M151/M148</f>
        <v>49.764197853064687</v>
      </c>
      <c r="N152" s="47">
        <f t="shared" si="52"/>
        <v>7.2125987283235968</v>
      </c>
      <c r="O152" s="47">
        <f t="shared" si="52"/>
        <v>4.956106022490089</v>
      </c>
      <c r="P152" s="47">
        <f t="shared" si="52"/>
        <v>3.4143703229695324</v>
      </c>
      <c r="Q152" s="47">
        <f t="shared" si="52"/>
        <v>2.2534123014833543</v>
      </c>
      <c r="R152" s="47">
        <f t="shared" si="52"/>
        <v>1.253412301483354</v>
      </c>
      <c r="S152" s="47">
        <f t="shared" si="52"/>
        <v>0.42235383572665341</v>
      </c>
      <c r="AA152" s="19">
        <f>F150-AA149</f>
        <v>897.01849300000003</v>
      </c>
      <c r="AB152" s="19">
        <f>F148-AB149</f>
        <v>5058</v>
      </c>
      <c r="AC152" s="19">
        <f>AB152-AC149</f>
        <v>2475.2899769999999</v>
      </c>
      <c r="AD152" s="19">
        <f>AC152+C149-AD149</f>
        <v>571.70936600000005</v>
      </c>
      <c r="AE152" s="19">
        <f>AD152-AE149</f>
        <v>-1773.05422</v>
      </c>
      <c r="AF152" s="19">
        <f>AE153-AF149</f>
        <v>461.75098800000023</v>
      </c>
      <c r="AG152" s="19">
        <f>AF152-AG149</f>
        <v>-2736.8369589999998</v>
      </c>
      <c r="AH152" s="19">
        <f>AG153-AH149</f>
        <v>-1409.1688439999998</v>
      </c>
    </row>
    <row r="153" spans="2:43" ht="13" x14ac:dyDescent="0.3">
      <c r="B153" s="21"/>
      <c r="C153" s="53"/>
      <c r="D153" s="38">
        <v>44044</v>
      </c>
      <c r="E153" s="61"/>
      <c r="F153" s="62">
        <v>840</v>
      </c>
      <c r="G153" s="10">
        <v>44439</v>
      </c>
      <c r="H153" s="86">
        <f ca="1">TODAY()-G153</f>
        <v>45</v>
      </c>
      <c r="I153" s="63">
        <f t="shared" ca="1" si="48"/>
        <v>1.5</v>
      </c>
      <c r="J153" s="87" t="s">
        <v>136</v>
      </c>
      <c r="K153" s="81">
        <v>0</v>
      </c>
      <c r="L153" s="14"/>
      <c r="AD153" s="19"/>
      <c r="AE153" s="19">
        <f>AE152+F151</f>
        <v>3459.94578</v>
      </c>
      <c r="AG153" s="19">
        <f>AG152+F152</f>
        <v>1587.1630410000002</v>
      </c>
      <c r="AH153" s="19">
        <f>AH152+F153</f>
        <v>-569.16884399999981</v>
      </c>
    </row>
    <row r="154" spans="2:43" ht="13" x14ac:dyDescent="0.3">
      <c r="B154" s="21"/>
      <c r="C154" s="37"/>
      <c r="D154" s="38">
        <v>44075</v>
      </c>
      <c r="F154" s="49"/>
      <c r="G154" s="7"/>
      <c r="H154" s="8"/>
      <c r="I154" s="52"/>
      <c r="J154" s="9"/>
      <c r="K154" s="30"/>
      <c r="L154" s="14"/>
      <c r="M154" s="48" t="s">
        <v>121</v>
      </c>
    </row>
    <row r="155" spans="2:43" ht="14.5" x14ac:dyDescent="0.35">
      <c r="B155" s="21"/>
      <c r="C155" s="37"/>
      <c r="D155" s="38">
        <v>44105</v>
      </c>
      <c r="F155" s="49"/>
      <c r="G155" s="1"/>
      <c r="H155" s="1"/>
      <c r="I155" s="1"/>
      <c r="J155" s="1"/>
      <c r="K155" s="30"/>
      <c r="L155" s="14"/>
      <c r="M155" s="19">
        <f>IF(C149&gt;M148,M151+F151-C149,M151+F151-M148)</f>
        <v>10291</v>
      </c>
      <c r="N155" s="39">
        <f>(N151+F152)-N148</f>
        <v>13188.191107999999</v>
      </c>
      <c r="O155" s="39">
        <f>(O151+F153)-O148</f>
        <v>11367.192523999998</v>
      </c>
      <c r="P155" s="39">
        <f>(P151+F154)-P148</f>
        <v>8037.9717749999982</v>
      </c>
      <c r="Q155" s="39">
        <f>(Q151+F155)-Q148</f>
        <v>4470.9495439999982</v>
      </c>
      <c r="R155" s="39">
        <f>(R151+F156)-R148</f>
        <v>903.92731299999832</v>
      </c>
      <c r="S155" s="39">
        <f>(S151+F157)-S148</f>
        <v>-1236.2860260000016</v>
      </c>
    </row>
    <row r="156" spans="2:43" ht="13" x14ac:dyDescent="0.25">
      <c r="B156" s="21"/>
      <c r="C156" s="37"/>
      <c r="D156" s="38">
        <v>44136</v>
      </c>
      <c r="F156" s="49"/>
      <c r="G156" s="1"/>
      <c r="H156" s="1"/>
      <c r="I156" s="1"/>
      <c r="J156" s="1"/>
      <c r="K156" s="30"/>
      <c r="L156" s="14"/>
      <c r="M156" s="47">
        <f t="shared" ref="M156:R156" si="53">M155/N148</f>
        <v>7.2125987283235968</v>
      </c>
      <c r="N156" s="47">
        <f t="shared" si="53"/>
        <v>4.956106022490089</v>
      </c>
      <c r="O156" s="47">
        <f t="shared" si="53"/>
        <v>3.4143703229695324</v>
      </c>
      <c r="P156" s="47">
        <f t="shared" si="53"/>
        <v>2.2534123014833543</v>
      </c>
      <c r="Q156" s="47">
        <f t="shared" si="53"/>
        <v>1.253412301483354</v>
      </c>
      <c r="R156" s="47">
        <f t="shared" si="53"/>
        <v>0.42235383572665341</v>
      </c>
      <c r="S156" s="47" t="e">
        <f>S155/#REF!</f>
        <v>#REF!</v>
      </c>
    </row>
    <row r="157" spans="2:43" ht="13" x14ac:dyDescent="0.25">
      <c r="B157" s="21"/>
      <c r="C157" s="37"/>
      <c r="D157" s="38">
        <v>44166</v>
      </c>
      <c r="F157" s="49"/>
      <c r="G157" s="1"/>
      <c r="H157" s="1"/>
      <c r="I157" s="1"/>
      <c r="J157" s="1"/>
      <c r="K157" s="30"/>
      <c r="L157" s="14"/>
      <c r="M157" s="47"/>
      <c r="N157" s="47"/>
      <c r="O157" s="47"/>
      <c r="P157" s="47"/>
      <c r="Q157" s="47"/>
      <c r="R157" s="47"/>
      <c r="S157" s="47"/>
    </row>
    <row r="158" spans="2:43" ht="13" x14ac:dyDescent="0.25">
      <c r="B158" s="21"/>
      <c r="C158" s="37"/>
      <c r="D158" s="38"/>
      <c r="F158" s="49"/>
      <c r="G158" s="1"/>
      <c r="H158" s="1"/>
      <c r="I158" s="1"/>
      <c r="J158" s="1"/>
      <c r="K158" s="30"/>
      <c r="L158" s="14"/>
      <c r="M158" s="47"/>
      <c r="N158" s="47"/>
      <c r="O158" s="47"/>
      <c r="P158" s="47"/>
      <c r="Q158" s="47"/>
      <c r="R158" s="47"/>
      <c r="S158" s="47"/>
    </row>
    <row r="159" spans="2:43" ht="15" thickBot="1" x14ac:dyDescent="0.4">
      <c r="B159" s="95" t="s">
        <v>0</v>
      </c>
      <c r="C159" s="96"/>
      <c r="D159" s="96"/>
      <c r="E159" s="96"/>
      <c r="F159" s="27"/>
      <c r="G159" s="28"/>
      <c r="H159" s="28"/>
      <c r="I159" s="28"/>
      <c r="J159" s="28"/>
      <c r="K159" s="29"/>
      <c r="L159" s="14"/>
      <c r="M159"/>
      <c r="N159"/>
      <c r="S159" s="14"/>
    </row>
    <row r="160" spans="2:43" x14ac:dyDescent="0.25">
      <c r="P160" s="19"/>
      <c r="Q160" s="19"/>
      <c r="R160" s="19">
        <f>F167+R161</f>
        <v>5173.0519009999998</v>
      </c>
      <c r="S160" s="19"/>
    </row>
    <row r="161" spans="2:43" ht="13" thickBot="1" x14ac:dyDescent="0.3">
      <c r="M161" s="19"/>
      <c r="N161" s="19"/>
      <c r="O161" s="19">
        <f>(F164+F165+F168+F169)-O164</f>
        <v>8154.2959850000007</v>
      </c>
      <c r="P161" s="19">
        <f>O161-P164</f>
        <v>5366.9474890000001</v>
      </c>
      <c r="Q161" s="19">
        <f>P161-Q164</f>
        <v>2280.9545109999999</v>
      </c>
      <c r="R161" s="19">
        <f>Q161-R164</f>
        <v>-824.94809900000018</v>
      </c>
      <c r="S161" s="19">
        <f>R160-S164</f>
        <v>3095.3476729999998</v>
      </c>
      <c r="AA161" s="60">
        <v>43890</v>
      </c>
      <c r="AB161" s="60">
        <v>43921</v>
      </c>
      <c r="AC161" s="60">
        <v>43951</v>
      </c>
      <c r="AD161" s="60">
        <v>43982</v>
      </c>
      <c r="AE161" s="60">
        <v>44012</v>
      </c>
      <c r="AF161" s="60">
        <v>44042</v>
      </c>
      <c r="AG161" s="60">
        <v>44073</v>
      </c>
      <c r="AH161" s="60">
        <v>44104</v>
      </c>
      <c r="AI161" s="60">
        <v>44134</v>
      </c>
      <c r="AJ161" s="60">
        <v>44165</v>
      </c>
      <c r="AK161" s="60">
        <v>44195</v>
      </c>
      <c r="AL161" s="60">
        <f t="shared" ref="AL161:AQ161" si="54">AK161+30</f>
        <v>44225</v>
      </c>
      <c r="AM161" s="60">
        <f t="shared" si="54"/>
        <v>44255</v>
      </c>
      <c r="AN161" s="60">
        <f t="shared" si="54"/>
        <v>44285</v>
      </c>
      <c r="AO161" s="60">
        <f t="shared" si="54"/>
        <v>44315</v>
      </c>
      <c r="AP161" s="60">
        <f t="shared" si="54"/>
        <v>44345</v>
      </c>
      <c r="AQ161" s="60">
        <f t="shared" si="54"/>
        <v>44375</v>
      </c>
    </row>
    <row r="162" spans="2:43" ht="13" x14ac:dyDescent="0.25">
      <c r="B162" s="311" t="s">
        <v>4</v>
      </c>
      <c r="C162" s="315" t="s">
        <v>3</v>
      </c>
      <c r="D162" s="315" t="s">
        <v>23</v>
      </c>
      <c r="E162" s="315" t="s">
        <v>2</v>
      </c>
      <c r="F162" s="307" t="s">
        <v>12</v>
      </c>
      <c r="G162" s="307" t="s">
        <v>13</v>
      </c>
      <c r="H162" s="307" t="s">
        <v>14</v>
      </c>
      <c r="I162" s="307" t="s">
        <v>15</v>
      </c>
      <c r="J162" s="309" t="s">
        <v>19</v>
      </c>
      <c r="K162" s="305" t="s">
        <v>21</v>
      </c>
      <c r="M162" s="337" t="s">
        <v>28</v>
      </c>
      <c r="N162" s="337"/>
      <c r="O162" s="337"/>
      <c r="P162" s="337"/>
      <c r="Q162" s="337"/>
      <c r="R162" s="337"/>
      <c r="S162" s="337"/>
      <c r="T162" s="337"/>
      <c r="U162" s="337"/>
      <c r="V162" s="337"/>
      <c r="W162" s="337"/>
      <c r="X162" s="337"/>
      <c r="Y162" s="337"/>
      <c r="AA162" s="97">
        <v>43862</v>
      </c>
      <c r="AB162" s="97">
        <v>43891</v>
      </c>
      <c r="AC162" s="97">
        <v>43922</v>
      </c>
      <c r="AD162" s="97">
        <v>43952</v>
      </c>
      <c r="AE162" s="97">
        <v>43983</v>
      </c>
      <c r="AF162" s="97">
        <v>44013</v>
      </c>
      <c r="AG162" s="97">
        <v>44044</v>
      </c>
      <c r="AH162" s="97">
        <v>44075</v>
      </c>
      <c r="AI162" s="97">
        <v>44105</v>
      </c>
      <c r="AJ162" s="97">
        <v>44136</v>
      </c>
      <c r="AK162" s="97">
        <v>44166</v>
      </c>
      <c r="AL162" s="97">
        <v>44197</v>
      </c>
      <c r="AM162" s="97">
        <v>44228</v>
      </c>
      <c r="AN162" s="97">
        <v>44256</v>
      </c>
      <c r="AO162" s="97">
        <v>44287</v>
      </c>
      <c r="AP162" s="97">
        <v>44317</v>
      </c>
      <c r="AQ162" s="97">
        <v>44348</v>
      </c>
    </row>
    <row r="163" spans="2:43" ht="13.5" thickBot="1" x14ac:dyDescent="0.3">
      <c r="B163" s="334"/>
      <c r="C163" s="335"/>
      <c r="D163" s="335"/>
      <c r="E163" s="335"/>
      <c r="F163" s="336"/>
      <c r="G163" s="336"/>
      <c r="H163" s="336" t="s">
        <v>1</v>
      </c>
      <c r="I163" s="336" t="s">
        <v>1</v>
      </c>
      <c r="J163" s="317"/>
      <c r="K163" s="306"/>
      <c r="M163" s="5">
        <v>43983</v>
      </c>
      <c r="N163" s="5">
        <v>44013</v>
      </c>
      <c r="O163" s="5">
        <v>44044</v>
      </c>
      <c r="P163" s="5">
        <v>44075</v>
      </c>
      <c r="Q163" s="5">
        <v>44105</v>
      </c>
      <c r="R163" s="5">
        <v>44136</v>
      </c>
      <c r="S163" s="5">
        <v>44166</v>
      </c>
      <c r="T163" s="5">
        <v>44197</v>
      </c>
      <c r="U163" s="5">
        <v>44228</v>
      </c>
      <c r="V163" s="5">
        <v>44256</v>
      </c>
      <c r="W163" s="5">
        <v>44287</v>
      </c>
      <c r="X163" s="5">
        <v>44317</v>
      </c>
      <c r="Y163" s="5">
        <v>44348</v>
      </c>
      <c r="Z163" s="1" t="s">
        <v>231</v>
      </c>
      <c r="AA163" s="34">
        <v>814.22212100000002</v>
      </c>
      <c r="AB163" s="34">
        <v>6393.7965240000003</v>
      </c>
      <c r="AC163" s="34">
        <v>2751.6475230000001</v>
      </c>
      <c r="AD163" s="34">
        <v>3798.4417319999998</v>
      </c>
      <c r="AE163" s="34">
        <v>3012.9745870000002</v>
      </c>
      <c r="AF163" s="34">
        <v>4077.9773220000002</v>
      </c>
      <c r="AG163" s="34">
        <v>4131.0658370000001</v>
      </c>
      <c r="AH163" s="34">
        <v>4129.9368240000003</v>
      </c>
      <c r="AI163" s="34">
        <v>4474.9423029999998</v>
      </c>
      <c r="AJ163" s="34">
        <v>5015.7088819999999</v>
      </c>
      <c r="AK163" s="34">
        <v>2543.8274249999999</v>
      </c>
      <c r="AL163" s="4"/>
      <c r="AM163" s="4"/>
      <c r="AN163" s="4"/>
      <c r="AO163" s="4"/>
      <c r="AP163" s="4"/>
      <c r="AQ163" s="4"/>
    </row>
    <row r="164" spans="2:43" ht="13" x14ac:dyDescent="0.3">
      <c r="B164" s="23" t="s">
        <v>197</v>
      </c>
      <c r="C164" s="33" t="s">
        <v>198</v>
      </c>
      <c r="D164" s="58"/>
      <c r="E164" s="16" t="s">
        <v>199</v>
      </c>
      <c r="F164" s="6">
        <v>1224</v>
      </c>
      <c r="G164" s="7">
        <v>44439</v>
      </c>
      <c r="H164" s="8">
        <f t="shared" ref="H164:H169" ca="1" si="55">TODAY()-G164</f>
        <v>45</v>
      </c>
      <c r="I164" s="66">
        <f t="shared" ref="I164:I169" ca="1" si="56">H164/30</f>
        <v>1.5</v>
      </c>
      <c r="J164" s="9" t="s">
        <v>20</v>
      </c>
      <c r="K164" s="81">
        <v>0</v>
      </c>
      <c r="M164" s="4">
        <v>349.09632099999999</v>
      </c>
      <c r="N164" s="4">
        <v>895.93344500000001</v>
      </c>
      <c r="O164" s="4">
        <v>2488.7040149999998</v>
      </c>
      <c r="P164" s="4">
        <v>2787.3484960000001</v>
      </c>
      <c r="Q164" s="4">
        <v>3085.9929780000002</v>
      </c>
      <c r="R164" s="4">
        <v>3105.9026100000001</v>
      </c>
      <c r="S164" s="4">
        <v>2077.7042280000001</v>
      </c>
      <c r="T164" s="4">
        <v>2887.5</v>
      </c>
      <c r="U164" s="4">
        <v>3025</v>
      </c>
      <c r="V164" s="4">
        <v>4097.5</v>
      </c>
      <c r="W164" s="4">
        <v>3465</v>
      </c>
      <c r="X164" s="4">
        <v>4372.5</v>
      </c>
      <c r="Y164" s="4">
        <v>4537.5</v>
      </c>
      <c r="Z164" s="1" t="s">
        <v>232</v>
      </c>
      <c r="AA164" s="34">
        <v>496</v>
      </c>
      <c r="AB164" s="34">
        <v>1192</v>
      </c>
      <c r="AC164" s="34">
        <v>30</v>
      </c>
      <c r="AD164" s="34"/>
      <c r="AE164" s="34"/>
      <c r="AF164" s="34"/>
      <c r="AG164" s="34"/>
      <c r="AH164" s="34"/>
      <c r="AI164" s="34"/>
      <c r="AJ164" s="34"/>
      <c r="AK164" s="34"/>
    </row>
    <row r="165" spans="2:43" ht="13" x14ac:dyDescent="0.3">
      <c r="B165" s="20" t="s">
        <v>22</v>
      </c>
      <c r="C165" s="26">
        <v>180</v>
      </c>
      <c r="D165" s="38"/>
      <c r="E165" s="16" t="s">
        <v>200</v>
      </c>
      <c r="F165" s="6">
        <v>3979</v>
      </c>
      <c r="G165" s="7">
        <v>44439</v>
      </c>
      <c r="H165" s="8">
        <f t="shared" ca="1" si="55"/>
        <v>45</v>
      </c>
      <c r="I165" s="66">
        <f t="shared" ca="1" si="56"/>
        <v>1.5</v>
      </c>
      <c r="J165" s="9" t="s">
        <v>20</v>
      </c>
      <c r="K165" s="81">
        <v>0</v>
      </c>
      <c r="M165" s="17"/>
      <c r="O165" s="17"/>
      <c r="Q165" s="17"/>
      <c r="S165" s="17"/>
      <c r="Z165" s="1" t="s">
        <v>233</v>
      </c>
      <c r="AA165" s="34">
        <f t="shared" ref="AA165:AK165" si="57">AA163-AA164</f>
        <v>318.22212100000002</v>
      </c>
      <c r="AB165" s="34">
        <f t="shared" si="57"/>
        <v>5201.7965240000003</v>
      </c>
      <c r="AC165" s="34">
        <f t="shared" si="57"/>
        <v>2721.6475230000001</v>
      </c>
      <c r="AD165" s="34">
        <f t="shared" si="57"/>
        <v>3798.4417319999998</v>
      </c>
      <c r="AE165" s="34">
        <f t="shared" si="57"/>
        <v>3012.9745870000002</v>
      </c>
      <c r="AF165" s="34">
        <f t="shared" si="57"/>
        <v>4077.9773220000002</v>
      </c>
      <c r="AG165" s="34">
        <f t="shared" si="57"/>
        <v>4131.0658370000001</v>
      </c>
      <c r="AH165" s="34">
        <f t="shared" si="57"/>
        <v>4129.9368240000003</v>
      </c>
      <c r="AI165" s="34">
        <f t="shared" si="57"/>
        <v>4474.9423029999998</v>
      </c>
      <c r="AJ165" s="34">
        <f t="shared" si="57"/>
        <v>5015.7088819999999</v>
      </c>
      <c r="AK165" s="34">
        <f t="shared" si="57"/>
        <v>2543.8274249999999</v>
      </c>
    </row>
    <row r="166" spans="2:43" ht="13" x14ac:dyDescent="0.3">
      <c r="B166" s="20" t="s">
        <v>24</v>
      </c>
      <c r="C166" s="26">
        <v>0</v>
      </c>
      <c r="D166" s="38"/>
      <c r="E166" s="16" t="s">
        <v>201</v>
      </c>
      <c r="F166" s="6">
        <v>3654</v>
      </c>
      <c r="G166" s="7">
        <v>44316</v>
      </c>
      <c r="H166" s="8">
        <f t="shared" ca="1" si="55"/>
        <v>168</v>
      </c>
      <c r="I166" s="66">
        <f t="shared" ca="1" si="56"/>
        <v>5.6</v>
      </c>
      <c r="J166" s="9" t="s">
        <v>20</v>
      </c>
      <c r="K166" s="81">
        <v>0</v>
      </c>
      <c r="M166" s="48" t="s">
        <v>120</v>
      </c>
    </row>
    <row r="167" spans="2:43" ht="13" x14ac:dyDescent="0.3">
      <c r="B167" s="21"/>
      <c r="C167" s="25"/>
      <c r="E167" s="16" t="s">
        <v>202</v>
      </c>
      <c r="F167" s="6">
        <v>5998</v>
      </c>
      <c r="G167" s="7">
        <v>44469</v>
      </c>
      <c r="H167" s="8">
        <f t="shared" ca="1" si="55"/>
        <v>15</v>
      </c>
      <c r="I167" s="66">
        <f t="shared" ca="1" si="56"/>
        <v>0.5</v>
      </c>
      <c r="J167" s="56" t="s">
        <v>139</v>
      </c>
      <c r="K167" s="81">
        <v>0</v>
      </c>
      <c r="L167" s="14"/>
      <c r="M167" s="19">
        <f>SUM(F164:F169)+C165</f>
        <v>20475</v>
      </c>
      <c r="N167" s="19">
        <f t="shared" ref="N167:S167" si="58">M171</f>
        <v>20125.903678999999</v>
      </c>
      <c r="O167" s="19">
        <f t="shared" si="58"/>
        <v>19229.970234</v>
      </c>
      <c r="P167" s="19">
        <f t="shared" si="58"/>
        <v>16741.266219000001</v>
      </c>
      <c r="Q167" s="19">
        <f t="shared" si="58"/>
        <v>13953.917723</v>
      </c>
      <c r="R167" s="19">
        <f t="shared" si="58"/>
        <v>10867.924745</v>
      </c>
      <c r="S167" s="19">
        <f t="shared" si="58"/>
        <v>7762.0221350000002</v>
      </c>
      <c r="AA167" s="1">
        <f t="shared" ref="AA167:AK167" si="59">($G$167-AA161)/30</f>
        <v>19.3</v>
      </c>
      <c r="AB167" s="1">
        <f t="shared" si="59"/>
        <v>18.266666666666666</v>
      </c>
      <c r="AC167" s="1">
        <f t="shared" si="59"/>
        <v>17.266666666666666</v>
      </c>
      <c r="AD167" s="1">
        <f t="shared" si="59"/>
        <v>16.233333333333334</v>
      </c>
      <c r="AE167" s="1">
        <f t="shared" si="59"/>
        <v>15.233333333333333</v>
      </c>
      <c r="AF167" s="1">
        <f t="shared" si="59"/>
        <v>14.233333333333333</v>
      </c>
      <c r="AG167" s="1">
        <f t="shared" si="59"/>
        <v>13.2</v>
      </c>
      <c r="AH167" s="1">
        <f t="shared" si="59"/>
        <v>12.166666666666666</v>
      </c>
      <c r="AI167" s="1">
        <f t="shared" si="59"/>
        <v>11.166666666666666</v>
      </c>
      <c r="AJ167" s="1">
        <f t="shared" si="59"/>
        <v>10.133333333333333</v>
      </c>
      <c r="AK167" s="1">
        <f t="shared" si="59"/>
        <v>9.1333333333333329</v>
      </c>
    </row>
    <row r="168" spans="2:43" ht="13" x14ac:dyDescent="0.3">
      <c r="B168" s="21"/>
      <c r="C168" s="53"/>
      <c r="E168" s="16" t="s">
        <v>203</v>
      </c>
      <c r="F168" s="6">
        <v>1441</v>
      </c>
      <c r="G168" s="7">
        <v>44439</v>
      </c>
      <c r="H168" s="8">
        <f t="shared" ca="1" si="55"/>
        <v>45</v>
      </c>
      <c r="I168" s="66">
        <f t="shared" ca="1" si="56"/>
        <v>1.5</v>
      </c>
      <c r="J168" s="56" t="s">
        <v>139</v>
      </c>
      <c r="K168" s="81">
        <v>0</v>
      </c>
      <c r="L168" s="14"/>
      <c r="M168" s="47">
        <f t="shared" ref="M168:S168" si="60">M167/M164</f>
        <v>58.651434484753565</v>
      </c>
      <c r="N168" s="47">
        <f t="shared" si="60"/>
        <v>22.463614670618753</v>
      </c>
      <c r="O168" s="47">
        <f t="shared" si="60"/>
        <v>7.7269012779729866</v>
      </c>
      <c r="P168" s="47">
        <f t="shared" si="60"/>
        <v>6.006161857056858</v>
      </c>
      <c r="Q168" s="47">
        <f t="shared" si="60"/>
        <v>4.5216945801488464</v>
      </c>
      <c r="R168" s="47">
        <f t="shared" si="60"/>
        <v>3.4991196150223138</v>
      </c>
      <c r="S168" s="47">
        <f t="shared" si="60"/>
        <v>3.7358648215640056</v>
      </c>
      <c r="AA168" s="19">
        <f>(C165+F166)-AA165</f>
        <v>3515.7778790000002</v>
      </c>
      <c r="AB168" s="19">
        <f>AA168-AB165</f>
        <v>-1686.0186450000001</v>
      </c>
      <c r="AC168" s="19">
        <f>AB170-AC165</f>
        <v>795.3338319999998</v>
      </c>
      <c r="AD168" s="19">
        <f>AC168-AD165</f>
        <v>-3003.1079</v>
      </c>
      <c r="AE168" s="19">
        <f>AD170-AE165</f>
        <v>-576.08248700000013</v>
      </c>
      <c r="AF168" s="19">
        <f>AE169-AF165</f>
        <v>1343.9401910000001</v>
      </c>
      <c r="AG168" s="19">
        <f>AF168-AG165</f>
        <v>-2787.125646</v>
      </c>
    </row>
    <row r="169" spans="2:43" ht="13" x14ac:dyDescent="0.3">
      <c r="B169" s="21"/>
      <c r="C169" s="53"/>
      <c r="E169" s="16" t="s">
        <v>204</v>
      </c>
      <c r="F169" s="6">
        <v>3999</v>
      </c>
      <c r="G169" s="7">
        <v>44439</v>
      </c>
      <c r="H169" s="8">
        <f t="shared" ca="1" si="55"/>
        <v>45</v>
      </c>
      <c r="I169" s="66">
        <f t="shared" ca="1" si="56"/>
        <v>1.5</v>
      </c>
      <c r="J169" s="56" t="s">
        <v>139</v>
      </c>
      <c r="K169" s="81">
        <v>0</v>
      </c>
      <c r="L169" s="14"/>
      <c r="AB169" s="19">
        <f>AB168+F164</f>
        <v>-462.01864500000011</v>
      </c>
      <c r="AD169" s="19">
        <f>AD168+F168</f>
        <v>-1562.1079</v>
      </c>
      <c r="AE169" s="19">
        <f>AE168+F167</f>
        <v>5421.9175130000003</v>
      </c>
    </row>
    <row r="170" spans="2:43" ht="13" x14ac:dyDescent="0.3">
      <c r="B170" s="21"/>
      <c r="C170" s="37"/>
      <c r="D170" s="38">
        <v>43952</v>
      </c>
      <c r="E170" s="61"/>
      <c r="F170" s="62"/>
      <c r="G170" s="7"/>
      <c r="H170" s="8"/>
      <c r="I170" s="52"/>
      <c r="J170" s="9"/>
      <c r="K170" s="30"/>
      <c r="L170" s="14"/>
      <c r="M170" s="48" t="s">
        <v>121</v>
      </c>
      <c r="AB170" s="19">
        <f>F165+AB169</f>
        <v>3516.9813549999999</v>
      </c>
      <c r="AD170" s="19">
        <f>AD169+F169</f>
        <v>2436.8921</v>
      </c>
    </row>
    <row r="171" spans="2:43" ht="14.5" x14ac:dyDescent="0.35">
      <c r="B171" s="21"/>
      <c r="C171" s="53"/>
      <c r="D171" s="38">
        <v>43983</v>
      </c>
      <c r="F171" s="49"/>
      <c r="G171" s="1"/>
      <c r="H171" s="1"/>
      <c r="I171" s="1"/>
      <c r="J171" s="1"/>
      <c r="K171" s="30"/>
      <c r="L171" s="14"/>
      <c r="M171" s="19">
        <f>IF(C165&gt;M164,M167+F170-C165,M167+F170-M164)</f>
        <v>20125.903678999999</v>
      </c>
      <c r="N171" s="39">
        <f>(N167+F171)-N164</f>
        <v>19229.970234</v>
      </c>
      <c r="O171" s="39">
        <f>(O167+F172)-O164</f>
        <v>16741.266219000001</v>
      </c>
      <c r="P171" s="39">
        <f>(P167+F173)-P164</f>
        <v>13953.917723</v>
      </c>
      <c r="Q171" s="39">
        <f>(Q167+F174)-Q164</f>
        <v>10867.924745</v>
      </c>
      <c r="R171" s="39">
        <f>(R167+F175)-R164</f>
        <v>7762.0221350000002</v>
      </c>
      <c r="S171" s="39">
        <f>(S167+F176)-S164</f>
        <v>5684.3179070000006</v>
      </c>
    </row>
    <row r="172" spans="2:43" ht="13" x14ac:dyDescent="0.25">
      <c r="B172" s="21"/>
      <c r="C172" s="53"/>
      <c r="D172" s="38">
        <v>44013</v>
      </c>
      <c r="E172" s="61"/>
      <c r="F172" s="62"/>
      <c r="G172" s="1"/>
      <c r="H172" s="1"/>
      <c r="I172" s="1"/>
      <c r="J172" s="1"/>
      <c r="K172" s="30"/>
      <c r="L172" s="14"/>
      <c r="M172" s="47">
        <f t="shared" ref="M172:R172" si="61">M171/N164</f>
        <v>22.463614670618753</v>
      </c>
      <c r="N172" s="47">
        <f t="shared" si="61"/>
        <v>7.7269012779729866</v>
      </c>
      <c r="O172" s="47">
        <f t="shared" si="61"/>
        <v>6.006161857056858</v>
      </c>
      <c r="P172" s="47">
        <f t="shared" si="61"/>
        <v>4.5216945801488464</v>
      </c>
      <c r="Q172" s="47">
        <f t="shared" si="61"/>
        <v>3.4991196150223138</v>
      </c>
      <c r="R172" s="47">
        <f t="shared" si="61"/>
        <v>3.7358648215640056</v>
      </c>
      <c r="S172" s="47" t="e">
        <f>S171/#REF!</f>
        <v>#REF!</v>
      </c>
    </row>
    <row r="173" spans="2:43" ht="13" x14ac:dyDescent="0.25">
      <c r="B173" s="21"/>
      <c r="C173" s="53"/>
      <c r="D173" s="38">
        <v>44044</v>
      </c>
      <c r="F173" s="49"/>
      <c r="G173" s="1"/>
      <c r="H173" s="1"/>
      <c r="I173" s="1"/>
      <c r="J173" s="1"/>
      <c r="K173" s="30"/>
      <c r="L173" s="14"/>
      <c r="M173" s="47"/>
      <c r="N173" s="47"/>
      <c r="O173" s="47"/>
      <c r="P173" s="47"/>
      <c r="Q173" s="47"/>
      <c r="R173" s="47"/>
      <c r="S173" s="47"/>
    </row>
    <row r="174" spans="2:43" ht="13" x14ac:dyDescent="0.25">
      <c r="B174" s="21"/>
      <c r="C174" s="53"/>
      <c r="D174" s="38">
        <v>44075</v>
      </c>
      <c r="F174" s="49"/>
      <c r="G174" s="1"/>
      <c r="H174" s="1"/>
      <c r="I174" s="1"/>
      <c r="J174" s="1"/>
      <c r="K174" s="30"/>
      <c r="L174" s="14"/>
      <c r="M174" s="47"/>
      <c r="N174" s="47"/>
      <c r="O174" s="34">
        <v>11468</v>
      </c>
      <c r="P174" s="47"/>
      <c r="Q174" s="47"/>
      <c r="R174" s="47"/>
      <c r="S174" s="47"/>
    </row>
    <row r="175" spans="2:43" ht="13" x14ac:dyDescent="0.25">
      <c r="B175" s="21"/>
      <c r="C175" s="37"/>
      <c r="D175" s="38">
        <v>44105</v>
      </c>
      <c r="F175" s="49"/>
      <c r="G175" s="1"/>
      <c r="H175" s="1"/>
      <c r="I175" s="1"/>
      <c r="J175" s="1"/>
      <c r="K175" s="30"/>
      <c r="L175" s="14"/>
      <c r="M175" s="47"/>
      <c r="N175" s="47"/>
      <c r="O175" s="82">
        <f>F164+F165+F168+F169</f>
        <v>10643</v>
      </c>
      <c r="P175" s="47"/>
      <c r="Q175" s="47"/>
      <c r="R175" s="47"/>
      <c r="S175" s="47"/>
    </row>
    <row r="176" spans="2:43" ht="13" x14ac:dyDescent="0.25">
      <c r="B176" s="21"/>
      <c r="C176" s="37"/>
      <c r="D176" s="38">
        <v>44136</v>
      </c>
      <c r="F176" s="49"/>
      <c r="G176" s="1"/>
      <c r="H176" s="1"/>
      <c r="I176" s="1"/>
      <c r="J176" s="1"/>
      <c r="K176" s="30"/>
      <c r="L176" s="14"/>
      <c r="M176" s="47"/>
      <c r="N176" s="47"/>
      <c r="O176" s="47"/>
      <c r="P176" s="47"/>
      <c r="Q176" s="47"/>
      <c r="R176" s="47"/>
      <c r="S176" s="47"/>
    </row>
    <row r="177" spans="2:43" ht="13" x14ac:dyDescent="0.25">
      <c r="B177" s="21"/>
      <c r="C177" s="37"/>
      <c r="D177" s="38">
        <v>44166</v>
      </c>
      <c r="F177" s="49"/>
      <c r="G177" s="1"/>
      <c r="H177" s="1"/>
      <c r="I177" s="1"/>
      <c r="J177" s="1"/>
      <c r="K177" s="30"/>
      <c r="L177" s="14"/>
      <c r="M177" s="47"/>
      <c r="N177" s="47"/>
      <c r="O177" s="47"/>
      <c r="P177" s="47"/>
      <c r="Q177" s="47"/>
      <c r="R177" s="47"/>
      <c r="S177" s="47"/>
    </row>
    <row r="178" spans="2:43" ht="15" thickBot="1" x14ac:dyDescent="0.4">
      <c r="B178" s="95" t="s">
        <v>0</v>
      </c>
      <c r="C178" s="96"/>
      <c r="D178" s="96"/>
      <c r="E178" s="96"/>
      <c r="F178" s="27"/>
      <c r="G178" s="28"/>
      <c r="H178" s="28"/>
      <c r="I178" s="28"/>
      <c r="J178" s="28"/>
      <c r="K178" s="29"/>
      <c r="L178" s="14"/>
      <c r="M178"/>
      <c r="N178"/>
      <c r="O178" s="19">
        <f>F187+O179</f>
        <v>1685.322901</v>
      </c>
      <c r="S178" s="14"/>
    </row>
    <row r="179" spans="2:43" x14ac:dyDescent="0.25">
      <c r="N179" s="19"/>
      <c r="O179" s="19">
        <f>F188+O180</f>
        <v>-345.677099</v>
      </c>
      <c r="P179" s="19"/>
      <c r="Q179" s="19"/>
    </row>
    <row r="180" spans="2:43" ht="13" thickBot="1" x14ac:dyDescent="0.3">
      <c r="G180" s="18"/>
      <c r="M180" s="19"/>
      <c r="N180" s="19">
        <f>F183-N183</f>
        <v>3676.085474</v>
      </c>
      <c r="O180" s="19">
        <f>N180-O183</f>
        <v>-3473.677099</v>
      </c>
      <c r="P180" s="19"/>
      <c r="Q180" s="19"/>
      <c r="R180" s="19"/>
      <c r="S180" s="19"/>
      <c r="AA180" s="60">
        <v>43890</v>
      </c>
      <c r="AB180" s="60">
        <v>43921</v>
      </c>
      <c r="AC180" s="60">
        <v>43951</v>
      </c>
      <c r="AD180" s="60">
        <v>43982</v>
      </c>
      <c r="AE180" s="60">
        <v>44012</v>
      </c>
      <c r="AF180" s="60">
        <v>44042</v>
      </c>
      <c r="AG180" s="60">
        <v>44073</v>
      </c>
      <c r="AH180" s="60">
        <v>44104</v>
      </c>
      <c r="AI180" s="60">
        <v>44134</v>
      </c>
      <c r="AJ180" s="60">
        <v>44165</v>
      </c>
      <c r="AK180" s="60">
        <v>44195</v>
      </c>
      <c r="AL180" s="60">
        <f t="shared" ref="AL180:AQ180" si="62">AK180+30</f>
        <v>44225</v>
      </c>
      <c r="AM180" s="60">
        <f t="shared" si="62"/>
        <v>44255</v>
      </c>
      <c r="AN180" s="60">
        <f t="shared" si="62"/>
        <v>44285</v>
      </c>
      <c r="AO180" s="60">
        <f t="shared" si="62"/>
        <v>44315</v>
      </c>
      <c r="AP180" s="60">
        <f t="shared" si="62"/>
        <v>44345</v>
      </c>
      <c r="AQ180" s="60">
        <f t="shared" si="62"/>
        <v>44375</v>
      </c>
    </row>
    <row r="181" spans="2:43" ht="13" x14ac:dyDescent="0.25">
      <c r="B181" s="311" t="s">
        <v>4</v>
      </c>
      <c r="C181" s="315" t="s">
        <v>3</v>
      </c>
      <c r="D181" s="315" t="s">
        <v>23</v>
      </c>
      <c r="E181" s="315" t="s">
        <v>2</v>
      </c>
      <c r="F181" s="307" t="s">
        <v>12</v>
      </c>
      <c r="G181" s="307" t="s">
        <v>13</v>
      </c>
      <c r="H181" s="307" t="s">
        <v>14</v>
      </c>
      <c r="I181" s="307" t="s">
        <v>15</v>
      </c>
      <c r="J181" s="309" t="s">
        <v>19</v>
      </c>
      <c r="K181" s="305" t="s">
        <v>21</v>
      </c>
      <c r="M181" s="337" t="s">
        <v>28</v>
      </c>
      <c r="N181" s="337"/>
      <c r="O181" s="337"/>
      <c r="P181" s="337"/>
      <c r="Q181" s="337"/>
      <c r="R181" s="337"/>
      <c r="S181" s="337"/>
      <c r="T181" s="337"/>
      <c r="U181" s="337"/>
      <c r="V181" s="337"/>
      <c r="W181" s="337"/>
      <c r="X181" s="337"/>
      <c r="Y181" s="337"/>
      <c r="AA181" s="97">
        <v>43862</v>
      </c>
      <c r="AB181" s="97">
        <v>43891</v>
      </c>
      <c r="AC181" s="97">
        <v>43922</v>
      </c>
      <c r="AD181" s="97">
        <v>43952</v>
      </c>
      <c r="AE181" s="97">
        <v>43983</v>
      </c>
      <c r="AF181" s="97">
        <v>44013</v>
      </c>
      <c r="AG181" s="97">
        <v>44044</v>
      </c>
      <c r="AH181" s="97">
        <v>44075</v>
      </c>
      <c r="AI181" s="97">
        <v>44105</v>
      </c>
      <c r="AJ181" s="97">
        <v>44136</v>
      </c>
      <c r="AK181" s="97">
        <v>44166</v>
      </c>
      <c r="AL181" s="97">
        <v>44197</v>
      </c>
      <c r="AM181" s="97">
        <v>44228</v>
      </c>
      <c r="AN181" s="97">
        <v>44256</v>
      </c>
      <c r="AO181" s="97">
        <v>44287</v>
      </c>
      <c r="AP181" s="97">
        <v>44317</v>
      </c>
      <c r="AQ181" s="97">
        <v>44348</v>
      </c>
    </row>
    <row r="182" spans="2:43" ht="13.5" thickBot="1" x14ac:dyDescent="0.3">
      <c r="B182" s="334"/>
      <c r="C182" s="335"/>
      <c r="D182" s="335"/>
      <c r="E182" s="335"/>
      <c r="F182" s="336"/>
      <c r="G182" s="336"/>
      <c r="H182" s="336" t="s">
        <v>1</v>
      </c>
      <c r="I182" s="336" t="s">
        <v>1</v>
      </c>
      <c r="J182" s="317"/>
      <c r="K182" s="306"/>
      <c r="M182" s="5">
        <v>43983</v>
      </c>
      <c r="N182" s="5">
        <v>44013</v>
      </c>
      <c r="O182" s="5">
        <v>44044</v>
      </c>
      <c r="P182" s="5">
        <v>44075</v>
      </c>
      <c r="Q182" s="5">
        <v>44105</v>
      </c>
      <c r="R182" s="5">
        <v>44136</v>
      </c>
      <c r="S182" s="5">
        <v>44166</v>
      </c>
      <c r="T182" s="5">
        <v>44197</v>
      </c>
      <c r="U182" s="5">
        <v>44228</v>
      </c>
      <c r="V182" s="5">
        <v>44256</v>
      </c>
      <c r="W182" s="5">
        <v>44287</v>
      </c>
      <c r="X182" s="5">
        <v>44317</v>
      </c>
      <c r="Y182" s="5">
        <v>44348</v>
      </c>
      <c r="Z182" s="1" t="s">
        <v>231</v>
      </c>
      <c r="AA182" s="34">
        <v>2207.7935379999999</v>
      </c>
      <c r="AB182" s="34">
        <v>6613.9468960000004</v>
      </c>
      <c r="AC182" s="34">
        <v>4700.6619440000004</v>
      </c>
      <c r="AD182" s="34">
        <v>4831.1507689999999</v>
      </c>
      <c r="AE182" s="34">
        <v>4356.8654459999998</v>
      </c>
      <c r="AF182" s="34">
        <v>5186.685665</v>
      </c>
      <c r="AG182" s="34">
        <v>5965.6785790000004</v>
      </c>
      <c r="AH182" s="34">
        <v>5252.7717620000003</v>
      </c>
      <c r="AI182" s="34">
        <v>5871.8167229999999</v>
      </c>
      <c r="AJ182" s="34">
        <v>6265.6064980000001</v>
      </c>
      <c r="AK182" s="34">
        <v>3144.822064</v>
      </c>
      <c r="AL182" s="4"/>
      <c r="AM182" s="4"/>
      <c r="AN182" s="4"/>
      <c r="AO182" s="4"/>
      <c r="AP182" s="4"/>
      <c r="AQ182" s="4"/>
    </row>
    <row r="183" spans="2:43" ht="13" x14ac:dyDescent="0.3">
      <c r="B183" s="23" t="s">
        <v>133</v>
      </c>
      <c r="C183" s="33" t="s">
        <v>134</v>
      </c>
      <c r="D183" s="58"/>
      <c r="E183" s="16" t="s">
        <v>135</v>
      </c>
      <c r="F183" s="6">
        <v>6250</v>
      </c>
      <c r="G183" s="7">
        <v>44377</v>
      </c>
      <c r="H183" s="8">
        <f t="shared" ref="H183:H191" ca="1" si="63">TODAY()-G183</f>
        <v>107</v>
      </c>
      <c r="I183" s="66">
        <f t="shared" ref="I183:I191" ca="1" si="64">H183/30</f>
        <v>3.5666666666666669</v>
      </c>
      <c r="J183" s="9" t="s">
        <v>20</v>
      </c>
      <c r="K183" s="81">
        <v>0</v>
      </c>
      <c r="M183" s="4">
        <v>571.98100499999998</v>
      </c>
      <c r="N183" s="4">
        <v>2573.914526</v>
      </c>
      <c r="O183" s="4">
        <v>7149.762573</v>
      </c>
      <c r="P183" s="4">
        <v>8007.7340819999999</v>
      </c>
      <c r="Q183" s="4">
        <v>8865.7055909999999</v>
      </c>
      <c r="R183" s="4">
        <v>8922.9036909999995</v>
      </c>
      <c r="S183" s="4">
        <v>5250.7856330000004</v>
      </c>
      <c r="T183" s="4">
        <v>2897.5</v>
      </c>
      <c r="U183" s="4">
        <v>3329.8</v>
      </c>
      <c r="V183" s="4">
        <v>7572.5</v>
      </c>
      <c r="W183" s="4">
        <v>4410</v>
      </c>
      <c r="X183" s="4">
        <v>5235</v>
      </c>
      <c r="Y183" s="4">
        <v>5372.5</v>
      </c>
      <c r="Z183" s="1" t="s">
        <v>232</v>
      </c>
      <c r="AA183" s="34">
        <v>5180</v>
      </c>
      <c r="AB183" s="34">
        <v>9700</v>
      </c>
      <c r="AC183" s="34">
        <v>46</v>
      </c>
      <c r="AD183" s="34">
        <v>35</v>
      </c>
      <c r="AE183" s="34"/>
      <c r="AF183" s="34"/>
      <c r="AG183" s="34"/>
      <c r="AH183" s="34"/>
      <c r="AI183" s="34"/>
      <c r="AJ183" s="34"/>
      <c r="AK183" s="34"/>
    </row>
    <row r="184" spans="2:43" ht="13" x14ac:dyDescent="0.3">
      <c r="B184" s="20" t="s">
        <v>22</v>
      </c>
      <c r="C184" s="26">
        <v>1025</v>
      </c>
      <c r="D184" s="38"/>
      <c r="E184" s="16" t="s">
        <v>209</v>
      </c>
      <c r="F184" s="6">
        <v>410</v>
      </c>
      <c r="G184" s="7">
        <v>44255</v>
      </c>
      <c r="H184" s="8">
        <f t="shared" ca="1" si="63"/>
        <v>229</v>
      </c>
      <c r="I184" s="66">
        <f t="shared" ca="1" si="64"/>
        <v>7.6333333333333337</v>
      </c>
      <c r="J184" s="9" t="s">
        <v>20</v>
      </c>
      <c r="K184" s="81">
        <v>0</v>
      </c>
      <c r="M184" s="17"/>
      <c r="O184" s="17"/>
      <c r="Q184" s="17"/>
      <c r="S184" s="17"/>
      <c r="Z184" s="1" t="s">
        <v>233</v>
      </c>
      <c r="AA184" s="34">
        <v>0</v>
      </c>
      <c r="AB184" s="34">
        <v>0</v>
      </c>
      <c r="AC184" s="34">
        <f t="shared" ref="AC184:AK184" si="65">AC182-AC183</f>
        <v>4654.6619440000004</v>
      </c>
      <c r="AD184" s="34">
        <f t="shared" si="65"/>
        <v>4796.1507689999999</v>
      </c>
      <c r="AE184" s="34">
        <f t="shared" si="65"/>
        <v>4356.8654459999998</v>
      </c>
      <c r="AF184" s="34">
        <f t="shared" si="65"/>
        <v>5186.685665</v>
      </c>
      <c r="AG184" s="34">
        <f t="shared" si="65"/>
        <v>5965.6785790000004</v>
      </c>
      <c r="AH184" s="34">
        <f t="shared" si="65"/>
        <v>5252.7717620000003</v>
      </c>
      <c r="AI184" s="34">
        <f t="shared" si="65"/>
        <v>5871.8167229999999</v>
      </c>
      <c r="AJ184" s="34">
        <f t="shared" si="65"/>
        <v>6265.6064980000001</v>
      </c>
      <c r="AK184" s="34">
        <f t="shared" si="65"/>
        <v>3144.822064</v>
      </c>
    </row>
    <row r="185" spans="2:43" ht="13" x14ac:dyDescent="0.3">
      <c r="B185" s="20" t="s">
        <v>24</v>
      </c>
      <c r="C185" s="26">
        <v>0</v>
      </c>
      <c r="D185" s="38"/>
      <c r="E185" s="16" t="s">
        <v>210</v>
      </c>
      <c r="F185" s="6">
        <v>2907</v>
      </c>
      <c r="G185" s="7">
        <v>44255</v>
      </c>
      <c r="H185" s="8">
        <f t="shared" ca="1" si="63"/>
        <v>229</v>
      </c>
      <c r="I185" s="66">
        <f t="shared" ca="1" si="64"/>
        <v>7.6333333333333337</v>
      </c>
      <c r="J185" s="9" t="s">
        <v>20</v>
      </c>
      <c r="K185" s="81">
        <v>0</v>
      </c>
      <c r="M185" s="48" t="s">
        <v>120</v>
      </c>
    </row>
    <row r="186" spans="2:43" ht="13" x14ac:dyDescent="0.3">
      <c r="B186" s="21"/>
      <c r="C186" s="25"/>
      <c r="D186" s="38"/>
      <c r="E186" s="16" t="s">
        <v>211</v>
      </c>
      <c r="F186" s="6">
        <v>16</v>
      </c>
      <c r="G186" s="7">
        <v>44227</v>
      </c>
      <c r="H186" s="8">
        <f t="shared" ca="1" si="63"/>
        <v>257</v>
      </c>
      <c r="I186" s="66">
        <f t="shared" ca="1" si="64"/>
        <v>8.5666666666666664</v>
      </c>
      <c r="J186" s="9" t="s">
        <v>20</v>
      </c>
      <c r="K186" s="81">
        <v>0</v>
      </c>
      <c r="L186" s="14"/>
      <c r="M186" s="19">
        <f>SUM(F183:F185)+C184</f>
        <v>10592</v>
      </c>
      <c r="N186" s="19">
        <f t="shared" ref="N186:S186" si="66">M190</f>
        <v>11598</v>
      </c>
      <c r="O186" s="19">
        <f t="shared" si="66"/>
        <v>12152.085474</v>
      </c>
      <c r="P186" s="19">
        <f t="shared" si="66"/>
        <v>9349.3229009999995</v>
      </c>
      <c r="Q186" s="19">
        <f t="shared" si="66"/>
        <v>14193.588819000001</v>
      </c>
      <c r="R186" s="19">
        <f t="shared" si="66"/>
        <v>8400.8832280000006</v>
      </c>
      <c r="S186" s="19">
        <f t="shared" si="66"/>
        <v>-522.02046299999893</v>
      </c>
      <c r="AA186" s="1">
        <f>($G$186-AA180)/30</f>
        <v>11.233333333333333</v>
      </c>
      <c r="AB186" s="1">
        <f>($G$186-AB180)/30</f>
        <v>10.199999999999999</v>
      </c>
      <c r="AC186" s="1">
        <f>($G$183-AC180)/30</f>
        <v>14.2</v>
      </c>
      <c r="AD186" s="1">
        <f>($G$183-AD180)/30</f>
        <v>13.166666666666666</v>
      </c>
      <c r="AE186" s="1">
        <f>($G$183-AE180)/30</f>
        <v>12.166666666666666</v>
      </c>
      <c r="AF186" s="1">
        <f t="shared" ref="AF186:AL186" si="67">($G$190-AF180)/30</f>
        <v>16.266666666666666</v>
      </c>
      <c r="AG186" s="1">
        <f t="shared" si="67"/>
        <v>15.233333333333333</v>
      </c>
      <c r="AH186" s="1">
        <f t="shared" si="67"/>
        <v>14.2</v>
      </c>
      <c r="AI186" s="1">
        <f t="shared" si="67"/>
        <v>13.2</v>
      </c>
      <c r="AJ186" s="1">
        <f t="shared" si="67"/>
        <v>12.166666666666666</v>
      </c>
      <c r="AK186" s="1">
        <f t="shared" si="67"/>
        <v>11.166666666666666</v>
      </c>
      <c r="AL186" s="1">
        <f t="shared" si="67"/>
        <v>10.166666666666666</v>
      </c>
    </row>
    <row r="187" spans="2:43" ht="13" x14ac:dyDescent="0.3">
      <c r="B187" s="21"/>
      <c r="C187" s="53"/>
      <c r="D187" s="38"/>
      <c r="E187" s="16" t="s">
        <v>221</v>
      </c>
      <c r="F187" s="6">
        <v>2031</v>
      </c>
      <c r="G187" s="7">
        <v>44500</v>
      </c>
      <c r="H187" s="8">
        <f t="shared" ca="1" si="63"/>
        <v>-16</v>
      </c>
      <c r="I187" s="66">
        <f t="shared" ca="1" si="64"/>
        <v>-0.53333333333333333</v>
      </c>
      <c r="J187" s="56" t="s">
        <v>139</v>
      </c>
      <c r="K187" s="81">
        <v>0</v>
      </c>
      <c r="L187" s="14"/>
      <c r="M187" s="47">
        <f t="shared" ref="M187:S187" si="68">M186/M183</f>
        <v>18.518097467240192</v>
      </c>
      <c r="N187" s="47">
        <f t="shared" si="68"/>
        <v>4.505977134378238</v>
      </c>
      <c r="O187" s="47">
        <f t="shared" si="68"/>
        <v>1.6996488134991388</v>
      </c>
      <c r="P187" s="47">
        <f t="shared" si="68"/>
        <v>1.1675366346162341</v>
      </c>
      <c r="Q187" s="47">
        <f t="shared" si="68"/>
        <v>1.6009542244904442</v>
      </c>
      <c r="R187" s="47">
        <f t="shared" si="68"/>
        <v>0.94149657095071759</v>
      </c>
      <c r="S187" s="47">
        <f t="shared" si="68"/>
        <v>-9.9417591858867435E-2</v>
      </c>
      <c r="AC187" s="19">
        <f>AC184-F186</f>
        <v>4638.6619440000004</v>
      </c>
      <c r="AD187" s="19">
        <f>AC190-AD184</f>
        <v>132.18728699999974</v>
      </c>
      <c r="AE187" s="19">
        <f>AD187+C184-AE184</f>
        <v>-3199.6781590000001</v>
      </c>
      <c r="AF187" s="19">
        <f>AE189-AF184</f>
        <v>-3227.363824</v>
      </c>
      <c r="AG187" s="19">
        <f>AF188-AG184</f>
        <v>-4846.0424030000004</v>
      </c>
      <c r="AH187" s="19">
        <f>AG188-AH184</f>
        <v>2753.1858349999993</v>
      </c>
      <c r="AI187" s="19">
        <f>AH187-AI184</f>
        <v>-3118.6308880000006</v>
      </c>
    </row>
    <row r="188" spans="2:43" ht="13" x14ac:dyDescent="0.3">
      <c r="B188" s="21"/>
      <c r="C188" s="53"/>
      <c r="D188" s="38"/>
      <c r="E188" s="16" t="s">
        <v>222</v>
      </c>
      <c r="F188" s="6">
        <v>3128</v>
      </c>
      <c r="G188" s="7">
        <v>44377</v>
      </c>
      <c r="H188" s="8">
        <f t="shared" ca="1" si="63"/>
        <v>107</v>
      </c>
      <c r="I188" s="66">
        <f t="shared" ca="1" si="64"/>
        <v>3.5666666666666669</v>
      </c>
      <c r="J188" s="56" t="s">
        <v>139</v>
      </c>
      <c r="K188" s="81">
        <v>0</v>
      </c>
      <c r="L188" s="14"/>
      <c r="AC188" s="19">
        <f>AC187-F185</f>
        <v>1731.6619440000004</v>
      </c>
      <c r="AE188" s="19">
        <f>AE187+F188</f>
        <v>-71.678159000000051</v>
      </c>
      <c r="AF188" s="19">
        <f>AF187+F189</f>
        <v>1119.636176</v>
      </c>
      <c r="AG188" s="19">
        <f>AG187+F190</f>
        <v>8005.9575969999996</v>
      </c>
      <c r="AI188" s="19">
        <f>AI187+F191</f>
        <v>-45.630888000000596</v>
      </c>
    </row>
    <row r="189" spans="2:43" ht="13" x14ac:dyDescent="0.3">
      <c r="B189" s="21"/>
      <c r="C189" s="37"/>
      <c r="D189" s="38">
        <v>44013</v>
      </c>
      <c r="E189" s="61"/>
      <c r="F189" s="62">
        <v>4347</v>
      </c>
      <c r="G189" s="10">
        <v>44500</v>
      </c>
      <c r="H189" s="11">
        <f t="shared" ca="1" si="63"/>
        <v>-16</v>
      </c>
      <c r="I189" s="64">
        <f t="shared" ca="1" si="64"/>
        <v>-0.53333333333333333</v>
      </c>
      <c r="J189" s="80" t="s">
        <v>136</v>
      </c>
      <c r="K189" s="81">
        <v>0</v>
      </c>
      <c r="L189" s="14"/>
      <c r="M189" s="48" t="s">
        <v>121</v>
      </c>
      <c r="AC189" s="19">
        <f>AC188-F184</f>
        <v>1321.6619440000004</v>
      </c>
      <c r="AE189" s="19">
        <f>AE188+F187</f>
        <v>1959.3218409999999</v>
      </c>
    </row>
    <row r="190" spans="2:43" ht="14.5" x14ac:dyDescent="0.35">
      <c r="B190" s="21"/>
      <c r="C190" s="37"/>
      <c r="D190" s="38">
        <v>44044</v>
      </c>
      <c r="E190" s="61"/>
      <c r="F190" s="62">
        <v>12852</v>
      </c>
      <c r="G190" s="10">
        <v>44530</v>
      </c>
      <c r="H190" s="11">
        <f t="shared" ca="1" si="63"/>
        <v>-46</v>
      </c>
      <c r="I190" s="64">
        <f t="shared" ca="1" si="64"/>
        <v>-1.5333333333333334</v>
      </c>
      <c r="J190" s="80" t="s">
        <v>136</v>
      </c>
      <c r="K190" s="81">
        <v>0</v>
      </c>
      <c r="L190" s="14"/>
      <c r="M190" s="19">
        <f>IF(C184&gt;M183,M186+F187-C184,M186+F187-M183)</f>
        <v>11598</v>
      </c>
      <c r="N190" s="39">
        <f>(N186+F188)-N183</f>
        <v>12152.085474</v>
      </c>
      <c r="O190" s="39">
        <f>(O186+F189)-O183</f>
        <v>9349.3229009999995</v>
      </c>
      <c r="P190" s="39">
        <f>(P186+F190)-P183</f>
        <v>14193.588819000001</v>
      </c>
      <c r="Q190" s="39">
        <f>(Q186+F191)-Q183</f>
        <v>8400.8832280000006</v>
      </c>
      <c r="R190" s="39">
        <f>(R186+F192)-R183</f>
        <v>-522.02046299999893</v>
      </c>
      <c r="S190" s="39">
        <f>(S186+F193)-S183</f>
        <v>-5772.8060959999993</v>
      </c>
      <c r="AC190" s="19">
        <f>F183-AC189</f>
        <v>4928.3380559999996</v>
      </c>
    </row>
    <row r="191" spans="2:43" ht="13" x14ac:dyDescent="0.3">
      <c r="B191" s="21"/>
      <c r="C191" s="37"/>
      <c r="D191" s="38">
        <v>44075</v>
      </c>
      <c r="E191" s="61"/>
      <c r="F191" s="62">
        <v>3073</v>
      </c>
      <c r="G191" s="10">
        <v>44530</v>
      </c>
      <c r="H191" s="11">
        <f t="shared" ca="1" si="63"/>
        <v>-46</v>
      </c>
      <c r="I191" s="64">
        <f t="shared" ca="1" si="64"/>
        <v>-1.5333333333333334</v>
      </c>
      <c r="J191" s="80" t="s">
        <v>136</v>
      </c>
      <c r="K191" s="81">
        <v>0</v>
      </c>
      <c r="L191" s="14"/>
      <c r="M191" s="47">
        <f t="shared" ref="M191:R191" si="69">M190/N183</f>
        <v>4.505977134378238</v>
      </c>
      <c r="N191" s="47">
        <f t="shared" si="69"/>
        <v>1.6996488134991388</v>
      </c>
      <c r="O191" s="47">
        <f t="shared" si="69"/>
        <v>1.1675366346162341</v>
      </c>
      <c r="P191" s="47">
        <f t="shared" si="69"/>
        <v>1.6009542244904442</v>
      </c>
      <c r="Q191" s="47">
        <f t="shared" si="69"/>
        <v>0.94149657095071759</v>
      </c>
      <c r="R191" s="47">
        <f t="shared" si="69"/>
        <v>-9.9417591858867435E-2</v>
      </c>
      <c r="S191" s="47" t="e">
        <f>S190/#REF!</f>
        <v>#REF!</v>
      </c>
    </row>
    <row r="192" spans="2:43" ht="13" x14ac:dyDescent="0.25">
      <c r="B192" s="21"/>
      <c r="C192" s="37"/>
      <c r="D192" s="38">
        <v>44105</v>
      </c>
      <c r="F192" s="49"/>
      <c r="G192" s="1"/>
      <c r="H192" s="1"/>
      <c r="I192" s="1"/>
      <c r="J192" s="1"/>
      <c r="K192" s="30"/>
      <c r="L192" s="14"/>
      <c r="M192" s="47"/>
      <c r="N192" s="47"/>
      <c r="O192" s="47"/>
      <c r="P192" s="47"/>
      <c r="Q192" s="47"/>
      <c r="R192" s="47"/>
      <c r="S192" s="47"/>
    </row>
    <row r="193" spans="2:43" ht="13" x14ac:dyDescent="0.25">
      <c r="B193" s="21"/>
      <c r="C193" s="37"/>
      <c r="D193" s="38">
        <v>44136</v>
      </c>
      <c r="F193" s="49"/>
      <c r="G193" s="1"/>
      <c r="H193" s="1"/>
      <c r="I193" s="1"/>
      <c r="J193" s="1"/>
      <c r="K193" s="30"/>
      <c r="L193" s="14"/>
      <c r="M193" s="47"/>
      <c r="N193" s="47"/>
      <c r="O193" s="47"/>
      <c r="P193" s="47"/>
      <c r="Q193" s="47"/>
      <c r="R193" s="47"/>
      <c r="S193" s="47"/>
    </row>
    <row r="194" spans="2:43" ht="13" x14ac:dyDescent="0.25">
      <c r="B194" s="21"/>
      <c r="C194" s="37"/>
      <c r="D194" s="38">
        <v>44166</v>
      </c>
      <c r="F194" s="49"/>
      <c r="G194" s="1"/>
      <c r="H194" s="1"/>
      <c r="I194" s="1"/>
      <c r="J194" s="1"/>
      <c r="K194" s="30"/>
      <c r="L194" s="14"/>
      <c r="M194" s="47"/>
      <c r="N194" s="47"/>
      <c r="O194" s="47"/>
      <c r="P194" s="47"/>
      <c r="Q194" s="47"/>
      <c r="R194" s="47"/>
      <c r="S194" s="47"/>
    </row>
    <row r="195" spans="2:43" ht="15" thickBot="1" x14ac:dyDescent="0.4">
      <c r="B195" s="95" t="s">
        <v>0</v>
      </c>
      <c r="C195" s="96"/>
      <c r="D195" s="96"/>
      <c r="E195" s="96"/>
      <c r="F195" s="27"/>
      <c r="G195" s="28"/>
      <c r="H195" s="28"/>
      <c r="I195" s="28"/>
      <c r="J195" s="28"/>
      <c r="K195" s="29"/>
      <c r="L195" s="14"/>
      <c r="M195"/>
      <c r="N195"/>
      <c r="S195" s="14"/>
    </row>
    <row r="197" spans="2:43" ht="13" thickBot="1" x14ac:dyDescent="0.3">
      <c r="M197" s="19"/>
      <c r="N197" s="19"/>
      <c r="R197" s="19"/>
      <c r="S197" s="19"/>
      <c r="AA197" s="60">
        <v>43890</v>
      </c>
      <c r="AB197" s="60">
        <v>43921</v>
      </c>
      <c r="AC197" s="60">
        <v>43951</v>
      </c>
      <c r="AD197" s="60">
        <v>43982</v>
      </c>
      <c r="AE197" s="60">
        <v>44012</v>
      </c>
      <c r="AF197" s="60">
        <v>44042</v>
      </c>
      <c r="AG197" s="60">
        <v>44073</v>
      </c>
      <c r="AH197" s="60">
        <v>44104</v>
      </c>
      <c r="AI197" s="60">
        <v>44134</v>
      </c>
      <c r="AJ197" s="60">
        <v>44165</v>
      </c>
      <c r="AK197" s="60">
        <v>44195</v>
      </c>
      <c r="AL197" s="60">
        <f t="shared" ref="AL197:AQ197" si="70">AK197+30</f>
        <v>44225</v>
      </c>
      <c r="AM197" s="60">
        <f t="shared" si="70"/>
        <v>44255</v>
      </c>
      <c r="AN197" s="60">
        <f t="shared" si="70"/>
        <v>44285</v>
      </c>
      <c r="AO197" s="60">
        <f t="shared" si="70"/>
        <v>44315</v>
      </c>
      <c r="AP197" s="60">
        <f t="shared" si="70"/>
        <v>44345</v>
      </c>
      <c r="AQ197" s="60">
        <f t="shared" si="70"/>
        <v>44375</v>
      </c>
    </row>
    <row r="198" spans="2:43" ht="13" x14ac:dyDescent="0.25">
      <c r="B198" s="311" t="s">
        <v>4</v>
      </c>
      <c r="C198" s="315" t="s">
        <v>3</v>
      </c>
      <c r="D198" s="315" t="s">
        <v>23</v>
      </c>
      <c r="E198" s="315" t="s">
        <v>2</v>
      </c>
      <c r="F198" s="307" t="s">
        <v>12</v>
      </c>
      <c r="G198" s="307" t="s">
        <v>13</v>
      </c>
      <c r="H198" s="307" t="s">
        <v>14</v>
      </c>
      <c r="I198" s="307" t="s">
        <v>15</v>
      </c>
      <c r="J198" s="309" t="s">
        <v>19</v>
      </c>
      <c r="K198" s="305" t="s">
        <v>21</v>
      </c>
      <c r="M198" s="337" t="s">
        <v>28</v>
      </c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AA198" s="97">
        <v>43862</v>
      </c>
      <c r="AB198" s="97">
        <v>43891</v>
      </c>
      <c r="AC198" s="97">
        <v>43922</v>
      </c>
      <c r="AD198" s="97">
        <v>43952</v>
      </c>
      <c r="AE198" s="97">
        <v>43983</v>
      </c>
      <c r="AF198" s="97">
        <v>44013</v>
      </c>
      <c r="AG198" s="97">
        <v>44044</v>
      </c>
      <c r="AH198" s="97">
        <v>44075</v>
      </c>
      <c r="AI198" s="97">
        <v>44105</v>
      </c>
      <c r="AJ198" s="97">
        <v>44136</v>
      </c>
      <c r="AK198" s="97">
        <v>44166</v>
      </c>
      <c r="AL198" s="97">
        <v>44197</v>
      </c>
      <c r="AM198" s="97">
        <v>44228</v>
      </c>
      <c r="AN198" s="97">
        <v>44256</v>
      </c>
      <c r="AO198" s="97">
        <v>44287</v>
      </c>
      <c r="AP198" s="97">
        <v>44317</v>
      </c>
      <c r="AQ198" s="97">
        <v>44348</v>
      </c>
    </row>
    <row r="199" spans="2:43" ht="13.5" thickBot="1" x14ac:dyDescent="0.3">
      <c r="B199" s="334"/>
      <c r="C199" s="335"/>
      <c r="D199" s="335"/>
      <c r="E199" s="335"/>
      <c r="F199" s="336"/>
      <c r="G199" s="336"/>
      <c r="H199" s="336" t="s">
        <v>1</v>
      </c>
      <c r="I199" s="336" t="s">
        <v>1</v>
      </c>
      <c r="J199" s="317"/>
      <c r="K199" s="306"/>
      <c r="M199" s="5">
        <v>43983</v>
      </c>
      <c r="N199" s="5">
        <v>44013</v>
      </c>
      <c r="O199" s="5">
        <v>44044</v>
      </c>
      <c r="P199" s="5">
        <v>44075</v>
      </c>
      <c r="Q199" s="5">
        <v>44105</v>
      </c>
      <c r="R199" s="5">
        <v>44136</v>
      </c>
      <c r="S199" s="5">
        <v>44166</v>
      </c>
      <c r="T199" s="5">
        <v>44197</v>
      </c>
      <c r="U199" s="5">
        <v>44228</v>
      </c>
      <c r="V199" s="5">
        <v>44256</v>
      </c>
      <c r="W199" s="5">
        <v>44287</v>
      </c>
      <c r="X199" s="5">
        <v>44317</v>
      </c>
      <c r="Y199" s="5">
        <v>44348</v>
      </c>
      <c r="Z199" s="1" t="s">
        <v>231</v>
      </c>
      <c r="AA199" s="34">
        <v>494.58124400000003</v>
      </c>
      <c r="AB199" s="34">
        <v>1315.5363910000001</v>
      </c>
      <c r="AC199" s="34">
        <v>1081.1729439999999</v>
      </c>
      <c r="AD199" s="34">
        <v>1223.190644</v>
      </c>
      <c r="AE199" s="34">
        <v>968.24260500000003</v>
      </c>
      <c r="AF199" s="34">
        <v>1152.1905469999999</v>
      </c>
      <c r="AG199" s="34">
        <v>1325.3652790000001</v>
      </c>
      <c r="AH199" s="34">
        <v>1166.8711699999999</v>
      </c>
      <c r="AI199" s="34">
        <v>1410.773768</v>
      </c>
      <c r="AJ199" s="34">
        <v>1574.7065210000001</v>
      </c>
      <c r="AK199" s="34">
        <v>642.76694199999997</v>
      </c>
      <c r="AL199" s="4"/>
      <c r="AM199" s="4"/>
      <c r="AN199" s="4"/>
      <c r="AO199" s="4"/>
      <c r="AP199" s="4"/>
      <c r="AQ199" s="4"/>
    </row>
    <row r="200" spans="2:43" ht="13" x14ac:dyDescent="0.3">
      <c r="B200" s="23" t="s">
        <v>205</v>
      </c>
      <c r="C200" s="33" t="s">
        <v>206</v>
      </c>
      <c r="D200" s="58"/>
      <c r="E200" s="16" t="s">
        <v>212</v>
      </c>
      <c r="F200" s="6">
        <v>2408</v>
      </c>
      <c r="G200" s="7">
        <v>44316</v>
      </c>
      <c r="H200" s="8">
        <f ca="1">TODAY()-G200</f>
        <v>168</v>
      </c>
      <c r="I200" s="66">
        <f ca="1">H200/30</f>
        <v>5.6</v>
      </c>
      <c r="J200" s="9" t="s">
        <v>20</v>
      </c>
      <c r="K200" s="81">
        <v>0</v>
      </c>
      <c r="M200" s="4">
        <v>45.611666</v>
      </c>
      <c r="N200" s="4">
        <v>205.252501</v>
      </c>
      <c r="O200" s="4">
        <v>570.14583700000003</v>
      </c>
      <c r="P200" s="4">
        <v>638.56333700000005</v>
      </c>
      <c r="Q200" s="4">
        <v>706.98083799999995</v>
      </c>
      <c r="R200" s="4">
        <v>711.54200500000002</v>
      </c>
      <c r="S200" s="4">
        <v>418.715103</v>
      </c>
      <c r="T200" s="4">
        <v>265.83333199999998</v>
      </c>
      <c r="U200" s="4">
        <v>320.83333199999998</v>
      </c>
      <c r="V200" s="4">
        <v>855.28666599999997</v>
      </c>
      <c r="W200" s="4">
        <v>440</v>
      </c>
      <c r="X200" s="4">
        <v>504.16666600000002</v>
      </c>
      <c r="Y200" s="4">
        <v>515.625</v>
      </c>
      <c r="Z200" s="1" t="s">
        <v>232</v>
      </c>
      <c r="AA200" s="34">
        <v>144</v>
      </c>
      <c r="AB200" s="34">
        <v>589</v>
      </c>
      <c r="AC200" s="34"/>
      <c r="AD200" s="34">
        <v>8</v>
      </c>
      <c r="AE200" s="34"/>
      <c r="AF200" s="34"/>
      <c r="AG200" s="34"/>
      <c r="AH200" s="34"/>
      <c r="AI200" s="34"/>
      <c r="AJ200" s="34"/>
      <c r="AK200" s="34"/>
    </row>
    <row r="201" spans="2:43" ht="13" x14ac:dyDescent="0.3">
      <c r="B201" s="20" t="s">
        <v>22</v>
      </c>
      <c r="C201" s="26">
        <v>88</v>
      </c>
      <c r="D201" s="38"/>
      <c r="E201" s="16" t="s">
        <v>213</v>
      </c>
      <c r="F201" s="6">
        <v>231</v>
      </c>
      <c r="G201" s="7">
        <v>44316</v>
      </c>
      <c r="H201" s="8">
        <f ca="1">TODAY()-G201</f>
        <v>168</v>
      </c>
      <c r="I201" s="66">
        <f ca="1">H201/30</f>
        <v>5.6</v>
      </c>
      <c r="J201" s="9" t="s">
        <v>20</v>
      </c>
      <c r="K201" s="81">
        <v>0</v>
      </c>
      <c r="M201" s="17"/>
      <c r="O201" s="17"/>
      <c r="Q201" s="17"/>
      <c r="S201" s="17"/>
      <c r="Z201" s="1" t="s">
        <v>233</v>
      </c>
      <c r="AA201" s="34">
        <f t="shared" ref="AA201:AK201" si="71">AA199-AA200</f>
        <v>350.58124400000003</v>
      </c>
      <c r="AB201" s="34">
        <f t="shared" si="71"/>
        <v>726.53639100000009</v>
      </c>
      <c r="AC201" s="34">
        <f t="shared" si="71"/>
        <v>1081.1729439999999</v>
      </c>
      <c r="AD201" s="34">
        <f t="shared" si="71"/>
        <v>1215.190644</v>
      </c>
      <c r="AE201" s="34">
        <f t="shared" si="71"/>
        <v>968.24260500000003</v>
      </c>
      <c r="AF201" s="34">
        <f t="shared" si="71"/>
        <v>1152.1905469999999</v>
      </c>
      <c r="AG201" s="34">
        <f t="shared" si="71"/>
        <v>1325.3652790000001</v>
      </c>
      <c r="AH201" s="34">
        <f t="shared" si="71"/>
        <v>1166.8711699999999</v>
      </c>
      <c r="AI201" s="34">
        <f t="shared" si="71"/>
        <v>1410.773768</v>
      </c>
      <c r="AJ201" s="34">
        <f t="shared" si="71"/>
        <v>1574.7065210000001</v>
      </c>
      <c r="AK201" s="34">
        <f t="shared" si="71"/>
        <v>642.76694199999997</v>
      </c>
    </row>
    <row r="202" spans="2:43" ht="13" x14ac:dyDescent="0.3">
      <c r="B202" s="20" t="s">
        <v>24</v>
      </c>
      <c r="C202" s="26">
        <v>0</v>
      </c>
      <c r="D202" s="38">
        <v>44013</v>
      </c>
      <c r="E202" s="61"/>
      <c r="F202" s="62">
        <v>1252</v>
      </c>
      <c r="G202" s="10">
        <v>44347</v>
      </c>
      <c r="H202" s="11">
        <f ca="1">TODAY()-G202</f>
        <v>137</v>
      </c>
      <c r="I202" s="64">
        <f ca="1">H202/30</f>
        <v>4.5666666666666664</v>
      </c>
      <c r="J202" s="80" t="s">
        <v>136</v>
      </c>
      <c r="K202" s="81">
        <v>0</v>
      </c>
      <c r="M202" s="48" t="s">
        <v>120</v>
      </c>
    </row>
    <row r="203" spans="2:43" ht="13" x14ac:dyDescent="0.3">
      <c r="B203" s="21"/>
      <c r="C203" s="25"/>
      <c r="D203" s="38">
        <v>44013</v>
      </c>
      <c r="E203" s="61"/>
      <c r="F203" s="62">
        <v>2398</v>
      </c>
      <c r="G203" s="10">
        <v>44500</v>
      </c>
      <c r="H203" s="11">
        <f ca="1">TODAY()-G203</f>
        <v>-16</v>
      </c>
      <c r="I203" s="64">
        <f ca="1">H203/30</f>
        <v>-0.53333333333333333</v>
      </c>
      <c r="J203" s="80" t="s">
        <v>136</v>
      </c>
      <c r="K203" s="81">
        <v>0</v>
      </c>
      <c r="L203" s="14"/>
      <c r="M203" s="19">
        <f>SUM(F200:F201)+C201</f>
        <v>2727</v>
      </c>
      <c r="N203" s="19">
        <f t="shared" ref="N203:S203" si="72">M207</f>
        <v>3891</v>
      </c>
      <c r="O203" s="19">
        <f t="shared" si="72"/>
        <v>6083.7474990000001</v>
      </c>
      <c r="P203" s="19">
        <f t="shared" si="72"/>
        <v>5513.601662</v>
      </c>
      <c r="Q203" s="19">
        <f t="shared" si="72"/>
        <v>4875.0383249999995</v>
      </c>
      <c r="R203" s="19">
        <f t="shared" si="72"/>
        <v>4168.057487</v>
      </c>
      <c r="S203" s="19">
        <f t="shared" si="72"/>
        <v>3456.5154819999998</v>
      </c>
      <c r="AA203" s="1">
        <f>($G$200-AA197)/30</f>
        <v>14.2</v>
      </c>
      <c r="AB203" s="1">
        <f>($G$200-AB197)/30</f>
        <v>13.166666666666666</v>
      </c>
      <c r="AC203" s="1">
        <f>($G$200-AC197)/30</f>
        <v>12.166666666666666</v>
      </c>
      <c r="AD203" s="1">
        <f>($G$202-AD197)/30</f>
        <v>12.166666666666666</v>
      </c>
      <c r="AE203" s="1">
        <f>($G$202-AE197)/30</f>
        <v>11.166666666666666</v>
      </c>
      <c r="AF203" s="1">
        <f>($G$202-AF197)/30</f>
        <v>10.166666666666666</v>
      </c>
      <c r="AG203" s="1">
        <f>($G$202-AG197)/30</f>
        <v>9.1333333333333329</v>
      </c>
    </row>
    <row r="204" spans="2:43" ht="13" x14ac:dyDescent="0.25">
      <c r="B204" s="21"/>
      <c r="C204" s="53"/>
      <c r="D204" s="38">
        <v>44044</v>
      </c>
      <c r="F204" s="49"/>
      <c r="G204" s="10"/>
      <c r="H204" s="11"/>
      <c r="I204" s="64"/>
      <c r="J204" s="65"/>
      <c r="K204" s="30"/>
      <c r="L204" s="14"/>
      <c r="M204" s="47">
        <f t="shared" ref="M204:S204" si="73">M203/M200</f>
        <v>59.787335985491083</v>
      </c>
      <c r="N204" s="47">
        <f t="shared" si="73"/>
        <v>18.95713806673664</v>
      </c>
      <c r="O204" s="47">
        <f t="shared" si="73"/>
        <v>10.670511129242884</v>
      </c>
      <c r="P204" s="47">
        <f t="shared" si="73"/>
        <v>8.6343849427734991</v>
      </c>
      <c r="Q204" s="47">
        <f t="shared" si="73"/>
        <v>6.8955734907768464</v>
      </c>
      <c r="R204" s="47">
        <f t="shared" si="73"/>
        <v>5.8577813505191445</v>
      </c>
      <c r="S204" s="47">
        <f t="shared" si="73"/>
        <v>8.2550532742545943</v>
      </c>
      <c r="AA204" s="19">
        <f>F200-AA201</f>
        <v>2057.418756</v>
      </c>
      <c r="AB204" s="19">
        <f>AA204-AB201</f>
        <v>1330.8823649999999</v>
      </c>
      <c r="AC204" s="19">
        <f>AB204-AC201</f>
        <v>249.70942100000002</v>
      </c>
      <c r="AD204" s="19">
        <f>AC204+C201-AD201</f>
        <v>-877.481223</v>
      </c>
      <c r="AE204" s="19">
        <f>AD206-AE201</f>
        <v>-362.72382800000003</v>
      </c>
      <c r="AF204" s="19">
        <f>AE205-AF201</f>
        <v>883.08562499999994</v>
      </c>
    </row>
    <row r="205" spans="2:43" ht="13" x14ac:dyDescent="0.3">
      <c r="B205" s="21"/>
      <c r="C205" s="53"/>
      <c r="D205" s="38">
        <v>44075</v>
      </c>
      <c r="F205" s="49"/>
      <c r="G205" s="7"/>
      <c r="H205" s="8"/>
      <c r="I205" s="52"/>
      <c r="J205" s="9"/>
      <c r="K205" s="30"/>
      <c r="L205" s="14"/>
      <c r="AD205" s="19">
        <f>AD204+F201</f>
        <v>-646.481223</v>
      </c>
      <c r="AE205" s="19">
        <f>AE204+F203</f>
        <v>2035.2761719999999</v>
      </c>
    </row>
    <row r="206" spans="2:43" ht="13" x14ac:dyDescent="0.3">
      <c r="B206" s="21"/>
      <c r="C206" s="37"/>
      <c r="D206" s="38">
        <v>44105</v>
      </c>
      <c r="F206" s="49"/>
      <c r="G206" s="7"/>
      <c r="H206" s="8"/>
      <c r="I206" s="52"/>
      <c r="J206" s="9"/>
      <c r="K206" s="30"/>
      <c r="L206" s="14"/>
      <c r="M206" s="48" t="s">
        <v>121</v>
      </c>
      <c r="AD206" s="19">
        <f>AD205+F202</f>
        <v>605.518777</v>
      </c>
    </row>
    <row r="207" spans="2:43" ht="14.5" x14ac:dyDescent="0.35">
      <c r="B207" s="21"/>
      <c r="C207" s="37"/>
      <c r="D207" s="38">
        <v>44136</v>
      </c>
      <c r="F207" s="49"/>
      <c r="G207" s="1"/>
      <c r="H207" s="1"/>
      <c r="I207" s="1"/>
      <c r="J207" s="1"/>
      <c r="K207" s="30"/>
      <c r="L207" s="14"/>
      <c r="M207" s="19">
        <f>IF(C201&gt;M200,M203+F202-C201,M203+F202-M200)</f>
        <v>3891</v>
      </c>
      <c r="N207" s="39">
        <f>(N203+F203)-N200</f>
        <v>6083.7474990000001</v>
      </c>
      <c r="O207" s="39">
        <f>(O203+F204)-O200</f>
        <v>5513.601662</v>
      </c>
      <c r="P207" s="39">
        <f>(P203+F205)-P200</f>
        <v>4875.0383249999995</v>
      </c>
      <c r="Q207" s="39">
        <f>(Q203+F206)-Q200</f>
        <v>4168.057487</v>
      </c>
      <c r="R207" s="39">
        <f>(R203+F207)-R200</f>
        <v>3456.5154819999998</v>
      </c>
      <c r="S207" s="39">
        <f>(S203+F208)-S200</f>
        <v>3037.8003789999998</v>
      </c>
    </row>
    <row r="208" spans="2:43" ht="13" x14ac:dyDescent="0.25">
      <c r="B208" s="21"/>
      <c r="C208" s="37"/>
      <c r="D208" s="38">
        <v>44166</v>
      </c>
      <c r="F208" s="49"/>
      <c r="G208" s="1"/>
      <c r="H208" s="1"/>
      <c r="I208" s="1"/>
      <c r="J208" s="1"/>
      <c r="K208" s="30"/>
      <c r="L208" s="14"/>
      <c r="M208" s="47">
        <f t="shared" ref="M208:R208" si="74">M207/N200</f>
        <v>18.95713806673664</v>
      </c>
      <c r="N208" s="47">
        <f t="shared" si="74"/>
        <v>10.670511129242884</v>
      </c>
      <c r="O208" s="47">
        <f t="shared" si="74"/>
        <v>8.6343849427734991</v>
      </c>
      <c r="P208" s="47">
        <f t="shared" si="74"/>
        <v>6.8955734907768464</v>
      </c>
      <c r="Q208" s="47">
        <f t="shared" si="74"/>
        <v>5.8577813505191445</v>
      </c>
      <c r="R208" s="47">
        <f t="shared" si="74"/>
        <v>8.2550532742545943</v>
      </c>
      <c r="S208" s="47" t="e">
        <f>S207/#REF!</f>
        <v>#REF!</v>
      </c>
    </row>
    <row r="209" spans="2:43" ht="13" x14ac:dyDescent="0.25">
      <c r="B209" s="21"/>
      <c r="C209" s="37"/>
      <c r="D209" s="38"/>
      <c r="F209" s="49"/>
      <c r="G209" s="1"/>
      <c r="H209" s="1"/>
      <c r="I209" s="1"/>
      <c r="J209" s="1"/>
      <c r="K209" s="30"/>
      <c r="L209" s="14"/>
      <c r="M209" s="47"/>
      <c r="N209" s="47"/>
      <c r="O209" s="47"/>
      <c r="P209" s="47"/>
      <c r="Q209" s="47"/>
      <c r="R209" s="47"/>
      <c r="S209" s="47"/>
    </row>
    <row r="210" spans="2:43" ht="15" thickBot="1" x14ac:dyDescent="0.4">
      <c r="B210" s="95" t="s">
        <v>0</v>
      </c>
      <c r="C210" s="96"/>
      <c r="D210" s="96"/>
      <c r="E210" s="96"/>
      <c r="F210" s="27"/>
      <c r="G210" s="28"/>
      <c r="H210" s="28"/>
      <c r="I210" s="28"/>
      <c r="J210" s="28"/>
      <c r="K210" s="29"/>
      <c r="L210" s="14"/>
      <c r="M210"/>
      <c r="N210"/>
      <c r="S210" s="14"/>
    </row>
    <row r="212" spans="2:43" ht="13" thickBot="1" x14ac:dyDescent="0.3">
      <c r="M212" s="19"/>
      <c r="N212" s="19"/>
      <c r="AA212" s="60">
        <v>43890</v>
      </c>
      <c r="AB212" s="60">
        <v>43921</v>
      </c>
      <c r="AC212" s="60">
        <v>43951</v>
      </c>
      <c r="AD212" s="60">
        <v>43982</v>
      </c>
      <c r="AE212" s="60">
        <v>44012</v>
      </c>
      <c r="AF212" s="60">
        <v>44042</v>
      </c>
      <c r="AG212" s="60">
        <v>44073</v>
      </c>
      <c r="AH212" s="60">
        <v>44104</v>
      </c>
      <c r="AI212" s="60">
        <v>44134</v>
      </c>
      <c r="AJ212" s="60">
        <v>44165</v>
      </c>
      <c r="AK212" s="60">
        <v>44195</v>
      </c>
      <c r="AL212" s="60">
        <f t="shared" ref="AL212:AQ212" si="75">AK212+30</f>
        <v>44225</v>
      </c>
      <c r="AM212" s="60">
        <f t="shared" si="75"/>
        <v>44255</v>
      </c>
      <c r="AN212" s="60">
        <f t="shared" si="75"/>
        <v>44285</v>
      </c>
      <c r="AO212" s="60">
        <f t="shared" si="75"/>
        <v>44315</v>
      </c>
      <c r="AP212" s="60">
        <f t="shared" si="75"/>
        <v>44345</v>
      </c>
      <c r="AQ212" s="60">
        <f t="shared" si="75"/>
        <v>44375</v>
      </c>
    </row>
    <row r="213" spans="2:43" ht="13" x14ac:dyDescent="0.25">
      <c r="B213" s="311" t="s">
        <v>4</v>
      </c>
      <c r="C213" s="315" t="s">
        <v>3</v>
      </c>
      <c r="D213" s="315" t="s">
        <v>23</v>
      </c>
      <c r="E213" s="315" t="s">
        <v>2</v>
      </c>
      <c r="F213" s="307" t="s">
        <v>12</v>
      </c>
      <c r="G213" s="307" t="s">
        <v>13</v>
      </c>
      <c r="H213" s="307" t="s">
        <v>14</v>
      </c>
      <c r="I213" s="307" t="s">
        <v>15</v>
      </c>
      <c r="J213" s="309" t="s">
        <v>19</v>
      </c>
      <c r="K213" s="305" t="s">
        <v>21</v>
      </c>
      <c r="M213" s="337" t="s">
        <v>28</v>
      </c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AA213" s="97">
        <v>43862</v>
      </c>
      <c r="AB213" s="97">
        <v>43891</v>
      </c>
      <c r="AC213" s="97">
        <v>43922</v>
      </c>
      <c r="AD213" s="97">
        <v>43952</v>
      </c>
      <c r="AE213" s="97">
        <v>43983</v>
      </c>
      <c r="AF213" s="97">
        <v>44013</v>
      </c>
      <c r="AG213" s="97">
        <v>44044</v>
      </c>
      <c r="AH213" s="97">
        <v>44075</v>
      </c>
      <c r="AI213" s="97">
        <v>44105</v>
      </c>
      <c r="AJ213" s="97">
        <v>44136</v>
      </c>
      <c r="AK213" s="97">
        <v>44166</v>
      </c>
      <c r="AL213" s="97">
        <v>44197</v>
      </c>
      <c r="AM213" s="97">
        <v>44228</v>
      </c>
      <c r="AN213" s="97">
        <v>44256</v>
      </c>
      <c r="AO213" s="97">
        <v>44287</v>
      </c>
      <c r="AP213" s="97">
        <v>44317</v>
      </c>
      <c r="AQ213" s="97">
        <v>44348</v>
      </c>
    </row>
    <row r="214" spans="2:43" ht="13.5" thickBot="1" x14ac:dyDescent="0.3">
      <c r="B214" s="334"/>
      <c r="C214" s="335"/>
      <c r="D214" s="335"/>
      <c r="E214" s="335"/>
      <c r="F214" s="336"/>
      <c r="G214" s="336"/>
      <c r="H214" s="336" t="s">
        <v>1</v>
      </c>
      <c r="I214" s="336" t="s">
        <v>1</v>
      </c>
      <c r="J214" s="317"/>
      <c r="K214" s="306"/>
      <c r="M214" s="5">
        <v>43983</v>
      </c>
      <c r="N214" s="5">
        <v>44013</v>
      </c>
      <c r="O214" s="5">
        <v>44044</v>
      </c>
      <c r="P214" s="5">
        <v>44075</v>
      </c>
      <c r="Q214" s="5">
        <v>44105</v>
      </c>
      <c r="R214" s="5">
        <v>44136</v>
      </c>
      <c r="S214" s="5">
        <v>44166</v>
      </c>
      <c r="T214" s="5">
        <v>44197</v>
      </c>
      <c r="U214" s="5">
        <v>44228</v>
      </c>
      <c r="V214" s="5">
        <v>44256</v>
      </c>
      <c r="W214" s="5">
        <v>44287</v>
      </c>
      <c r="X214" s="5">
        <v>44317</v>
      </c>
      <c r="Y214" s="5">
        <v>44348</v>
      </c>
      <c r="Z214" s="1" t="s">
        <v>231</v>
      </c>
      <c r="AA214" s="34">
        <v>840.83310600000004</v>
      </c>
      <c r="AB214" s="34">
        <v>1534.1516329999999</v>
      </c>
      <c r="AC214" s="34">
        <v>1301.236586</v>
      </c>
      <c r="AD214" s="34">
        <v>1251.5563</v>
      </c>
      <c r="AE214" s="34">
        <v>1086.0113429999999</v>
      </c>
      <c r="AF214" s="34">
        <v>1343.661051</v>
      </c>
      <c r="AG214" s="34">
        <v>1436.042692</v>
      </c>
      <c r="AH214" s="34">
        <v>1360.781293</v>
      </c>
      <c r="AI214" s="34">
        <v>1327.7545680000001</v>
      </c>
      <c r="AJ214" s="34">
        <v>1520.4252409999999</v>
      </c>
      <c r="AK214" s="34">
        <v>806.42968299999995</v>
      </c>
      <c r="AL214" s="4"/>
      <c r="AM214" s="4"/>
      <c r="AN214" s="4"/>
      <c r="AO214" s="4"/>
      <c r="AP214" s="4"/>
      <c r="AQ214" s="4"/>
    </row>
    <row r="215" spans="2:43" ht="13" x14ac:dyDescent="0.3">
      <c r="B215" s="23" t="s">
        <v>207</v>
      </c>
      <c r="C215" s="33" t="s">
        <v>208</v>
      </c>
      <c r="D215" s="58"/>
      <c r="E215" s="16" t="s">
        <v>214</v>
      </c>
      <c r="F215" s="6">
        <v>5206</v>
      </c>
      <c r="G215" s="7">
        <v>44286</v>
      </c>
      <c r="H215" s="8">
        <f t="shared" ref="H215:H220" ca="1" si="76">TODAY()-G215</f>
        <v>198</v>
      </c>
      <c r="I215" s="66">
        <f t="shared" ref="I215:I220" ca="1" si="77">H215/30</f>
        <v>6.6</v>
      </c>
      <c r="J215" s="9" t="s">
        <v>20</v>
      </c>
      <c r="K215" s="81">
        <v>2795</v>
      </c>
      <c r="M215" s="4">
        <v>132.749427</v>
      </c>
      <c r="N215" s="4">
        <v>597.37242100000003</v>
      </c>
      <c r="O215" s="4">
        <v>1659.367837</v>
      </c>
      <c r="P215" s="4">
        <v>1858.491978</v>
      </c>
      <c r="Q215" s="4">
        <v>2057.6161189999998</v>
      </c>
      <c r="R215" s="4">
        <v>2070.8910609999998</v>
      </c>
      <c r="S215" s="4">
        <v>1218.6397400000001</v>
      </c>
      <c r="T215" s="4">
        <v>1100.8333319999999</v>
      </c>
      <c r="U215" s="4">
        <v>1314.6</v>
      </c>
      <c r="V215" s="4">
        <v>3218.3333320000002</v>
      </c>
      <c r="W215" s="4">
        <v>1843.3333319999999</v>
      </c>
      <c r="X215" s="4">
        <v>2228.3333320000002</v>
      </c>
      <c r="Y215" s="4">
        <v>2108.6166659999999</v>
      </c>
      <c r="Z215" s="1" t="s">
        <v>232</v>
      </c>
      <c r="AA215" s="34">
        <v>336</v>
      </c>
      <c r="AB215" s="34">
        <v>1319</v>
      </c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2:43" ht="13" x14ac:dyDescent="0.3">
      <c r="B216" s="20" t="s">
        <v>22</v>
      </c>
      <c r="C216" s="26">
        <v>294</v>
      </c>
      <c r="D216" s="38"/>
      <c r="E216" s="16" t="s">
        <v>215</v>
      </c>
      <c r="F216" s="6">
        <v>1654</v>
      </c>
      <c r="G216" s="7">
        <v>44227</v>
      </c>
      <c r="H216" s="8">
        <f t="shared" ca="1" si="76"/>
        <v>257</v>
      </c>
      <c r="I216" s="66">
        <f t="shared" ca="1" si="77"/>
        <v>8.5666666666666664</v>
      </c>
      <c r="J216" s="9" t="s">
        <v>20</v>
      </c>
      <c r="K216" s="81">
        <v>0</v>
      </c>
      <c r="M216" s="17"/>
      <c r="O216" s="17"/>
      <c r="Q216" s="17"/>
      <c r="S216" s="17"/>
      <c r="Z216" s="1" t="s">
        <v>233</v>
      </c>
      <c r="AA216" s="34">
        <f t="shared" ref="AA216:AK216" si="78">AA214-AA215</f>
        <v>504.83310600000004</v>
      </c>
      <c r="AB216" s="34">
        <f t="shared" si="78"/>
        <v>215.15163299999995</v>
      </c>
      <c r="AC216" s="34">
        <f t="shared" si="78"/>
        <v>1301.236586</v>
      </c>
      <c r="AD216" s="34">
        <f t="shared" si="78"/>
        <v>1251.5563</v>
      </c>
      <c r="AE216" s="34">
        <f t="shared" si="78"/>
        <v>1086.0113429999999</v>
      </c>
      <c r="AF216" s="34">
        <f t="shared" si="78"/>
        <v>1343.661051</v>
      </c>
      <c r="AG216" s="34">
        <f t="shared" si="78"/>
        <v>1436.042692</v>
      </c>
      <c r="AH216" s="34">
        <f t="shared" si="78"/>
        <v>1360.781293</v>
      </c>
      <c r="AI216" s="34">
        <f t="shared" si="78"/>
        <v>1327.7545680000001</v>
      </c>
      <c r="AJ216" s="34">
        <f t="shared" si="78"/>
        <v>1520.4252409999999</v>
      </c>
      <c r="AK216" s="34">
        <f t="shared" si="78"/>
        <v>806.42968299999995</v>
      </c>
    </row>
    <row r="217" spans="2:43" ht="13" x14ac:dyDescent="0.3">
      <c r="B217" s="20" t="s">
        <v>24</v>
      </c>
      <c r="C217" s="26">
        <v>0</v>
      </c>
      <c r="D217" s="38"/>
      <c r="E217" s="16" t="s">
        <v>216</v>
      </c>
      <c r="F217" s="6">
        <v>251</v>
      </c>
      <c r="G217" s="7">
        <v>43982</v>
      </c>
      <c r="H217" s="8">
        <f t="shared" ca="1" si="76"/>
        <v>502</v>
      </c>
      <c r="I217" s="66">
        <f t="shared" ca="1" si="77"/>
        <v>16.733333333333334</v>
      </c>
      <c r="J217" s="9" t="s">
        <v>20</v>
      </c>
      <c r="K217" s="81">
        <v>251</v>
      </c>
      <c r="M217" s="48" t="s">
        <v>120</v>
      </c>
    </row>
    <row r="218" spans="2:43" ht="13" x14ac:dyDescent="0.3">
      <c r="B218" s="21"/>
      <c r="C218" s="25"/>
      <c r="D218" s="38"/>
      <c r="E218" s="16" t="s">
        <v>217</v>
      </c>
      <c r="F218" s="6">
        <v>7519</v>
      </c>
      <c r="G218" s="7">
        <v>44286</v>
      </c>
      <c r="H218" s="8">
        <f t="shared" ca="1" si="76"/>
        <v>198</v>
      </c>
      <c r="I218" s="66">
        <f t="shared" ca="1" si="77"/>
        <v>6.6</v>
      </c>
      <c r="J218" s="56" t="s">
        <v>139</v>
      </c>
      <c r="K218" s="81">
        <v>7519</v>
      </c>
      <c r="L218" s="14"/>
      <c r="M218" s="19">
        <f>F215+F218</f>
        <v>12725</v>
      </c>
      <c r="N218" s="19">
        <f t="shared" ref="N218:S218" si="79">M222</f>
        <v>20058</v>
      </c>
      <c r="O218" s="19">
        <f t="shared" si="79"/>
        <v>25494.627579</v>
      </c>
      <c r="P218" s="19">
        <f t="shared" si="79"/>
        <v>23835.259741999998</v>
      </c>
      <c r="Q218" s="19">
        <f t="shared" si="79"/>
        <v>21976.767763999997</v>
      </c>
      <c r="R218" s="19">
        <f t="shared" si="79"/>
        <v>19919.151644999998</v>
      </c>
      <c r="S218" s="19">
        <f t="shared" si="79"/>
        <v>17848.260584</v>
      </c>
      <c r="AA218" s="1">
        <f>($G$216-AA212)/30</f>
        <v>11.233333333333333</v>
      </c>
      <c r="AB218" s="1">
        <f>($G$216-AB212)/30</f>
        <v>10.199999999999999</v>
      </c>
      <c r="AC218" s="1">
        <f>($G$215-AC212)/30</f>
        <v>11.166666666666666</v>
      </c>
      <c r="AD218" s="1">
        <f>($G$215-AD212)/30</f>
        <v>10.133333333333333</v>
      </c>
      <c r="AE218" s="1">
        <f>($G$215-AE212)/30</f>
        <v>9.1333333333333329</v>
      </c>
      <c r="AF218" s="1">
        <f t="shared" ref="AF218:AK218" si="80">($G$220-AF212)/30</f>
        <v>15.266666666666667</v>
      </c>
      <c r="AG218" s="1">
        <f t="shared" si="80"/>
        <v>14.233333333333333</v>
      </c>
      <c r="AH218" s="1">
        <f t="shared" si="80"/>
        <v>13.2</v>
      </c>
      <c r="AI218" s="1">
        <f t="shared" si="80"/>
        <v>12.2</v>
      </c>
      <c r="AJ218" s="1">
        <f t="shared" si="80"/>
        <v>11.166666666666666</v>
      </c>
      <c r="AK218" s="1">
        <f t="shared" si="80"/>
        <v>10.166666666666666</v>
      </c>
    </row>
    <row r="219" spans="2:43" ht="13" x14ac:dyDescent="0.3">
      <c r="B219" s="21"/>
      <c r="C219" s="53"/>
      <c r="D219" s="38">
        <v>44013</v>
      </c>
      <c r="F219" s="62">
        <v>7627</v>
      </c>
      <c r="G219" s="10">
        <v>44286</v>
      </c>
      <c r="H219" s="11">
        <f t="shared" ca="1" si="76"/>
        <v>198</v>
      </c>
      <c r="I219" s="64">
        <f t="shared" ca="1" si="77"/>
        <v>6.6</v>
      </c>
      <c r="J219" s="80" t="s">
        <v>136</v>
      </c>
      <c r="K219" s="81">
        <v>7627</v>
      </c>
      <c r="L219" s="14"/>
      <c r="M219" s="47">
        <f t="shared" ref="M219:S219" si="81">M218/M215</f>
        <v>95.857287579855239</v>
      </c>
      <c r="N219" s="47">
        <f t="shared" si="81"/>
        <v>33.577043892356052</v>
      </c>
      <c r="O219" s="47">
        <f t="shared" si="81"/>
        <v>15.364060343059426</v>
      </c>
      <c r="P219" s="47">
        <f t="shared" si="81"/>
        <v>12.825053873867191</v>
      </c>
      <c r="Q219" s="47">
        <f t="shared" si="81"/>
        <v>10.680693818962059</v>
      </c>
      <c r="R219" s="47">
        <f t="shared" si="81"/>
        <v>9.6186380926195909</v>
      </c>
      <c r="S219" s="47">
        <f t="shared" si="81"/>
        <v>14.646051657563701</v>
      </c>
      <c r="AA219" s="19">
        <f>F216-AA216</f>
        <v>1149.166894</v>
      </c>
      <c r="AB219" s="19">
        <f>AA219-AB216</f>
        <v>934.01526100000001</v>
      </c>
      <c r="AC219" s="19">
        <f>AB219-AC216</f>
        <v>-367.22132499999998</v>
      </c>
      <c r="AD219" s="19">
        <f>AC220-AD216</f>
        <v>3587.2223749999994</v>
      </c>
      <c r="AE219" s="19">
        <f>AD219+C216-AE216</f>
        <v>2795.2110319999992</v>
      </c>
      <c r="AF219" s="19">
        <f>F220-AF216</f>
        <v>4690.338949</v>
      </c>
      <c r="AG219" s="19">
        <f>AF219-AG216</f>
        <v>3254.296257</v>
      </c>
      <c r="AH219" s="19">
        <f>AG219-AH216</f>
        <v>1893.514964</v>
      </c>
      <c r="AI219" s="19">
        <f>AH219-AI216</f>
        <v>565.7603959999999</v>
      </c>
      <c r="AJ219" s="19">
        <f>AI219-AJ216</f>
        <v>-954.66484500000001</v>
      </c>
    </row>
    <row r="220" spans="2:43" ht="13" x14ac:dyDescent="0.3">
      <c r="B220" s="21"/>
      <c r="C220" s="53"/>
      <c r="D220" s="38">
        <v>44013</v>
      </c>
      <c r="F220" s="62">
        <v>6034</v>
      </c>
      <c r="G220" s="10">
        <v>44500</v>
      </c>
      <c r="H220" s="11">
        <f t="shared" ca="1" si="76"/>
        <v>-16</v>
      </c>
      <c r="I220" s="64">
        <f t="shared" ca="1" si="77"/>
        <v>-0.53333333333333333</v>
      </c>
      <c r="J220" s="80" t="s">
        <v>136</v>
      </c>
      <c r="K220" s="81">
        <v>0</v>
      </c>
      <c r="L220" s="14"/>
      <c r="AC220" s="19">
        <f>AC219+F215</f>
        <v>4838.7786749999996</v>
      </c>
    </row>
    <row r="221" spans="2:43" ht="13" x14ac:dyDescent="0.3">
      <c r="B221" s="21"/>
      <c r="C221" s="37"/>
      <c r="D221" s="38">
        <v>44044</v>
      </c>
      <c r="F221" s="49"/>
      <c r="G221" s="7"/>
      <c r="H221" s="8"/>
      <c r="I221" s="52"/>
      <c r="J221" s="9"/>
      <c r="K221" s="30"/>
      <c r="L221" s="14"/>
      <c r="M221" s="48" t="s">
        <v>121</v>
      </c>
    </row>
    <row r="222" spans="2:43" ht="14.5" x14ac:dyDescent="0.35">
      <c r="B222" s="21"/>
      <c r="C222" s="37"/>
      <c r="D222" s="38">
        <v>44075</v>
      </c>
      <c r="F222" s="49"/>
      <c r="G222" s="1"/>
      <c r="H222" s="1"/>
      <c r="I222" s="1"/>
      <c r="J222" s="1"/>
      <c r="K222" s="30"/>
      <c r="L222" s="14"/>
      <c r="M222" s="19">
        <f>IF(C216&gt;M215,M218+F219-C216,M218+F219-M215)</f>
        <v>20058</v>
      </c>
      <c r="N222" s="39">
        <f>(N218+F220)-N215</f>
        <v>25494.627579</v>
      </c>
      <c r="O222" s="39">
        <f>(O218+F221)-O215</f>
        <v>23835.259741999998</v>
      </c>
      <c r="P222" s="39">
        <f>(P218+F222)-P215</f>
        <v>21976.767763999997</v>
      </c>
      <c r="Q222" s="39">
        <f>(Q218+F223)-Q215</f>
        <v>19919.151644999998</v>
      </c>
      <c r="R222" s="39">
        <f>(R218+F224)-R215</f>
        <v>17848.260584</v>
      </c>
      <c r="S222" s="39">
        <f>(S218+F225)-S215</f>
        <v>16629.620844000001</v>
      </c>
    </row>
    <row r="223" spans="2:43" ht="13" x14ac:dyDescent="0.25">
      <c r="B223" s="21"/>
      <c r="C223" s="37"/>
      <c r="D223" s="38">
        <v>44105</v>
      </c>
      <c r="F223" s="49"/>
      <c r="G223" s="1"/>
      <c r="H223" s="1"/>
      <c r="I223" s="1"/>
      <c r="J223" s="1"/>
      <c r="K223" s="30"/>
      <c r="L223" s="14"/>
      <c r="M223" s="47">
        <f t="shared" ref="M223:R223" si="82">M222/N215</f>
        <v>33.577043892356052</v>
      </c>
      <c r="N223" s="47">
        <f t="shared" si="82"/>
        <v>15.364060343059426</v>
      </c>
      <c r="O223" s="47">
        <f t="shared" si="82"/>
        <v>12.825053873867191</v>
      </c>
      <c r="P223" s="47">
        <f t="shared" si="82"/>
        <v>10.680693818962059</v>
      </c>
      <c r="Q223" s="47">
        <f t="shared" si="82"/>
        <v>9.6186380926195909</v>
      </c>
      <c r="R223" s="47">
        <f t="shared" si="82"/>
        <v>14.646051657563701</v>
      </c>
      <c r="S223" s="47" t="e">
        <f>S222/#REF!</f>
        <v>#REF!</v>
      </c>
    </row>
    <row r="224" spans="2:43" ht="13" x14ac:dyDescent="0.25">
      <c r="B224" s="21"/>
      <c r="C224" s="37"/>
      <c r="D224" s="38">
        <v>44136</v>
      </c>
      <c r="F224" s="49"/>
      <c r="G224" s="1"/>
      <c r="H224" s="1"/>
      <c r="I224" s="1"/>
      <c r="J224" s="1"/>
      <c r="K224" s="30"/>
      <c r="L224" s="14"/>
      <c r="M224" s="47"/>
      <c r="N224" s="47"/>
      <c r="O224" s="47"/>
      <c r="P224" s="47"/>
      <c r="Q224" s="47"/>
      <c r="R224" s="47"/>
      <c r="S224" s="47"/>
    </row>
    <row r="225" spans="2:19" ht="13" x14ac:dyDescent="0.25">
      <c r="B225" s="21"/>
      <c r="C225" s="37"/>
      <c r="D225" s="38">
        <v>44166</v>
      </c>
      <c r="F225" s="49"/>
      <c r="G225" s="1"/>
      <c r="H225" s="1"/>
      <c r="I225" s="1"/>
      <c r="J225" s="1"/>
      <c r="K225" s="30"/>
      <c r="L225" s="14"/>
      <c r="M225" s="47"/>
      <c r="N225" s="47"/>
      <c r="O225" s="47"/>
      <c r="P225" s="47"/>
      <c r="Q225" s="47"/>
      <c r="R225" s="47"/>
      <c r="S225" s="47"/>
    </row>
    <row r="226" spans="2:19" ht="13" x14ac:dyDescent="0.25">
      <c r="B226" s="21"/>
      <c r="C226" s="37"/>
      <c r="D226" s="38"/>
      <c r="F226" s="49"/>
      <c r="G226" s="1"/>
      <c r="H226" s="1"/>
      <c r="I226" s="1"/>
      <c r="J226" s="1"/>
      <c r="K226" s="30"/>
      <c r="L226" s="14"/>
      <c r="M226" s="47"/>
      <c r="N226" s="47"/>
      <c r="O226" s="47"/>
      <c r="P226" s="47"/>
      <c r="Q226" s="47"/>
      <c r="R226" s="47"/>
      <c r="S226" s="47"/>
    </row>
    <row r="227" spans="2:19" ht="15" thickBot="1" x14ac:dyDescent="0.4">
      <c r="B227" s="95" t="s">
        <v>0</v>
      </c>
      <c r="C227" s="96"/>
      <c r="D227" s="96"/>
      <c r="E227" s="96"/>
      <c r="F227" s="27"/>
      <c r="G227" s="28"/>
      <c r="H227" s="28"/>
      <c r="I227" s="28"/>
      <c r="J227" s="28"/>
      <c r="K227" s="29"/>
      <c r="L227" s="14"/>
      <c r="M227"/>
      <c r="N227"/>
      <c r="S227" s="14"/>
    </row>
    <row r="231" spans="2:19" x14ac:dyDescent="0.25">
      <c r="P231" s="19"/>
    </row>
    <row r="232" spans="2:19" x14ac:dyDescent="0.25">
      <c r="P232" s="19"/>
    </row>
    <row r="234" spans="2:19" x14ac:dyDescent="0.25">
      <c r="P234" s="67"/>
    </row>
  </sheetData>
  <mergeCells count="144">
    <mergeCell ref="G213:G214"/>
    <mergeCell ref="H213:H214"/>
    <mergeCell ref="I213:I214"/>
    <mergeCell ref="J213:J214"/>
    <mergeCell ref="K213:K214"/>
    <mergeCell ref="M213:Y213"/>
    <mergeCell ref="H198:H199"/>
    <mergeCell ref="I198:I199"/>
    <mergeCell ref="J198:J199"/>
    <mergeCell ref="K198:K199"/>
    <mergeCell ref="M198:Y198"/>
    <mergeCell ref="G198:G199"/>
    <mergeCell ref="B213:B214"/>
    <mergeCell ref="C213:C214"/>
    <mergeCell ref="D213:D214"/>
    <mergeCell ref="E213:E214"/>
    <mergeCell ref="F213:F214"/>
    <mergeCell ref="B198:B199"/>
    <mergeCell ref="C198:C199"/>
    <mergeCell ref="D198:D199"/>
    <mergeCell ref="E198:E199"/>
    <mergeCell ref="F198:F199"/>
    <mergeCell ref="G181:G182"/>
    <mergeCell ref="H181:H182"/>
    <mergeCell ref="I181:I182"/>
    <mergeCell ref="J181:J182"/>
    <mergeCell ref="K181:K182"/>
    <mergeCell ref="M181:Y181"/>
    <mergeCell ref="H162:H163"/>
    <mergeCell ref="I162:I163"/>
    <mergeCell ref="J162:J163"/>
    <mergeCell ref="K162:K163"/>
    <mergeCell ref="M162:Y162"/>
    <mergeCell ref="G162:G163"/>
    <mergeCell ref="B181:B182"/>
    <mergeCell ref="C181:C182"/>
    <mergeCell ref="D181:D182"/>
    <mergeCell ref="E181:E182"/>
    <mergeCell ref="F181:F182"/>
    <mergeCell ref="B162:B163"/>
    <mergeCell ref="C162:C163"/>
    <mergeCell ref="D162:D163"/>
    <mergeCell ref="E162:E163"/>
    <mergeCell ref="F162:F163"/>
    <mergeCell ref="G146:G147"/>
    <mergeCell ref="H146:H147"/>
    <mergeCell ref="I146:I147"/>
    <mergeCell ref="J146:J147"/>
    <mergeCell ref="K146:K147"/>
    <mergeCell ref="M146:Y146"/>
    <mergeCell ref="H130:H131"/>
    <mergeCell ref="I130:I131"/>
    <mergeCell ref="J130:J131"/>
    <mergeCell ref="K130:K131"/>
    <mergeCell ref="M130:Y130"/>
    <mergeCell ref="G130:G131"/>
    <mergeCell ref="B146:B147"/>
    <mergeCell ref="C146:C147"/>
    <mergeCell ref="D146:D147"/>
    <mergeCell ref="E146:E147"/>
    <mergeCell ref="F146:F147"/>
    <mergeCell ref="B130:B131"/>
    <mergeCell ref="C130:C131"/>
    <mergeCell ref="D130:D131"/>
    <mergeCell ref="E130:E131"/>
    <mergeCell ref="F130:F131"/>
    <mergeCell ref="G113:G114"/>
    <mergeCell ref="H113:H114"/>
    <mergeCell ref="I113:I114"/>
    <mergeCell ref="J113:J114"/>
    <mergeCell ref="K113:K114"/>
    <mergeCell ref="M113:Y113"/>
    <mergeCell ref="H96:H97"/>
    <mergeCell ref="I96:I97"/>
    <mergeCell ref="J96:J97"/>
    <mergeCell ref="K96:K97"/>
    <mergeCell ref="M96:Y96"/>
    <mergeCell ref="G96:G97"/>
    <mergeCell ref="B113:B114"/>
    <mergeCell ref="C113:C114"/>
    <mergeCell ref="D113:D114"/>
    <mergeCell ref="E113:E114"/>
    <mergeCell ref="F113:F114"/>
    <mergeCell ref="B96:B97"/>
    <mergeCell ref="C96:C97"/>
    <mergeCell ref="D96:D97"/>
    <mergeCell ref="E96:E97"/>
    <mergeCell ref="F96:F97"/>
    <mergeCell ref="H43:H44"/>
    <mergeCell ref="I75:I76"/>
    <mergeCell ref="J75:J76"/>
    <mergeCell ref="K75:K76"/>
    <mergeCell ref="M75:Y75"/>
    <mergeCell ref="H59:H60"/>
    <mergeCell ref="I59:I60"/>
    <mergeCell ref="J59:J60"/>
    <mergeCell ref="K59:K60"/>
    <mergeCell ref="M59:Y59"/>
    <mergeCell ref="C59:C60"/>
    <mergeCell ref="D59:D60"/>
    <mergeCell ref="E59:E60"/>
    <mergeCell ref="F59:F60"/>
    <mergeCell ref="G59:G60"/>
    <mergeCell ref="B43:B44"/>
    <mergeCell ref="C43:C44"/>
    <mergeCell ref="D43:D44"/>
    <mergeCell ref="E43:E44"/>
    <mergeCell ref="F43:F44"/>
    <mergeCell ref="G43:G44"/>
    <mergeCell ref="B75:B76"/>
    <mergeCell ref="C75:C76"/>
    <mergeCell ref="D75:D76"/>
    <mergeCell ref="E75:E76"/>
    <mergeCell ref="F75:F76"/>
    <mergeCell ref="G75:G76"/>
    <mergeCell ref="H75:H76"/>
    <mergeCell ref="M4:Y4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M28:Y28"/>
    <mergeCell ref="I43:I44"/>
    <mergeCell ref="J43:J44"/>
    <mergeCell ref="K43:K44"/>
    <mergeCell ref="M43:Y43"/>
    <mergeCell ref="B59:B60"/>
    <mergeCell ref="B2:K2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184C-89A2-4750-955D-0814F638C229}">
  <sheetPr codeName="Planilha17"/>
  <dimension ref="A1:AD26"/>
  <sheetViews>
    <sheetView showGridLines="0" zoomScale="90" zoomScaleNormal="90" zoomScaleSheetLayoutView="110" workbookViewId="0">
      <pane xSplit="2" ySplit="2" topLeftCell="Q3" activePane="bottomRight" state="frozen"/>
      <selection activeCell="F8" sqref="F8"/>
      <selection pane="topRight" activeCell="F8" sqref="F8"/>
      <selection pane="bottomLeft" activeCell="F8" sqref="F8"/>
      <selection pane="bottomRight" activeCell="AH13" sqref="AH13"/>
    </sheetView>
  </sheetViews>
  <sheetFormatPr defaultRowHeight="14.5" x14ac:dyDescent="0.35"/>
  <cols>
    <col min="1" max="1" width="10.08984375" bestFit="1" customWidth="1"/>
    <col min="2" max="2" width="34.36328125" bestFit="1" customWidth="1"/>
    <col min="3" max="5" width="8.36328125" customWidth="1"/>
    <col min="6" max="6" width="7.36328125" customWidth="1"/>
    <col min="7" max="7" width="7.08984375" customWidth="1"/>
    <col min="8" max="8" width="7.453125" customWidth="1"/>
    <col min="9" max="11" width="7.36328125" customWidth="1"/>
    <col min="12" max="12" width="7.6328125" customWidth="1"/>
    <col min="13" max="13" width="7" customWidth="1"/>
    <col min="14" max="14" width="7.453125" customWidth="1"/>
    <col min="15" max="15" width="10.36328125" customWidth="1"/>
    <col min="16" max="16" width="1.90625" customWidth="1"/>
    <col min="17" max="17" width="6" customWidth="1"/>
    <col min="18" max="20" width="13.36328125" bestFit="1" customWidth="1"/>
    <col min="21" max="21" width="11.6328125" bestFit="1" customWidth="1"/>
    <col min="22" max="24" width="7.453125" bestFit="1" customWidth="1"/>
    <col min="25" max="26" width="11.6328125" bestFit="1" customWidth="1"/>
    <col min="27" max="27" width="7.6328125" bestFit="1" customWidth="1"/>
    <col min="28" max="28" width="7.453125" customWidth="1"/>
    <col min="29" max="29" width="10.54296875" bestFit="1" customWidth="1"/>
    <col min="30" max="30" width="20.453125" bestFit="1" customWidth="1"/>
  </cols>
  <sheetData>
    <row r="1" spans="1:30" s="46" customFormat="1" ht="56.4" customHeight="1" x14ac:dyDescent="0.35">
      <c r="A1" s="331" t="s">
        <v>234</v>
      </c>
      <c r="B1" s="331"/>
      <c r="C1" s="332" t="s">
        <v>223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/>
      <c r="R1" s="332" t="s">
        <v>224</v>
      </c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</row>
    <row r="2" spans="1:30" s="46" customFormat="1" x14ac:dyDescent="0.35">
      <c r="A2" s="77" t="s">
        <v>108</v>
      </c>
      <c r="B2" s="75" t="s">
        <v>218</v>
      </c>
      <c r="C2" s="70">
        <v>43983</v>
      </c>
      <c r="D2" s="70">
        <v>44013</v>
      </c>
      <c r="E2" s="70">
        <v>44044</v>
      </c>
      <c r="F2" s="70">
        <v>44075</v>
      </c>
      <c r="G2" s="70">
        <v>44105</v>
      </c>
      <c r="H2" s="70">
        <v>44136</v>
      </c>
      <c r="I2" s="70">
        <v>44166</v>
      </c>
      <c r="J2" s="70">
        <v>44197</v>
      </c>
      <c r="K2" s="70">
        <v>44228</v>
      </c>
      <c r="L2" s="70">
        <v>44256</v>
      </c>
      <c r="M2" s="70">
        <v>44287</v>
      </c>
      <c r="N2" s="70">
        <v>44317</v>
      </c>
      <c r="O2" s="70" t="s">
        <v>220</v>
      </c>
      <c r="P2"/>
      <c r="Q2" s="69" t="s">
        <v>219</v>
      </c>
      <c r="R2" s="70">
        <v>43983</v>
      </c>
      <c r="S2" s="70">
        <v>44013</v>
      </c>
      <c r="T2" s="70">
        <v>44044</v>
      </c>
      <c r="U2" s="70">
        <v>44075</v>
      </c>
      <c r="V2" s="70">
        <v>44105</v>
      </c>
      <c r="W2" s="70">
        <v>44136</v>
      </c>
      <c r="X2" s="70">
        <v>44166</v>
      </c>
      <c r="Y2" s="70">
        <v>44197</v>
      </c>
      <c r="Z2" s="70">
        <v>44228</v>
      </c>
      <c r="AA2" s="70">
        <v>44256</v>
      </c>
      <c r="AB2" s="70">
        <v>44287</v>
      </c>
      <c r="AC2" s="70">
        <v>44317</v>
      </c>
      <c r="AD2" s="70" t="s">
        <v>220</v>
      </c>
    </row>
    <row r="3" spans="1:30" s="46" customFormat="1" x14ac:dyDescent="0.35">
      <c r="A3" s="71" t="s">
        <v>130</v>
      </c>
      <c r="B3" s="76" t="s">
        <v>131</v>
      </c>
      <c r="C3" s="72">
        <v>4853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>
        <f>SUM(C3:N3)</f>
        <v>4853</v>
      </c>
      <c r="P3"/>
      <c r="Q3" s="69">
        <v>68.150000000000006</v>
      </c>
      <c r="R3" s="73">
        <f t="shared" ref="R3:AC15" si="0">$Q3*C3</f>
        <v>330731.95</v>
      </c>
      <c r="S3" s="73">
        <f t="shared" si="0"/>
        <v>0</v>
      </c>
      <c r="T3" s="73">
        <f t="shared" si="0"/>
        <v>0</v>
      </c>
      <c r="U3" s="73">
        <f t="shared" si="0"/>
        <v>0</v>
      </c>
      <c r="V3" s="73">
        <f t="shared" si="0"/>
        <v>0</v>
      </c>
      <c r="W3" s="73">
        <f t="shared" si="0"/>
        <v>0</v>
      </c>
      <c r="X3" s="73">
        <f t="shared" si="0"/>
        <v>0</v>
      </c>
      <c r="Y3" s="73">
        <f t="shared" si="0"/>
        <v>0</v>
      </c>
      <c r="Z3" s="73">
        <f t="shared" si="0"/>
        <v>0</v>
      </c>
      <c r="AA3" s="73">
        <f t="shared" si="0"/>
        <v>0</v>
      </c>
      <c r="AB3" s="73">
        <f t="shared" si="0"/>
        <v>0</v>
      </c>
      <c r="AC3" s="73">
        <f t="shared" si="0"/>
        <v>0</v>
      </c>
      <c r="AD3" s="73">
        <f>SUM(R3:AC3)</f>
        <v>330731.95</v>
      </c>
    </row>
    <row r="4" spans="1:30" s="46" customFormat="1" x14ac:dyDescent="0.35">
      <c r="A4" s="71" t="s">
        <v>154</v>
      </c>
      <c r="B4" s="76" t="s">
        <v>155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>
        <f t="shared" ref="O4:O15" si="1">SUM(C4:N4)</f>
        <v>0</v>
      </c>
      <c r="P4"/>
      <c r="Q4" s="69">
        <v>78.05</v>
      </c>
      <c r="R4" s="73">
        <f t="shared" si="0"/>
        <v>0</v>
      </c>
      <c r="S4" s="73">
        <f t="shared" si="0"/>
        <v>0</v>
      </c>
      <c r="T4" s="73">
        <f t="shared" si="0"/>
        <v>0</v>
      </c>
      <c r="U4" s="73">
        <f t="shared" si="0"/>
        <v>0</v>
      </c>
      <c r="V4" s="73">
        <f t="shared" si="0"/>
        <v>0</v>
      </c>
      <c r="W4" s="73">
        <f t="shared" si="0"/>
        <v>0</v>
      </c>
      <c r="X4" s="73">
        <f t="shared" si="0"/>
        <v>0</v>
      </c>
      <c r="Y4" s="73">
        <f t="shared" si="0"/>
        <v>0</v>
      </c>
      <c r="Z4" s="73">
        <f t="shared" si="0"/>
        <v>0</v>
      </c>
      <c r="AA4" s="73">
        <f t="shared" si="0"/>
        <v>0</v>
      </c>
      <c r="AB4" s="73">
        <f t="shared" si="0"/>
        <v>0</v>
      </c>
      <c r="AC4" s="73">
        <f t="shared" si="0"/>
        <v>0</v>
      </c>
      <c r="AD4" s="73">
        <f t="shared" ref="AD4:AD15" si="2">SUM(R4:AC4)</f>
        <v>0</v>
      </c>
    </row>
    <row r="5" spans="1:30" s="46" customFormat="1" x14ac:dyDescent="0.35">
      <c r="A5" s="71" t="s">
        <v>158</v>
      </c>
      <c r="B5" s="76" t="s">
        <v>159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>
        <f t="shared" si="1"/>
        <v>0</v>
      </c>
      <c r="P5"/>
      <c r="Q5" s="69">
        <v>138.86000000000001</v>
      </c>
      <c r="R5" s="73">
        <f t="shared" si="0"/>
        <v>0</v>
      </c>
      <c r="S5" s="73">
        <f t="shared" si="0"/>
        <v>0</v>
      </c>
      <c r="T5" s="73">
        <f t="shared" si="0"/>
        <v>0</v>
      </c>
      <c r="U5" s="73">
        <f t="shared" si="0"/>
        <v>0</v>
      </c>
      <c r="V5" s="73">
        <f t="shared" si="0"/>
        <v>0</v>
      </c>
      <c r="W5" s="73">
        <f t="shared" si="0"/>
        <v>0</v>
      </c>
      <c r="X5" s="73">
        <f t="shared" si="0"/>
        <v>0</v>
      </c>
      <c r="Y5" s="73">
        <f t="shared" si="0"/>
        <v>0</v>
      </c>
      <c r="Z5" s="73">
        <f t="shared" si="0"/>
        <v>0</v>
      </c>
      <c r="AA5" s="73">
        <f t="shared" si="0"/>
        <v>0</v>
      </c>
      <c r="AB5" s="73">
        <f t="shared" si="0"/>
        <v>0</v>
      </c>
      <c r="AC5" s="73">
        <f t="shared" si="0"/>
        <v>0</v>
      </c>
      <c r="AD5" s="73">
        <f t="shared" si="2"/>
        <v>0</v>
      </c>
    </row>
    <row r="6" spans="1:30" s="46" customFormat="1" x14ac:dyDescent="0.35">
      <c r="A6" s="71" t="s">
        <v>163</v>
      </c>
      <c r="B6" s="76" t="s">
        <v>164</v>
      </c>
      <c r="C6" s="72">
        <v>4516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>
        <f t="shared" si="1"/>
        <v>4516</v>
      </c>
      <c r="P6"/>
      <c r="Q6" s="69">
        <v>51.43</v>
      </c>
      <c r="R6" s="73">
        <f t="shared" si="0"/>
        <v>232257.88</v>
      </c>
      <c r="S6" s="73">
        <f t="shared" si="0"/>
        <v>0</v>
      </c>
      <c r="T6" s="73">
        <f t="shared" si="0"/>
        <v>0</v>
      </c>
      <c r="U6" s="73">
        <f t="shared" si="0"/>
        <v>0</v>
      </c>
      <c r="V6" s="73">
        <f t="shared" si="0"/>
        <v>0</v>
      </c>
      <c r="W6" s="73">
        <f t="shared" si="0"/>
        <v>0</v>
      </c>
      <c r="X6" s="73">
        <f t="shared" si="0"/>
        <v>0</v>
      </c>
      <c r="Y6" s="73">
        <f t="shared" si="0"/>
        <v>0</v>
      </c>
      <c r="Z6" s="73">
        <f t="shared" si="0"/>
        <v>0</v>
      </c>
      <c r="AA6" s="73">
        <f t="shared" si="0"/>
        <v>0</v>
      </c>
      <c r="AB6" s="73">
        <f t="shared" si="0"/>
        <v>0</v>
      </c>
      <c r="AC6" s="73">
        <f t="shared" si="0"/>
        <v>0</v>
      </c>
      <c r="AD6" s="73">
        <f t="shared" si="2"/>
        <v>232257.88</v>
      </c>
    </row>
    <row r="7" spans="1:30" s="46" customFormat="1" x14ac:dyDescent="0.35">
      <c r="A7" s="71" t="s">
        <v>169</v>
      </c>
      <c r="B7" s="76" t="s">
        <v>170</v>
      </c>
      <c r="C7" s="72">
        <v>3523</v>
      </c>
      <c r="D7" s="72"/>
      <c r="E7" s="72"/>
      <c r="F7" s="72"/>
      <c r="G7" s="72"/>
      <c r="H7" s="72"/>
      <c r="I7" s="72"/>
      <c r="J7" s="72">
        <v>3119</v>
      </c>
      <c r="K7" s="72"/>
      <c r="L7" s="72"/>
      <c r="M7" s="72"/>
      <c r="N7" s="72"/>
      <c r="O7" s="72">
        <f t="shared" si="1"/>
        <v>6642</v>
      </c>
      <c r="P7"/>
      <c r="Q7" s="69">
        <v>204.53</v>
      </c>
      <c r="R7" s="73">
        <f t="shared" si="0"/>
        <v>720559.19000000006</v>
      </c>
      <c r="S7" s="73">
        <f t="shared" si="0"/>
        <v>0</v>
      </c>
      <c r="T7" s="73">
        <f t="shared" si="0"/>
        <v>0</v>
      </c>
      <c r="U7" s="73">
        <f t="shared" si="0"/>
        <v>0</v>
      </c>
      <c r="V7" s="73">
        <f t="shared" si="0"/>
        <v>0</v>
      </c>
      <c r="W7" s="73">
        <f t="shared" si="0"/>
        <v>0</v>
      </c>
      <c r="X7" s="73">
        <f t="shared" si="0"/>
        <v>0</v>
      </c>
      <c r="Y7" s="73">
        <f t="shared" si="0"/>
        <v>637929.06999999995</v>
      </c>
      <c r="Z7" s="73">
        <f t="shared" si="0"/>
        <v>0</v>
      </c>
      <c r="AA7" s="73">
        <f t="shared" si="0"/>
        <v>0</v>
      </c>
      <c r="AB7" s="73">
        <f t="shared" si="0"/>
        <v>0</v>
      </c>
      <c r="AC7" s="73">
        <f t="shared" si="0"/>
        <v>0</v>
      </c>
      <c r="AD7" s="73">
        <f t="shared" si="2"/>
        <v>1358488.26</v>
      </c>
    </row>
    <row r="8" spans="1:30" s="46" customFormat="1" x14ac:dyDescent="0.35">
      <c r="A8" s="71" t="s">
        <v>127</v>
      </c>
      <c r="B8" s="76" t="s">
        <v>128</v>
      </c>
      <c r="C8" s="72">
        <v>583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>
        <f t="shared" si="1"/>
        <v>583</v>
      </c>
      <c r="P8"/>
      <c r="Q8" s="69">
        <v>651.83000000000004</v>
      </c>
      <c r="R8" s="73">
        <f t="shared" si="0"/>
        <v>380016.89</v>
      </c>
      <c r="S8" s="73">
        <f t="shared" si="0"/>
        <v>0</v>
      </c>
      <c r="T8" s="73">
        <f t="shared" si="0"/>
        <v>0</v>
      </c>
      <c r="U8" s="73">
        <f t="shared" si="0"/>
        <v>0</v>
      </c>
      <c r="V8" s="73">
        <f t="shared" si="0"/>
        <v>0</v>
      </c>
      <c r="W8" s="73">
        <f t="shared" si="0"/>
        <v>0</v>
      </c>
      <c r="X8" s="73">
        <f t="shared" si="0"/>
        <v>0</v>
      </c>
      <c r="Y8" s="73">
        <f t="shared" si="0"/>
        <v>0</v>
      </c>
      <c r="Z8" s="73">
        <f t="shared" si="0"/>
        <v>0</v>
      </c>
      <c r="AA8" s="73">
        <f t="shared" si="0"/>
        <v>0</v>
      </c>
      <c r="AB8" s="73">
        <f t="shared" si="0"/>
        <v>0</v>
      </c>
      <c r="AC8" s="73">
        <f t="shared" si="0"/>
        <v>0</v>
      </c>
      <c r="AD8" s="73">
        <f t="shared" si="2"/>
        <v>380016.89</v>
      </c>
    </row>
    <row r="9" spans="1:30" s="46" customFormat="1" x14ac:dyDescent="0.35">
      <c r="A9" s="71" t="s">
        <v>182</v>
      </c>
      <c r="B9" s="76" t="s">
        <v>183</v>
      </c>
      <c r="C9" s="72">
        <v>5209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>
        <f t="shared" si="1"/>
        <v>5209</v>
      </c>
      <c r="P9"/>
      <c r="Q9" s="69">
        <v>285.3</v>
      </c>
      <c r="R9" s="73">
        <f t="shared" si="0"/>
        <v>1486127.7</v>
      </c>
      <c r="S9" s="73">
        <f t="shared" si="0"/>
        <v>0</v>
      </c>
      <c r="T9" s="73">
        <f t="shared" si="0"/>
        <v>0</v>
      </c>
      <c r="U9" s="73">
        <f t="shared" si="0"/>
        <v>0</v>
      </c>
      <c r="V9" s="73">
        <f t="shared" si="0"/>
        <v>0</v>
      </c>
      <c r="W9" s="73">
        <f t="shared" si="0"/>
        <v>0</v>
      </c>
      <c r="X9" s="73">
        <f t="shared" si="0"/>
        <v>0</v>
      </c>
      <c r="Y9" s="73">
        <f t="shared" si="0"/>
        <v>0</v>
      </c>
      <c r="Z9" s="73">
        <f t="shared" si="0"/>
        <v>0</v>
      </c>
      <c r="AA9" s="73">
        <f t="shared" si="0"/>
        <v>0</v>
      </c>
      <c r="AB9" s="73">
        <f t="shared" si="0"/>
        <v>0</v>
      </c>
      <c r="AC9" s="73">
        <f t="shared" si="0"/>
        <v>0</v>
      </c>
      <c r="AD9" s="73">
        <f t="shared" si="2"/>
        <v>1486127.7</v>
      </c>
    </row>
    <row r="10" spans="1:30" s="46" customFormat="1" x14ac:dyDescent="0.35">
      <c r="A10" s="71" t="s">
        <v>188</v>
      </c>
      <c r="B10" s="76" t="s">
        <v>189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>
        <f t="shared" si="1"/>
        <v>0</v>
      </c>
      <c r="P10"/>
      <c r="Q10" s="69">
        <v>34.06</v>
      </c>
      <c r="R10" s="73">
        <f t="shared" si="0"/>
        <v>0</v>
      </c>
      <c r="S10" s="73">
        <f t="shared" si="0"/>
        <v>0</v>
      </c>
      <c r="T10" s="73">
        <f t="shared" si="0"/>
        <v>0</v>
      </c>
      <c r="U10" s="73">
        <f t="shared" si="0"/>
        <v>0</v>
      </c>
      <c r="V10" s="73">
        <f t="shared" si="0"/>
        <v>0</v>
      </c>
      <c r="W10" s="73">
        <f t="shared" si="0"/>
        <v>0</v>
      </c>
      <c r="X10" s="73">
        <f t="shared" si="0"/>
        <v>0</v>
      </c>
      <c r="Y10" s="73">
        <f t="shared" si="0"/>
        <v>0</v>
      </c>
      <c r="Z10" s="73">
        <f t="shared" si="0"/>
        <v>0</v>
      </c>
      <c r="AA10" s="73">
        <f t="shared" si="0"/>
        <v>0</v>
      </c>
      <c r="AB10" s="73">
        <f t="shared" si="0"/>
        <v>0</v>
      </c>
      <c r="AC10" s="73">
        <f t="shared" si="0"/>
        <v>0</v>
      </c>
      <c r="AD10" s="73">
        <f t="shared" si="2"/>
        <v>0</v>
      </c>
    </row>
    <row r="11" spans="1:30" s="46" customFormat="1" x14ac:dyDescent="0.35">
      <c r="A11" s="71" t="s">
        <v>193</v>
      </c>
      <c r="B11" s="76" t="s">
        <v>194</v>
      </c>
      <c r="C11" s="72">
        <v>897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>
        <f t="shared" si="1"/>
        <v>897</v>
      </c>
      <c r="P11"/>
      <c r="Q11" s="69">
        <v>70.63</v>
      </c>
      <c r="R11" s="73">
        <f t="shared" si="0"/>
        <v>63355.109999999993</v>
      </c>
      <c r="S11" s="73">
        <f t="shared" si="0"/>
        <v>0</v>
      </c>
      <c r="T11" s="73">
        <f t="shared" si="0"/>
        <v>0</v>
      </c>
      <c r="U11" s="73">
        <f t="shared" si="0"/>
        <v>0</v>
      </c>
      <c r="V11" s="73">
        <f t="shared" si="0"/>
        <v>0</v>
      </c>
      <c r="W11" s="73">
        <f t="shared" si="0"/>
        <v>0</v>
      </c>
      <c r="X11" s="73">
        <f t="shared" si="0"/>
        <v>0</v>
      </c>
      <c r="Y11" s="73">
        <f t="shared" si="0"/>
        <v>0</v>
      </c>
      <c r="Z11" s="73">
        <f t="shared" si="0"/>
        <v>0</v>
      </c>
      <c r="AA11" s="73">
        <f t="shared" si="0"/>
        <v>0</v>
      </c>
      <c r="AB11" s="73">
        <f t="shared" si="0"/>
        <v>0</v>
      </c>
      <c r="AC11" s="73">
        <f t="shared" si="0"/>
        <v>0</v>
      </c>
      <c r="AD11" s="73">
        <f t="shared" si="2"/>
        <v>63355.109999999993</v>
      </c>
    </row>
    <row r="12" spans="1:30" s="46" customFormat="1" x14ac:dyDescent="0.35">
      <c r="A12" s="71" t="s">
        <v>197</v>
      </c>
      <c r="B12" s="76" t="s">
        <v>198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>
        <f t="shared" si="1"/>
        <v>0</v>
      </c>
      <c r="P12"/>
      <c r="Q12" s="69">
        <v>74.47</v>
      </c>
      <c r="R12" s="73">
        <f t="shared" si="0"/>
        <v>0</v>
      </c>
      <c r="S12" s="73">
        <f t="shared" si="0"/>
        <v>0</v>
      </c>
      <c r="T12" s="73">
        <f t="shared" si="0"/>
        <v>0</v>
      </c>
      <c r="U12" s="73">
        <f t="shared" si="0"/>
        <v>0</v>
      </c>
      <c r="V12" s="73">
        <f t="shared" si="0"/>
        <v>0</v>
      </c>
      <c r="W12" s="73">
        <f t="shared" si="0"/>
        <v>0</v>
      </c>
      <c r="X12" s="73">
        <f t="shared" si="0"/>
        <v>0</v>
      </c>
      <c r="Y12" s="73">
        <f t="shared" si="0"/>
        <v>0</v>
      </c>
      <c r="Z12" s="73">
        <f t="shared" si="0"/>
        <v>0</v>
      </c>
      <c r="AA12" s="73">
        <f t="shared" si="0"/>
        <v>0</v>
      </c>
      <c r="AB12" s="73">
        <f t="shared" si="0"/>
        <v>0</v>
      </c>
      <c r="AC12" s="73">
        <f t="shared" si="0"/>
        <v>0</v>
      </c>
      <c r="AD12" s="73">
        <f t="shared" si="2"/>
        <v>0</v>
      </c>
    </row>
    <row r="13" spans="1:30" s="46" customFormat="1" x14ac:dyDescent="0.35">
      <c r="A13" s="71" t="s">
        <v>133</v>
      </c>
      <c r="B13" s="76" t="s">
        <v>134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>
        <f t="shared" si="1"/>
        <v>0</v>
      </c>
      <c r="P13"/>
      <c r="Q13" s="69">
        <v>170.81</v>
      </c>
      <c r="R13" s="73">
        <f t="shared" si="0"/>
        <v>0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2"/>
        <v>0</v>
      </c>
    </row>
    <row r="14" spans="1:30" s="46" customFormat="1" x14ac:dyDescent="0.35">
      <c r="A14" s="71" t="s">
        <v>205</v>
      </c>
      <c r="B14" s="76" t="s">
        <v>206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>
        <f t="shared" si="1"/>
        <v>0</v>
      </c>
      <c r="P14"/>
      <c r="Q14" s="69">
        <v>512.42999999999995</v>
      </c>
      <c r="R14" s="73">
        <f t="shared" si="0"/>
        <v>0</v>
      </c>
      <c r="S14" s="73">
        <f t="shared" si="0"/>
        <v>0</v>
      </c>
      <c r="T14" s="73">
        <f t="shared" si="0"/>
        <v>0</v>
      </c>
      <c r="U14" s="73">
        <f t="shared" si="0"/>
        <v>0</v>
      </c>
      <c r="V14" s="73">
        <f t="shared" si="0"/>
        <v>0</v>
      </c>
      <c r="W14" s="73">
        <f t="shared" si="0"/>
        <v>0</v>
      </c>
      <c r="X14" s="73">
        <f t="shared" si="0"/>
        <v>0</v>
      </c>
      <c r="Y14" s="73">
        <f t="shared" si="0"/>
        <v>0</v>
      </c>
      <c r="Z14" s="73">
        <f t="shared" si="0"/>
        <v>0</v>
      </c>
      <c r="AA14" s="73">
        <f t="shared" si="0"/>
        <v>0</v>
      </c>
      <c r="AB14" s="73">
        <f t="shared" si="0"/>
        <v>0</v>
      </c>
      <c r="AC14" s="73">
        <f t="shared" si="0"/>
        <v>0</v>
      </c>
      <c r="AD14" s="73">
        <f t="shared" si="2"/>
        <v>0</v>
      </c>
    </row>
    <row r="15" spans="1:30" s="46" customFormat="1" x14ac:dyDescent="0.35">
      <c r="A15" s="71" t="s">
        <v>207</v>
      </c>
      <c r="B15" s="76" t="s">
        <v>208</v>
      </c>
      <c r="C15" s="72">
        <v>251</v>
      </c>
      <c r="D15" s="72">
        <v>17941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>
        <f t="shared" si="1"/>
        <v>18192</v>
      </c>
      <c r="P15"/>
      <c r="Q15" s="69">
        <v>256.20999999999998</v>
      </c>
      <c r="R15" s="73">
        <f t="shared" si="0"/>
        <v>64308.709999999992</v>
      </c>
      <c r="S15" s="73">
        <f t="shared" si="0"/>
        <v>4596663.6099999994</v>
      </c>
      <c r="T15" s="73">
        <f t="shared" si="0"/>
        <v>0</v>
      </c>
      <c r="U15" s="73">
        <f t="shared" si="0"/>
        <v>0</v>
      </c>
      <c r="V15" s="73">
        <f t="shared" si="0"/>
        <v>0</v>
      </c>
      <c r="W15" s="73">
        <f t="shared" si="0"/>
        <v>0</v>
      </c>
      <c r="X15" s="73">
        <f t="shared" si="0"/>
        <v>0</v>
      </c>
      <c r="Y15" s="73">
        <f t="shared" si="0"/>
        <v>0</v>
      </c>
      <c r="Z15" s="73">
        <f t="shared" si="0"/>
        <v>0</v>
      </c>
      <c r="AA15" s="73">
        <f t="shared" si="0"/>
        <v>0</v>
      </c>
      <c r="AB15" s="73">
        <f t="shared" si="0"/>
        <v>0</v>
      </c>
      <c r="AC15" s="73">
        <f t="shared" si="0"/>
        <v>0</v>
      </c>
      <c r="AD15" s="73">
        <f t="shared" si="2"/>
        <v>4660972.3199999994</v>
      </c>
    </row>
    <row r="16" spans="1:30" ht="21" x14ac:dyDescent="0.5">
      <c r="C16" s="40"/>
      <c r="D16" s="40"/>
      <c r="E16" s="40"/>
      <c r="F16" s="40"/>
      <c r="G16" s="40"/>
      <c r="H16" s="40"/>
      <c r="I16" s="40"/>
      <c r="O16" s="74">
        <f>SUM(O3:O15)</f>
        <v>40892</v>
      </c>
      <c r="Q16" s="69"/>
      <c r="AD16" s="78">
        <f>SUM(AD3:AD15)</f>
        <v>8511950.1099999994</v>
      </c>
    </row>
    <row r="17" spans="3:30" x14ac:dyDescent="0.3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69"/>
    </row>
    <row r="18" spans="3:30" x14ac:dyDescent="0.3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Q18" s="69"/>
      <c r="AC18" t="s">
        <v>235</v>
      </c>
      <c r="AD18">
        <v>17676789.7245306</v>
      </c>
    </row>
    <row r="19" spans="3:30" x14ac:dyDescent="0.35">
      <c r="AD19" s="88"/>
    </row>
    <row r="20" spans="3:30" ht="29" x14ac:dyDescent="0.35">
      <c r="AC20" s="100" t="s">
        <v>236</v>
      </c>
      <c r="AD20" s="88">
        <f>AD18-AD16</f>
        <v>9164839.6145306006</v>
      </c>
    </row>
    <row r="22" spans="3:30" ht="29" x14ac:dyDescent="0.35">
      <c r="AC22" s="100" t="s">
        <v>237</v>
      </c>
      <c r="AD22">
        <v>19449545.346055612</v>
      </c>
    </row>
    <row r="26" spans="3:30" ht="29" x14ac:dyDescent="0.35">
      <c r="AC26" s="100" t="s">
        <v>236</v>
      </c>
      <c r="AD26" s="88">
        <f>AD22-AD16</f>
        <v>10937595.236055613</v>
      </c>
    </row>
  </sheetData>
  <mergeCells count="3">
    <mergeCell ref="A1:B1"/>
    <mergeCell ref="C1:O1"/>
    <mergeCell ref="R1:AD1"/>
  </mergeCells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9AE8-C445-41E1-8B60-7604ED9A87BF}">
  <sheetPr codeName="Planilha19"/>
  <dimension ref="A1:L57"/>
  <sheetViews>
    <sheetView showGridLines="0" zoomScaleNormal="100" workbookViewId="0">
      <selection activeCell="C1" sqref="C1:L1"/>
    </sheetView>
  </sheetViews>
  <sheetFormatPr defaultRowHeight="14.5" x14ac:dyDescent="0.35"/>
  <cols>
    <col min="1" max="1" width="9.08984375" bestFit="1" customWidth="1"/>
    <col min="2" max="2" width="32.90625" bestFit="1" customWidth="1"/>
    <col min="3" max="11" width="13.453125" customWidth="1"/>
    <col min="12" max="12" width="20.453125" customWidth="1"/>
  </cols>
  <sheetData>
    <row r="1" spans="1:12" ht="23.5" x14ac:dyDescent="0.35">
      <c r="A1" s="333" t="s">
        <v>227</v>
      </c>
      <c r="B1" s="333"/>
      <c r="C1" s="332" t="s">
        <v>226</v>
      </c>
      <c r="D1" s="332"/>
      <c r="E1" s="332"/>
      <c r="F1" s="332"/>
      <c r="G1" s="332"/>
      <c r="H1" s="332"/>
      <c r="I1" s="332"/>
      <c r="J1" s="332"/>
      <c r="K1" s="332"/>
      <c r="L1" s="332"/>
    </row>
    <row r="2" spans="1:12" x14ac:dyDescent="0.35">
      <c r="A2" s="77" t="s">
        <v>108</v>
      </c>
      <c r="B2" s="75" t="s">
        <v>218</v>
      </c>
      <c r="C2" s="70">
        <v>43983</v>
      </c>
      <c r="D2" s="70">
        <v>44013</v>
      </c>
      <c r="E2" s="70">
        <v>44044</v>
      </c>
      <c r="F2" s="70">
        <v>44075</v>
      </c>
      <c r="G2" s="70">
        <v>44105</v>
      </c>
      <c r="H2" s="70">
        <v>44136</v>
      </c>
      <c r="I2" s="70">
        <v>44166</v>
      </c>
      <c r="J2" s="93">
        <v>44197</v>
      </c>
      <c r="K2" s="93">
        <v>44228</v>
      </c>
      <c r="L2" s="70" t="s">
        <v>228</v>
      </c>
    </row>
    <row r="3" spans="1:12" x14ac:dyDescent="0.35">
      <c r="A3" s="71" t="s">
        <v>130</v>
      </c>
      <c r="B3" s="76" t="s">
        <v>131</v>
      </c>
      <c r="C3" s="73">
        <v>1285854.2000000002</v>
      </c>
      <c r="D3" s="73">
        <v>89685.400000000009</v>
      </c>
      <c r="E3" s="73">
        <v>981155.55</v>
      </c>
      <c r="F3" s="73">
        <v>0</v>
      </c>
      <c r="G3" s="73">
        <v>0</v>
      </c>
      <c r="H3" s="73">
        <v>0</v>
      </c>
      <c r="I3" s="73">
        <v>0</v>
      </c>
      <c r="J3" s="94">
        <v>0</v>
      </c>
      <c r="K3" s="94">
        <v>47977.600000000006</v>
      </c>
      <c r="L3" s="73">
        <f t="shared" ref="L3:L15" si="0">SUM(C3:K3)</f>
        <v>2404672.7500000005</v>
      </c>
    </row>
    <row r="4" spans="1:12" x14ac:dyDescent="0.35">
      <c r="A4" s="71" t="s">
        <v>154</v>
      </c>
      <c r="B4" s="76" t="s">
        <v>155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94">
        <v>0</v>
      </c>
      <c r="K4" s="94">
        <v>0</v>
      </c>
      <c r="L4" s="73">
        <f t="shared" si="0"/>
        <v>0</v>
      </c>
    </row>
    <row r="5" spans="1:12" x14ac:dyDescent="0.35">
      <c r="A5" s="71" t="s">
        <v>158</v>
      </c>
      <c r="B5" s="76" t="s">
        <v>159</v>
      </c>
      <c r="C5" s="73">
        <v>0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0</v>
      </c>
      <c r="J5" s="94">
        <v>0</v>
      </c>
      <c r="K5" s="94">
        <v>0</v>
      </c>
      <c r="L5" s="73">
        <f t="shared" si="0"/>
        <v>0</v>
      </c>
    </row>
    <row r="6" spans="1:12" x14ac:dyDescent="0.35">
      <c r="A6" s="71" t="s">
        <v>163</v>
      </c>
      <c r="B6" s="76" t="s">
        <v>164</v>
      </c>
      <c r="C6" s="73">
        <v>239149.5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94">
        <v>0</v>
      </c>
      <c r="K6" s="94">
        <v>0</v>
      </c>
      <c r="L6" s="73">
        <f t="shared" si="0"/>
        <v>239149.5</v>
      </c>
    </row>
    <row r="7" spans="1:12" x14ac:dyDescent="0.35">
      <c r="A7" s="71" t="s">
        <v>169</v>
      </c>
      <c r="B7" s="76" t="s">
        <v>170</v>
      </c>
      <c r="C7" s="73">
        <v>720559.19000000006</v>
      </c>
      <c r="D7" s="73">
        <v>8181.2</v>
      </c>
      <c r="E7" s="73">
        <v>1280153.27</v>
      </c>
      <c r="F7" s="73">
        <v>1090144.8999999999</v>
      </c>
      <c r="G7" s="73">
        <v>0</v>
      </c>
      <c r="H7" s="73">
        <v>0</v>
      </c>
      <c r="I7" s="73">
        <v>0</v>
      </c>
      <c r="J7" s="94">
        <v>387379.82</v>
      </c>
      <c r="K7" s="94">
        <v>656132.24</v>
      </c>
      <c r="L7" s="73">
        <f t="shared" si="0"/>
        <v>4142550.62</v>
      </c>
    </row>
    <row r="8" spans="1:12" x14ac:dyDescent="0.35">
      <c r="A8" s="71" t="s">
        <v>127</v>
      </c>
      <c r="B8" s="76" t="s">
        <v>128</v>
      </c>
      <c r="C8" s="73">
        <v>511034.72000000003</v>
      </c>
      <c r="D8" s="73">
        <v>0</v>
      </c>
      <c r="E8" s="73">
        <v>278913.93613074004</v>
      </c>
      <c r="F8" s="73">
        <v>0</v>
      </c>
      <c r="G8" s="73">
        <v>0</v>
      </c>
      <c r="H8" s="73">
        <v>0</v>
      </c>
      <c r="I8" s="73">
        <v>132973.32</v>
      </c>
      <c r="J8" s="94">
        <v>0</v>
      </c>
      <c r="K8" s="94">
        <v>0</v>
      </c>
      <c r="L8" s="73">
        <f t="shared" si="0"/>
        <v>922921.97613074002</v>
      </c>
    </row>
    <row r="9" spans="1:12" x14ac:dyDescent="0.35">
      <c r="A9" s="71" t="s">
        <v>182</v>
      </c>
      <c r="B9" s="76" t="s">
        <v>183</v>
      </c>
      <c r="C9" s="73">
        <v>1486127.7</v>
      </c>
      <c r="D9" s="73">
        <v>0</v>
      </c>
      <c r="E9" s="73">
        <v>667602</v>
      </c>
      <c r="F9" s="73">
        <v>0</v>
      </c>
      <c r="G9" s="73">
        <v>0</v>
      </c>
      <c r="H9" s="73">
        <v>0</v>
      </c>
      <c r="I9" s="73">
        <v>0</v>
      </c>
      <c r="J9" s="94">
        <v>298994.40000000002</v>
      </c>
      <c r="K9" s="94">
        <v>0</v>
      </c>
      <c r="L9" s="73">
        <f t="shared" si="0"/>
        <v>2452724.1</v>
      </c>
    </row>
    <row r="10" spans="1:12" x14ac:dyDescent="0.35">
      <c r="A10" s="71" t="s">
        <v>188</v>
      </c>
      <c r="B10" s="76" t="s">
        <v>189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94">
        <v>63692.200000000004</v>
      </c>
      <c r="K10" s="94">
        <v>0</v>
      </c>
      <c r="L10" s="73">
        <f t="shared" si="0"/>
        <v>63692.200000000004</v>
      </c>
    </row>
    <row r="11" spans="1:12" x14ac:dyDescent="0.35">
      <c r="A11" s="71" t="s">
        <v>193</v>
      </c>
      <c r="B11" s="76" t="s">
        <v>194</v>
      </c>
      <c r="C11" s="73">
        <v>76209.76999999999</v>
      </c>
      <c r="D11" s="73">
        <v>0</v>
      </c>
      <c r="E11" s="73">
        <v>395316.11</v>
      </c>
      <c r="F11" s="73">
        <v>0</v>
      </c>
      <c r="G11" s="73">
        <v>0</v>
      </c>
      <c r="H11" s="73">
        <v>0</v>
      </c>
      <c r="I11" s="73">
        <v>0</v>
      </c>
      <c r="J11" s="94">
        <v>0</v>
      </c>
      <c r="K11" s="94">
        <v>0</v>
      </c>
      <c r="L11" s="73">
        <f t="shared" si="0"/>
        <v>471525.88</v>
      </c>
    </row>
    <row r="12" spans="1:12" x14ac:dyDescent="0.35">
      <c r="A12" s="71" t="s">
        <v>197</v>
      </c>
      <c r="B12" s="76" t="s">
        <v>198</v>
      </c>
      <c r="C12" s="73">
        <v>0</v>
      </c>
      <c r="D12" s="73">
        <v>0</v>
      </c>
      <c r="E12" s="73">
        <v>224899.4</v>
      </c>
      <c r="F12" s="73">
        <v>0</v>
      </c>
      <c r="G12" s="73">
        <v>0</v>
      </c>
      <c r="H12" s="73">
        <v>0</v>
      </c>
      <c r="I12" s="73">
        <v>111779.47</v>
      </c>
      <c r="J12" s="94">
        <v>215374.49263329999</v>
      </c>
      <c r="K12" s="94">
        <v>0</v>
      </c>
      <c r="L12" s="73">
        <f t="shared" si="0"/>
        <v>552053.36263330001</v>
      </c>
    </row>
    <row r="13" spans="1:12" x14ac:dyDescent="0.35">
      <c r="A13" s="71" t="s">
        <v>133</v>
      </c>
      <c r="B13" s="76" t="s">
        <v>134</v>
      </c>
      <c r="C13" s="73">
        <v>569309.73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94">
        <v>0</v>
      </c>
      <c r="K13" s="94">
        <v>0</v>
      </c>
      <c r="L13" s="73">
        <f t="shared" si="0"/>
        <v>569309.73</v>
      </c>
    </row>
    <row r="14" spans="1:12" x14ac:dyDescent="0.35">
      <c r="A14" s="71" t="s">
        <v>205</v>
      </c>
      <c r="B14" s="76" t="s">
        <v>206</v>
      </c>
      <c r="C14" s="73">
        <v>0</v>
      </c>
      <c r="D14" s="73">
        <v>0</v>
      </c>
      <c r="E14" s="73">
        <v>1350651.0379832401</v>
      </c>
      <c r="F14" s="73">
        <v>536514.21</v>
      </c>
      <c r="G14" s="73">
        <v>0</v>
      </c>
      <c r="H14" s="73">
        <v>0</v>
      </c>
      <c r="I14" s="73">
        <v>0</v>
      </c>
      <c r="J14" s="94">
        <v>0</v>
      </c>
      <c r="K14" s="94">
        <v>0</v>
      </c>
      <c r="L14" s="73">
        <f t="shared" si="0"/>
        <v>1887165.2479832401</v>
      </c>
    </row>
    <row r="15" spans="1:12" x14ac:dyDescent="0.35">
      <c r="A15" s="71" t="s">
        <v>207</v>
      </c>
      <c r="B15" s="76" t="s">
        <v>208</v>
      </c>
      <c r="C15" s="73">
        <v>488080.05</v>
      </c>
      <c r="D15" s="73">
        <v>5255699.9293083297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94">
        <v>0</v>
      </c>
      <c r="K15" s="94">
        <v>0</v>
      </c>
      <c r="L15" s="73">
        <f t="shared" si="0"/>
        <v>5743779.9793083295</v>
      </c>
    </row>
    <row r="16" spans="1:12" ht="21" x14ac:dyDescent="0.5">
      <c r="L16" s="78">
        <f>SUM(L3:L15)</f>
        <v>19449545.346055612</v>
      </c>
    </row>
    <row r="18" spans="1:12" x14ac:dyDescent="0.35">
      <c r="C18" s="332" t="s">
        <v>230</v>
      </c>
      <c r="D18" s="332"/>
      <c r="E18" s="332"/>
      <c r="F18" s="332"/>
      <c r="G18" s="332"/>
      <c r="H18" s="332"/>
      <c r="I18" s="332"/>
      <c r="J18" s="338"/>
      <c r="K18" s="338"/>
      <c r="L18" s="332"/>
    </row>
    <row r="19" spans="1:12" x14ac:dyDescent="0.35">
      <c r="A19" s="77" t="s">
        <v>108</v>
      </c>
      <c r="B19" s="75" t="s">
        <v>218</v>
      </c>
      <c r="C19" s="70">
        <v>43983</v>
      </c>
      <c r="D19" s="70">
        <v>44013</v>
      </c>
      <c r="E19" s="70">
        <v>44044</v>
      </c>
      <c r="F19" s="70">
        <v>44075</v>
      </c>
      <c r="G19" s="70">
        <v>44105</v>
      </c>
      <c r="H19" s="70">
        <v>44136</v>
      </c>
      <c r="I19" s="89">
        <v>44166</v>
      </c>
      <c r="J19" s="93">
        <v>44197</v>
      </c>
      <c r="K19" s="93">
        <v>44228</v>
      </c>
      <c r="L19" s="91" t="s">
        <v>228</v>
      </c>
    </row>
    <row r="20" spans="1:12" x14ac:dyDescent="0.35">
      <c r="A20" s="71" t="s">
        <v>130</v>
      </c>
      <c r="B20" s="76" t="s">
        <v>131</v>
      </c>
      <c r="C20" s="73">
        <v>71256.248905600005</v>
      </c>
      <c r="D20" s="73">
        <v>525701.65969200002</v>
      </c>
      <c r="E20" s="73">
        <v>1018108.8808704</v>
      </c>
      <c r="F20" s="73">
        <v>1226637.2059568001</v>
      </c>
      <c r="G20" s="73">
        <v>1314254.1492432002</v>
      </c>
      <c r="H20" s="73">
        <v>1314254.1492432002</v>
      </c>
      <c r="I20" s="90">
        <v>813961.40304600005</v>
      </c>
      <c r="J20" s="94">
        <v>754319.63881120004</v>
      </c>
      <c r="K20" s="94">
        <v>972061.39022080007</v>
      </c>
      <c r="L20" s="92">
        <f>SUM(C20:K20)</f>
        <v>8010554.7259892011</v>
      </c>
    </row>
    <row r="21" spans="1:12" x14ac:dyDescent="0.35">
      <c r="A21" s="71" t="s">
        <v>154</v>
      </c>
      <c r="B21" s="76" t="s">
        <v>155</v>
      </c>
      <c r="C21" s="73">
        <v>31255.244710800001</v>
      </c>
      <c r="D21" s="73">
        <v>5175.2366336000005</v>
      </c>
      <c r="E21" s="73">
        <v>10350.473425600001</v>
      </c>
      <c r="F21" s="73">
        <v>15008.186520800002</v>
      </c>
      <c r="G21" s="73">
        <v>26945.947349200003</v>
      </c>
      <c r="H21" s="73">
        <v>16043.2339056</v>
      </c>
      <c r="I21" s="90">
        <v>9729.4450528000016</v>
      </c>
      <c r="J21" s="94">
        <v>6503.6855092000005</v>
      </c>
      <c r="K21" s="94">
        <v>17051.609515600001</v>
      </c>
      <c r="L21" s="92">
        <f t="shared" ref="L21:L32" si="1">SUM(C21:K21)</f>
        <v>138063.06262320001</v>
      </c>
    </row>
    <row r="22" spans="1:12" x14ac:dyDescent="0.35">
      <c r="A22" s="71" t="s">
        <v>158</v>
      </c>
      <c r="B22" s="76" t="s">
        <v>159</v>
      </c>
      <c r="C22" s="73">
        <v>42095.689059600001</v>
      </c>
      <c r="D22" s="73">
        <v>92776.943868400005</v>
      </c>
      <c r="E22" s="73">
        <v>185553.88803600002</v>
      </c>
      <c r="F22" s="73">
        <v>269053.13781719998</v>
      </c>
      <c r="G22" s="73">
        <v>278330.83220360003</v>
      </c>
      <c r="H22" s="73">
        <v>287608.5265944</v>
      </c>
      <c r="I22" s="90">
        <v>174420.65483040002</v>
      </c>
      <c r="J22" s="94">
        <v>127130.7037924</v>
      </c>
      <c r="K22" s="94">
        <v>158913.37974160002</v>
      </c>
      <c r="L22" s="92">
        <f t="shared" si="1"/>
        <v>1615883.7559436001</v>
      </c>
    </row>
    <row r="23" spans="1:12" x14ac:dyDescent="0.35">
      <c r="A23" s="71" t="s">
        <v>163</v>
      </c>
      <c r="B23" s="76" t="s">
        <v>164</v>
      </c>
      <c r="C23" s="73">
        <v>24368.833552799999</v>
      </c>
      <c r="D23" s="73">
        <v>29019.726458800003</v>
      </c>
      <c r="E23" s="73">
        <v>79804.247938800007</v>
      </c>
      <c r="F23" s="73">
        <v>94967.054991600016</v>
      </c>
      <c r="G23" s="73">
        <v>101569.04284560001</v>
      </c>
      <c r="H23" s="73">
        <v>108823.97440200001</v>
      </c>
      <c r="I23" s="90">
        <v>65294.384592800008</v>
      </c>
      <c r="J23" s="94">
        <v>0</v>
      </c>
      <c r="K23" s="94">
        <v>0</v>
      </c>
      <c r="L23" s="92">
        <f t="shared" si="1"/>
        <v>503847.26478240005</v>
      </c>
    </row>
    <row r="24" spans="1:12" x14ac:dyDescent="0.35">
      <c r="A24" s="71" t="s">
        <v>169</v>
      </c>
      <c r="B24" s="76" t="s">
        <v>170</v>
      </c>
      <c r="C24" s="73">
        <v>180638.02440640001</v>
      </c>
      <c r="D24" s="73">
        <v>451484.0065736</v>
      </c>
      <c r="E24" s="73">
        <v>1241581.0188672</v>
      </c>
      <c r="F24" s="73">
        <v>1590608.4124216002</v>
      </c>
      <c r="G24" s="73">
        <v>1580194.0241340001</v>
      </c>
      <c r="H24" s="73">
        <v>1693065.0258896002</v>
      </c>
      <c r="I24" s="90">
        <v>1128966.0150252001</v>
      </c>
      <c r="J24" s="94">
        <v>1527734.2500156001</v>
      </c>
      <c r="K24" s="94">
        <v>1533840.1972652001</v>
      </c>
      <c r="L24" s="92">
        <f t="shared" si="1"/>
        <v>10928110.9745984</v>
      </c>
    </row>
    <row r="25" spans="1:12" x14ac:dyDescent="0.35">
      <c r="A25" s="71" t="s">
        <v>127</v>
      </c>
      <c r="B25" s="76" t="s">
        <v>128</v>
      </c>
      <c r="C25" s="73">
        <v>32540.947784400003</v>
      </c>
      <c r="D25" s="73">
        <v>95311.053838000007</v>
      </c>
      <c r="E25" s="73">
        <v>262105.40127640002</v>
      </c>
      <c r="F25" s="73">
        <v>311905.4275084</v>
      </c>
      <c r="G25" s="73">
        <v>333588.69229840004</v>
      </c>
      <c r="H25" s="73">
        <v>357416.45511880005</v>
      </c>
      <c r="I25" s="90">
        <v>214449.8730704</v>
      </c>
      <c r="J25" s="94">
        <v>253113.46525520005</v>
      </c>
      <c r="K25" s="94">
        <v>247227.10727000004</v>
      </c>
      <c r="L25" s="92">
        <f t="shared" si="1"/>
        <v>2107658.4234200004</v>
      </c>
    </row>
    <row r="26" spans="1:12" x14ac:dyDescent="0.35">
      <c r="A26" s="71" t="s">
        <v>182</v>
      </c>
      <c r="B26" s="76" t="s">
        <v>183</v>
      </c>
      <c r="C26" s="73">
        <v>134432.46185600001</v>
      </c>
      <c r="D26" s="73">
        <v>244308.75288600003</v>
      </c>
      <c r="E26" s="73">
        <v>671849.07162559999</v>
      </c>
      <c r="F26" s="73">
        <v>799500.39579960005</v>
      </c>
      <c r="G26" s="73">
        <v>855080.63680160011</v>
      </c>
      <c r="H26" s="73">
        <v>916157.82519360003</v>
      </c>
      <c r="I26" s="90">
        <v>597694.69436160009</v>
      </c>
      <c r="J26" s="94">
        <v>1035208.6000652001</v>
      </c>
      <c r="K26" s="94">
        <v>1034220.8426352</v>
      </c>
      <c r="L26" s="92">
        <f t="shared" si="1"/>
        <v>6288453.2812244007</v>
      </c>
    </row>
    <row r="27" spans="1:12" x14ac:dyDescent="0.35">
      <c r="A27" s="71" t="s">
        <v>188</v>
      </c>
      <c r="B27" s="76" t="s">
        <v>189</v>
      </c>
      <c r="C27" s="73">
        <v>2969.9999648000003</v>
      </c>
      <c r="D27" s="73">
        <v>9899.9999472000018</v>
      </c>
      <c r="E27" s="73">
        <v>13991.999929600001</v>
      </c>
      <c r="F27" s="73">
        <v>22087.999894400004</v>
      </c>
      <c r="G27" s="73">
        <v>28951.999863600005</v>
      </c>
      <c r="H27" s="73">
        <v>32031.999846000002</v>
      </c>
      <c r="I27" s="90">
        <v>24155.999885600002</v>
      </c>
      <c r="J27" s="94">
        <v>0</v>
      </c>
      <c r="K27" s="94">
        <v>0</v>
      </c>
      <c r="L27" s="92">
        <f t="shared" si="1"/>
        <v>134089.99933120003</v>
      </c>
    </row>
    <row r="28" spans="1:12" x14ac:dyDescent="0.35">
      <c r="A28" s="71" t="s">
        <v>193</v>
      </c>
      <c r="B28" s="76" t="s">
        <v>194</v>
      </c>
      <c r="C28" s="73">
        <v>11956.1532948</v>
      </c>
      <c r="D28" s="73">
        <v>251531.3341948</v>
      </c>
      <c r="E28" s="73">
        <v>469105.93835600006</v>
      </c>
      <c r="F28" s="73">
        <v>586906.44664520002</v>
      </c>
      <c r="G28" s="73">
        <v>628828.33567840001</v>
      </c>
      <c r="H28" s="73">
        <v>628828.33567840001</v>
      </c>
      <c r="I28" s="90">
        <v>377297.00147480005</v>
      </c>
      <c r="J28" s="94">
        <v>446151.45589080005</v>
      </c>
      <c r="K28" s="94">
        <v>416772.63367080002</v>
      </c>
      <c r="L28" s="92">
        <f t="shared" si="1"/>
        <v>3817377.6348839998</v>
      </c>
    </row>
    <row r="29" spans="1:12" x14ac:dyDescent="0.35">
      <c r="A29" s="71" t="s">
        <v>197</v>
      </c>
      <c r="B29" s="76" t="s">
        <v>198</v>
      </c>
      <c r="C29" s="73">
        <v>89266.631845600001</v>
      </c>
      <c r="D29" s="73">
        <v>126222.67138360001</v>
      </c>
      <c r="E29" s="73">
        <v>350618.53179760004</v>
      </c>
      <c r="F29" s="73">
        <v>392692.75550120004</v>
      </c>
      <c r="G29" s="73">
        <v>434766.9793456</v>
      </c>
      <c r="H29" s="73">
        <v>437571.92758400005</v>
      </c>
      <c r="I29" s="90">
        <v>319994.24866200006</v>
      </c>
      <c r="J29" s="94">
        <v>406802.48664880003</v>
      </c>
      <c r="K29" s="94">
        <v>426174.03363040002</v>
      </c>
      <c r="L29" s="92">
        <f t="shared" si="1"/>
        <v>2984110.2663988001</v>
      </c>
    </row>
    <row r="30" spans="1:12" x14ac:dyDescent="0.35">
      <c r="A30" s="71" t="s">
        <v>133</v>
      </c>
      <c r="B30" s="76" t="s">
        <v>134</v>
      </c>
      <c r="C30" s="73">
        <v>314084.07059919997</v>
      </c>
      <c r="D30" s="73">
        <v>791875.54533560015</v>
      </c>
      <c r="E30" s="73">
        <v>2199654.2928536003</v>
      </c>
      <c r="F30" s="73">
        <v>2463612.8080740003</v>
      </c>
      <c r="G30" s="73">
        <v>2727571.3232900002</v>
      </c>
      <c r="H30" s="73">
        <v>2745168.5574544002</v>
      </c>
      <c r="I30" s="90">
        <v>1615426.1124804001</v>
      </c>
      <c r="J30" s="94">
        <v>942539.46444240003</v>
      </c>
      <c r="K30" s="94">
        <v>1083182.7439576001</v>
      </c>
      <c r="L30" s="92">
        <f t="shared" si="1"/>
        <v>14883114.918487201</v>
      </c>
    </row>
    <row r="31" spans="1:12" x14ac:dyDescent="0.35">
      <c r="A31" s="71" t="s">
        <v>205</v>
      </c>
      <c r="B31" s="76" t="s">
        <v>206</v>
      </c>
      <c r="C31" s="73">
        <v>74085.488716799999</v>
      </c>
      <c r="D31" s="73">
        <v>192966.48471320001</v>
      </c>
      <c r="E31" s="73">
        <v>536018.01393800008</v>
      </c>
      <c r="F31" s="73">
        <v>600340.17519960005</v>
      </c>
      <c r="G31" s="73">
        <v>664662.33739840006</v>
      </c>
      <c r="H31" s="73">
        <v>668950.48179520003</v>
      </c>
      <c r="I31" s="90">
        <v>393651.62972520007</v>
      </c>
      <c r="J31" s="94">
        <v>259456.4386128</v>
      </c>
      <c r="K31" s="94">
        <v>313137.08135600004</v>
      </c>
      <c r="L31" s="92">
        <f t="shared" si="1"/>
        <v>3703268.1314552007</v>
      </c>
    </row>
    <row r="32" spans="1:12" x14ac:dyDescent="0.35">
      <c r="A32" s="71" t="s">
        <v>207</v>
      </c>
      <c r="B32" s="76" t="s">
        <v>208</v>
      </c>
      <c r="C32" s="73">
        <v>122736.71144680001</v>
      </c>
      <c r="D32" s="73">
        <v>299269.14094000001</v>
      </c>
      <c r="E32" s="73">
        <v>831303.1697344</v>
      </c>
      <c r="F32" s="73">
        <v>931059.55038360017</v>
      </c>
      <c r="G32" s="73">
        <v>1030815.9310372001</v>
      </c>
      <c r="H32" s="73">
        <v>1037466.3560448</v>
      </c>
      <c r="I32" s="90">
        <v>610509.04810720007</v>
      </c>
      <c r="J32" s="94">
        <v>537022.36832640006</v>
      </c>
      <c r="K32" s="94">
        <v>641341.16062720004</v>
      </c>
      <c r="L32" s="92">
        <f t="shared" si="1"/>
        <v>6041523.4366476005</v>
      </c>
    </row>
    <row r="33" spans="1:12" ht="21" x14ac:dyDescent="0.5">
      <c r="L33" s="78">
        <f>SUM(L20:L32)</f>
        <v>61156055.875785202</v>
      </c>
    </row>
    <row r="34" spans="1:12" x14ac:dyDescent="0.35">
      <c r="C34" s="88"/>
      <c r="D34" s="88"/>
      <c r="E34" s="88"/>
      <c r="F34" s="88"/>
      <c r="G34" s="88"/>
      <c r="H34" s="88"/>
      <c r="I34" s="88"/>
      <c r="J34" s="88"/>
      <c r="K34" s="88"/>
    </row>
    <row r="35" spans="1:12" x14ac:dyDescent="0.35">
      <c r="C35" s="332" t="s">
        <v>229</v>
      </c>
      <c r="D35" s="332"/>
      <c r="E35" s="332"/>
      <c r="F35" s="332"/>
      <c r="G35" s="332"/>
      <c r="H35" s="332"/>
      <c r="I35" s="332"/>
      <c r="J35" s="338"/>
      <c r="K35" s="338"/>
      <c r="L35" s="332"/>
    </row>
    <row r="36" spans="1:12" x14ac:dyDescent="0.35">
      <c r="A36" s="77" t="s">
        <v>108</v>
      </c>
      <c r="B36" s="75" t="s">
        <v>218</v>
      </c>
      <c r="C36" s="70">
        <v>43983</v>
      </c>
      <c r="D36" s="70">
        <v>44013</v>
      </c>
      <c r="E36" s="70">
        <v>44044</v>
      </c>
      <c r="F36" s="70">
        <v>44075</v>
      </c>
      <c r="G36" s="70">
        <v>44105</v>
      </c>
      <c r="H36" s="70">
        <v>44136</v>
      </c>
      <c r="I36" s="89">
        <v>44166</v>
      </c>
      <c r="J36" s="93">
        <v>44197</v>
      </c>
      <c r="K36" s="93">
        <v>44228</v>
      </c>
      <c r="L36" s="91" t="s">
        <v>228</v>
      </c>
    </row>
    <row r="37" spans="1:12" x14ac:dyDescent="0.35">
      <c r="A37" s="71" t="s">
        <v>130</v>
      </c>
      <c r="B37" s="76" t="s">
        <v>131</v>
      </c>
      <c r="C37" s="73">
        <f>C20-C3</f>
        <v>-1214597.9510944001</v>
      </c>
      <c r="D37" s="73">
        <f t="shared" ref="D37:K37" si="2">D20-D3</f>
        <v>436016.25969199999</v>
      </c>
      <c r="E37" s="73">
        <f t="shared" si="2"/>
        <v>36953.33087039995</v>
      </c>
      <c r="F37" s="73">
        <f t="shared" si="2"/>
        <v>1226637.2059568001</v>
      </c>
      <c r="G37" s="73">
        <f t="shared" si="2"/>
        <v>1314254.1492432002</v>
      </c>
      <c r="H37" s="73">
        <f t="shared" si="2"/>
        <v>1314254.1492432002</v>
      </c>
      <c r="I37" s="90">
        <f t="shared" si="2"/>
        <v>813961.40304600005</v>
      </c>
      <c r="J37" s="94">
        <f t="shared" si="2"/>
        <v>754319.63881120004</v>
      </c>
      <c r="K37" s="94">
        <f t="shared" si="2"/>
        <v>924083.79022080009</v>
      </c>
      <c r="L37" s="92">
        <f>SUM(C37:K37)</f>
        <v>5605881.9759892002</v>
      </c>
    </row>
    <row r="38" spans="1:12" x14ac:dyDescent="0.35">
      <c r="A38" s="71" t="s">
        <v>154</v>
      </c>
      <c r="B38" s="76" t="s">
        <v>155</v>
      </c>
      <c r="C38" s="73">
        <f t="shared" ref="C38:K38" si="3">C21-C4</f>
        <v>31255.244710800001</v>
      </c>
      <c r="D38" s="73">
        <f t="shared" si="3"/>
        <v>5175.2366336000005</v>
      </c>
      <c r="E38" s="73">
        <f t="shared" si="3"/>
        <v>10350.473425600001</v>
      </c>
      <c r="F38" s="73">
        <f t="shared" si="3"/>
        <v>15008.186520800002</v>
      </c>
      <c r="G38" s="73">
        <f t="shared" si="3"/>
        <v>26945.947349200003</v>
      </c>
      <c r="H38" s="73">
        <f t="shared" si="3"/>
        <v>16043.2339056</v>
      </c>
      <c r="I38" s="90">
        <f t="shared" si="3"/>
        <v>9729.4450528000016</v>
      </c>
      <c r="J38" s="94">
        <f t="shared" si="3"/>
        <v>6503.6855092000005</v>
      </c>
      <c r="K38" s="94">
        <f t="shared" si="3"/>
        <v>17051.609515600001</v>
      </c>
      <c r="L38" s="92">
        <f t="shared" ref="L38:L49" si="4">SUM(C38:K38)</f>
        <v>138063.06262320001</v>
      </c>
    </row>
    <row r="39" spans="1:12" x14ac:dyDescent="0.35">
      <c r="A39" s="71" t="s">
        <v>158</v>
      </c>
      <c r="B39" s="76" t="s">
        <v>159</v>
      </c>
      <c r="C39" s="73">
        <f t="shared" ref="C39:K39" si="5">C22-C5</f>
        <v>42095.689059600001</v>
      </c>
      <c r="D39" s="73">
        <f t="shared" si="5"/>
        <v>92776.943868400005</v>
      </c>
      <c r="E39" s="73">
        <f t="shared" si="5"/>
        <v>185553.88803600002</v>
      </c>
      <c r="F39" s="73">
        <f t="shared" si="5"/>
        <v>269053.13781719998</v>
      </c>
      <c r="G39" s="73">
        <f t="shared" si="5"/>
        <v>278330.83220360003</v>
      </c>
      <c r="H39" s="73">
        <f t="shared" si="5"/>
        <v>287608.5265944</v>
      </c>
      <c r="I39" s="90">
        <f t="shared" si="5"/>
        <v>174420.65483040002</v>
      </c>
      <c r="J39" s="94">
        <f t="shared" si="5"/>
        <v>127130.7037924</v>
      </c>
      <c r="K39" s="94">
        <f t="shared" si="5"/>
        <v>158913.37974160002</v>
      </c>
      <c r="L39" s="92">
        <f t="shared" si="4"/>
        <v>1615883.7559436001</v>
      </c>
    </row>
    <row r="40" spans="1:12" x14ac:dyDescent="0.35">
      <c r="A40" s="71" t="s">
        <v>163</v>
      </c>
      <c r="B40" s="76" t="s">
        <v>164</v>
      </c>
      <c r="C40" s="73">
        <f t="shared" ref="C40:K40" si="6">C23-C6</f>
        <v>-214780.6664472</v>
      </c>
      <c r="D40" s="73">
        <f t="shared" si="6"/>
        <v>29019.726458800003</v>
      </c>
      <c r="E40" s="73">
        <f t="shared" si="6"/>
        <v>79804.247938800007</v>
      </c>
      <c r="F40" s="73">
        <f t="shared" si="6"/>
        <v>94967.054991600016</v>
      </c>
      <c r="G40" s="73">
        <f t="shared" si="6"/>
        <v>101569.04284560001</v>
      </c>
      <c r="H40" s="73">
        <f t="shared" si="6"/>
        <v>108823.97440200001</v>
      </c>
      <c r="I40" s="90">
        <f t="shared" si="6"/>
        <v>65294.384592800008</v>
      </c>
      <c r="J40" s="94">
        <f t="shared" si="6"/>
        <v>0</v>
      </c>
      <c r="K40" s="94">
        <f t="shared" si="6"/>
        <v>0</v>
      </c>
      <c r="L40" s="92">
        <f t="shared" si="4"/>
        <v>264697.76478240005</v>
      </c>
    </row>
    <row r="41" spans="1:12" x14ac:dyDescent="0.35">
      <c r="A41" s="71" t="s">
        <v>169</v>
      </c>
      <c r="B41" s="76" t="s">
        <v>170</v>
      </c>
      <c r="C41" s="73">
        <f t="shared" ref="C41:K41" si="7">C24-C7</f>
        <v>-539921.16559360002</v>
      </c>
      <c r="D41" s="73">
        <f t="shared" si="7"/>
        <v>443302.80657359998</v>
      </c>
      <c r="E41" s="73">
        <f t="shared" si="7"/>
        <v>-38572.251132800011</v>
      </c>
      <c r="F41" s="73">
        <f t="shared" si="7"/>
        <v>500463.51242160029</v>
      </c>
      <c r="G41" s="73">
        <f t="shared" si="7"/>
        <v>1580194.0241340001</v>
      </c>
      <c r="H41" s="73">
        <f t="shared" si="7"/>
        <v>1693065.0258896002</v>
      </c>
      <c r="I41" s="90">
        <f t="shared" si="7"/>
        <v>1128966.0150252001</v>
      </c>
      <c r="J41" s="94">
        <f t="shared" si="7"/>
        <v>1140354.4300156001</v>
      </c>
      <c r="K41" s="94">
        <f t="shared" si="7"/>
        <v>877707.95726520009</v>
      </c>
      <c r="L41" s="92">
        <f t="shared" si="4"/>
        <v>6785560.3545984011</v>
      </c>
    </row>
    <row r="42" spans="1:12" x14ac:dyDescent="0.35">
      <c r="A42" s="71" t="s">
        <v>127</v>
      </c>
      <c r="B42" s="76" t="s">
        <v>128</v>
      </c>
      <c r="C42" s="73">
        <f t="shared" ref="C42:K42" si="8">C25-C8</f>
        <v>-478493.77221560001</v>
      </c>
      <c r="D42" s="73">
        <f t="shared" si="8"/>
        <v>95311.053838000007</v>
      </c>
      <c r="E42" s="73">
        <f t="shared" si="8"/>
        <v>-16808.534854340018</v>
      </c>
      <c r="F42" s="73">
        <f t="shared" si="8"/>
        <v>311905.4275084</v>
      </c>
      <c r="G42" s="73">
        <f t="shared" si="8"/>
        <v>333588.69229840004</v>
      </c>
      <c r="H42" s="73">
        <f t="shared" si="8"/>
        <v>357416.45511880005</v>
      </c>
      <c r="I42" s="90">
        <f t="shared" si="8"/>
        <v>81476.553070399998</v>
      </c>
      <c r="J42" s="94">
        <f t="shared" si="8"/>
        <v>253113.46525520005</v>
      </c>
      <c r="K42" s="94">
        <f t="shared" si="8"/>
        <v>247227.10727000004</v>
      </c>
      <c r="L42" s="92">
        <f t="shared" si="4"/>
        <v>1184736.4472892601</v>
      </c>
    </row>
    <row r="43" spans="1:12" x14ac:dyDescent="0.35">
      <c r="A43" s="71" t="s">
        <v>182</v>
      </c>
      <c r="B43" s="76" t="s">
        <v>183</v>
      </c>
      <c r="C43" s="73">
        <f t="shared" ref="C43:K43" si="9">C26-C9</f>
        <v>-1351695.2381440001</v>
      </c>
      <c r="D43" s="73">
        <f t="shared" si="9"/>
        <v>244308.75288600003</v>
      </c>
      <c r="E43" s="73">
        <f t="shared" si="9"/>
        <v>4247.0716255999869</v>
      </c>
      <c r="F43" s="73">
        <f t="shared" si="9"/>
        <v>799500.39579960005</v>
      </c>
      <c r="G43" s="73">
        <f t="shared" si="9"/>
        <v>855080.63680160011</v>
      </c>
      <c r="H43" s="73">
        <f t="shared" si="9"/>
        <v>916157.82519360003</v>
      </c>
      <c r="I43" s="90">
        <f t="shared" si="9"/>
        <v>597694.69436160009</v>
      </c>
      <c r="J43" s="94">
        <f t="shared" si="9"/>
        <v>736214.2000652001</v>
      </c>
      <c r="K43" s="94">
        <f t="shared" si="9"/>
        <v>1034220.8426352</v>
      </c>
      <c r="L43" s="92">
        <f t="shared" si="4"/>
        <v>3835729.1812244006</v>
      </c>
    </row>
    <row r="44" spans="1:12" x14ac:dyDescent="0.35">
      <c r="A44" s="71" t="s">
        <v>188</v>
      </c>
      <c r="B44" s="76" t="s">
        <v>189</v>
      </c>
      <c r="C44" s="73">
        <f t="shared" ref="C44:K44" si="10">C27-C10</f>
        <v>2969.9999648000003</v>
      </c>
      <c r="D44" s="73">
        <f t="shared" si="10"/>
        <v>9899.9999472000018</v>
      </c>
      <c r="E44" s="73">
        <f t="shared" si="10"/>
        <v>13991.999929600001</v>
      </c>
      <c r="F44" s="73">
        <f t="shared" si="10"/>
        <v>22087.999894400004</v>
      </c>
      <c r="G44" s="73">
        <f t="shared" si="10"/>
        <v>28951.999863600005</v>
      </c>
      <c r="H44" s="73">
        <f t="shared" si="10"/>
        <v>32031.999846000002</v>
      </c>
      <c r="I44" s="90">
        <f t="shared" si="10"/>
        <v>24155.999885600002</v>
      </c>
      <c r="J44" s="94">
        <f t="shared" si="10"/>
        <v>-63692.200000000004</v>
      </c>
      <c r="K44" s="94">
        <f t="shared" si="10"/>
        <v>0</v>
      </c>
      <c r="L44" s="92">
        <f t="shared" si="4"/>
        <v>70397.799331200018</v>
      </c>
    </row>
    <row r="45" spans="1:12" x14ac:dyDescent="0.35">
      <c r="A45" s="71" t="s">
        <v>193</v>
      </c>
      <c r="B45" s="76" t="s">
        <v>194</v>
      </c>
      <c r="C45" s="73">
        <f t="shared" ref="C45:K45" si="11">C28-C11</f>
        <v>-64253.616705199987</v>
      </c>
      <c r="D45" s="73">
        <f t="shared" si="11"/>
        <v>251531.3341948</v>
      </c>
      <c r="E45" s="73">
        <f t="shared" si="11"/>
        <v>73789.828356000071</v>
      </c>
      <c r="F45" s="73">
        <f t="shared" si="11"/>
        <v>586906.44664520002</v>
      </c>
      <c r="G45" s="73">
        <f t="shared" si="11"/>
        <v>628828.33567840001</v>
      </c>
      <c r="H45" s="73">
        <f t="shared" si="11"/>
        <v>628828.33567840001</v>
      </c>
      <c r="I45" s="90">
        <f t="shared" si="11"/>
        <v>377297.00147480005</v>
      </c>
      <c r="J45" s="94">
        <f t="shared" si="11"/>
        <v>446151.45589080005</v>
      </c>
      <c r="K45" s="94">
        <f t="shared" si="11"/>
        <v>416772.63367080002</v>
      </c>
      <c r="L45" s="92">
        <f t="shared" si="4"/>
        <v>3345851.7548839999</v>
      </c>
    </row>
    <row r="46" spans="1:12" x14ac:dyDescent="0.35">
      <c r="A46" s="71" t="s">
        <v>197</v>
      </c>
      <c r="B46" s="76" t="s">
        <v>198</v>
      </c>
      <c r="C46" s="73">
        <f t="shared" ref="C46:K46" si="12">C29-C12</f>
        <v>89266.631845600001</v>
      </c>
      <c r="D46" s="73">
        <f t="shared" si="12"/>
        <v>126222.67138360001</v>
      </c>
      <c r="E46" s="73">
        <f t="shared" si="12"/>
        <v>125719.13179760004</v>
      </c>
      <c r="F46" s="73">
        <f t="shared" si="12"/>
        <v>392692.75550120004</v>
      </c>
      <c r="G46" s="73">
        <f t="shared" si="12"/>
        <v>434766.9793456</v>
      </c>
      <c r="H46" s="73">
        <f t="shared" si="12"/>
        <v>437571.92758400005</v>
      </c>
      <c r="I46" s="90">
        <f t="shared" si="12"/>
        <v>208214.77866200006</v>
      </c>
      <c r="J46" s="94">
        <f t="shared" si="12"/>
        <v>191427.99401550004</v>
      </c>
      <c r="K46" s="94">
        <f t="shared" si="12"/>
        <v>426174.03363040002</v>
      </c>
      <c r="L46" s="92">
        <f t="shared" si="4"/>
        <v>2432056.9037655001</v>
      </c>
    </row>
    <row r="47" spans="1:12" x14ac:dyDescent="0.35">
      <c r="A47" s="71" t="s">
        <v>133</v>
      </c>
      <c r="B47" s="76" t="s">
        <v>134</v>
      </c>
      <c r="C47" s="73">
        <f t="shared" ref="C47:K47" si="13">C30-C13</f>
        <v>-255225.65940080001</v>
      </c>
      <c r="D47" s="73">
        <f t="shared" si="13"/>
        <v>791875.54533560015</v>
      </c>
      <c r="E47" s="73">
        <f t="shared" si="13"/>
        <v>2199654.2928536003</v>
      </c>
      <c r="F47" s="73">
        <f t="shared" si="13"/>
        <v>2463612.8080740003</v>
      </c>
      <c r="G47" s="73">
        <f t="shared" si="13"/>
        <v>2727571.3232900002</v>
      </c>
      <c r="H47" s="73">
        <f t="shared" si="13"/>
        <v>2745168.5574544002</v>
      </c>
      <c r="I47" s="90">
        <f t="shared" si="13"/>
        <v>1615426.1124804001</v>
      </c>
      <c r="J47" s="94">
        <f t="shared" si="13"/>
        <v>942539.46444240003</v>
      </c>
      <c r="K47" s="94">
        <f t="shared" si="13"/>
        <v>1083182.7439576001</v>
      </c>
      <c r="L47" s="92">
        <f t="shared" si="4"/>
        <v>14313805.1884872</v>
      </c>
    </row>
    <row r="48" spans="1:12" x14ac:dyDescent="0.35">
      <c r="A48" s="71" t="s">
        <v>205</v>
      </c>
      <c r="B48" s="76" t="s">
        <v>206</v>
      </c>
      <c r="C48" s="73">
        <f t="shared" ref="C48:K48" si="14">C31-C14</f>
        <v>74085.488716799999</v>
      </c>
      <c r="D48" s="73">
        <f t="shared" si="14"/>
        <v>192966.48471320001</v>
      </c>
      <c r="E48" s="73">
        <f t="shared" si="14"/>
        <v>-814633.02404524002</v>
      </c>
      <c r="F48" s="73">
        <f t="shared" si="14"/>
        <v>63825.96519960009</v>
      </c>
      <c r="G48" s="73">
        <f t="shared" si="14"/>
        <v>664662.33739840006</v>
      </c>
      <c r="H48" s="73">
        <f t="shared" si="14"/>
        <v>668950.48179520003</v>
      </c>
      <c r="I48" s="90">
        <f t="shared" si="14"/>
        <v>393651.62972520007</v>
      </c>
      <c r="J48" s="94">
        <f t="shared" si="14"/>
        <v>259456.4386128</v>
      </c>
      <c r="K48" s="94">
        <f t="shared" si="14"/>
        <v>313137.08135600004</v>
      </c>
      <c r="L48" s="92">
        <f t="shared" si="4"/>
        <v>1816102.8834719602</v>
      </c>
    </row>
    <row r="49" spans="1:12" x14ac:dyDescent="0.35">
      <c r="A49" s="71" t="s">
        <v>207</v>
      </c>
      <c r="B49" s="76" t="s">
        <v>208</v>
      </c>
      <c r="C49" s="73">
        <f t="shared" ref="C49:K49" si="15">C32-C15</f>
        <v>-365343.33855320001</v>
      </c>
      <c r="D49" s="73">
        <f t="shared" si="15"/>
        <v>-4956430.7883683294</v>
      </c>
      <c r="E49" s="73">
        <f t="shared" si="15"/>
        <v>831303.1697344</v>
      </c>
      <c r="F49" s="73">
        <f t="shared" si="15"/>
        <v>931059.55038360017</v>
      </c>
      <c r="G49" s="73">
        <f t="shared" si="15"/>
        <v>1030815.9310372001</v>
      </c>
      <c r="H49" s="73">
        <f t="shared" si="15"/>
        <v>1037466.3560448</v>
      </c>
      <c r="I49" s="90">
        <f t="shared" si="15"/>
        <v>610509.04810720007</v>
      </c>
      <c r="J49" s="94">
        <f t="shared" si="15"/>
        <v>537022.36832640006</v>
      </c>
      <c r="K49" s="94">
        <f t="shared" si="15"/>
        <v>641341.16062720004</v>
      </c>
      <c r="L49" s="92">
        <f t="shared" si="4"/>
        <v>297743.45733927155</v>
      </c>
    </row>
    <row r="50" spans="1:12" ht="21" x14ac:dyDescent="0.5">
      <c r="L50" s="78">
        <f>SUM(L37:L49)</f>
        <v>41706510.52972959</v>
      </c>
    </row>
    <row r="57" spans="1:12" x14ac:dyDescent="0.35">
      <c r="L57" s="88"/>
    </row>
  </sheetData>
  <mergeCells count="4">
    <mergeCell ref="A1:B1"/>
    <mergeCell ref="C1:L1"/>
    <mergeCell ref="C18:L18"/>
    <mergeCell ref="C35:L35"/>
  </mergeCells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FCE2-07A1-40D0-BE34-31CDA2D45629}">
  <dimension ref="A1:T22"/>
  <sheetViews>
    <sheetView workbookViewId="0">
      <selection activeCell="C3" sqref="C3"/>
    </sheetView>
  </sheetViews>
  <sheetFormatPr defaultRowHeight="14.5" x14ac:dyDescent="0.35"/>
  <cols>
    <col min="1" max="1" width="12.1796875" bestFit="1" customWidth="1"/>
    <col min="2" max="2" width="44.1796875" bestFit="1" customWidth="1"/>
    <col min="3" max="3" width="5.6328125" bestFit="1" customWidth="1"/>
    <col min="4" max="4" width="6.6328125" bestFit="1" customWidth="1"/>
    <col min="5" max="5" width="6.08984375" bestFit="1" customWidth="1"/>
    <col min="6" max="6" width="6.453125" bestFit="1" customWidth="1"/>
    <col min="7" max="7" width="6.7265625" bestFit="1" customWidth="1"/>
    <col min="8" max="8" width="6.54296875" bestFit="1" customWidth="1"/>
    <col min="9" max="10" width="6.1796875" bestFit="1" customWidth="1"/>
    <col min="11" max="11" width="7" bestFit="1" customWidth="1"/>
    <col min="12" max="12" width="6.453125" bestFit="1" customWidth="1"/>
    <col min="13" max="13" width="6.7265625" bestFit="1" customWidth="1"/>
    <col min="14" max="14" width="6.26953125" bestFit="1" customWidth="1"/>
    <col min="15" max="15" width="5.6328125" bestFit="1" customWidth="1"/>
    <col min="16" max="16" width="6.6328125" bestFit="1" customWidth="1"/>
    <col min="17" max="17" width="6.08984375" bestFit="1" customWidth="1"/>
    <col min="18" max="18" width="6.453125" bestFit="1" customWidth="1"/>
    <col min="19" max="19" width="6.7265625" bestFit="1" customWidth="1"/>
    <col min="20" max="20" width="6.54296875" bestFit="1" customWidth="1"/>
  </cols>
  <sheetData>
    <row r="1" spans="1:20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35">
      <c r="A2" s="141" t="s">
        <v>268</v>
      </c>
      <c r="B2" s="141" t="s">
        <v>269</v>
      </c>
      <c r="C2" s="275">
        <v>44378</v>
      </c>
      <c r="D2" s="275">
        <v>44409</v>
      </c>
      <c r="E2" s="275">
        <v>44440</v>
      </c>
      <c r="F2" s="275">
        <v>44470</v>
      </c>
      <c r="G2" s="275">
        <v>44501</v>
      </c>
      <c r="H2" s="275">
        <v>44531</v>
      </c>
      <c r="I2" s="275">
        <v>44562</v>
      </c>
      <c r="J2" s="275">
        <v>44593</v>
      </c>
      <c r="K2" s="275">
        <v>44621</v>
      </c>
      <c r="L2" s="275">
        <v>44652</v>
      </c>
      <c r="M2" s="275">
        <v>44682</v>
      </c>
      <c r="N2" s="275">
        <v>44713</v>
      </c>
      <c r="O2" s="275">
        <v>44743</v>
      </c>
      <c r="P2" s="275">
        <v>44774</v>
      </c>
      <c r="Q2" s="275">
        <v>44805</v>
      </c>
      <c r="R2" s="275">
        <v>44835</v>
      </c>
      <c r="S2" s="275">
        <v>44866</v>
      </c>
      <c r="T2" s="275">
        <v>44896</v>
      </c>
    </row>
    <row r="3" spans="1:20" x14ac:dyDescent="0.35">
      <c r="A3" s="204" t="s">
        <v>143</v>
      </c>
      <c r="B3" s="204" t="s">
        <v>144</v>
      </c>
      <c r="C3">
        <v>883</v>
      </c>
      <c r="D3">
        <v>920</v>
      </c>
      <c r="E3">
        <v>960</v>
      </c>
      <c r="F3">
        <v>1000</v>
      </c>
      <c r="G3">
        <v>1040</v>
      </c>
      <c r="H3">
        <v>1100</v>
      </c>
      <c r="I3">
        <v>1010</v>
      </c>
      <c r="J3">
        <v>1060</v>
      </c>
      <c r="K3">
        <v>1400</v>
      </c>
      <c r="L3">
        <v>850</v>
      </c>
      <c r="M3">
        <v>1080</v>
      </c>
      <c r="N3">
        <v>1350</v>
      </c>
      <c r="O3">
        <v>1100</v>
      </c>
      <c r="P3">
        <v>1300</v>
      </c>
      <c r="Q3">
        <v>1370</v>
      </c>
      <c r="R3">
        <v>1390</v>
      </c>
      <c r="S3">
        <v>1410</v>
      </c>
      <c r="T3">
        <v>1460</v>
      </c>
    </row>
    <row r="4" spans="1:20" x14ac:dyDescent="0.35">
      <c r="A4" s="204" t="s">
        <v>10</v>
      </c>
      <c r="B4" s="204" t="s">
        <v>11</v>
      </c>
      <c r="C4">
        <v>256</v>
      </c>
      <c r="D4">
        <v>290.82673100193796</v>
      </c>
      <c r="E4">
        <v>335.56930500223615</v>
      </c>
      <c r="F4">
        <v>346.7549485023107</v>
      </c>
      <c r="G4">
        <v>373.17135815185776</v>
      </c>
      <c r="H4">
        <v>407.05507301535653</v>
      </c>
      <c r="I4">
        <v>261.57449188765185</v>
      </c>
      <c r="J4">
        <v>281.09148255904563</v>
      </c>
      <c r="K4">
        <v>291.07537443137193</v>
      </c>
      <c r="L4">
        <v>234.26965845157414</v>
      </c>
      <c r="M4">
        <v>256.18464233229474</v>
      </c>
      <c r="N4">
        <v>261.57449188765185</v>
      </c>
      <c r="O4">
        <v>252.62652229990172</v>
      </c>
      <c r="P4">
        <v>316.21844597020646</v>
      </c>
      <c r="Q4">
        <v>303.38753421359962</v>
      </c>
      <c r="R4">
        <v>318.55691092427963</v>
      </c>
      <c r="S4">
        <v>373.76276560591538</v>
      </c>
      <c r="T4">
        <v>407.79771182948934</v>
      </c>
    </row>
    <row r="5" spans="1:20" x14ac:dyDescent="0.35">
      <c r="A5" s="204" t="s">
        <v>6</v>
      </c>
      <c r="B5" s="204" t="s">
        <v>7</v>
      </c>
      <c r="C5">
        <v>1745</v>
      </c>
      <c r="D5">
        <v>2033.8340681484735</v>
      </c>
      <c r="E5">
        <v>2214.0472134274519</v>
      </c>
      <c r="F5">
        <v>2661.8274634784334</v>
      </c>
      <c r="G5">
        <v>2861.8981639432582</v>
      </c>
      <c r="H5">
        <v>2594.6646108564732</v>
      </c>
      <c r="I5">
        <v>1780.5251122758625</v>
      </c>
      <c r="J5">
        <v>2001.3571663448276</v>
      </c>
      <c r="K5">
        <v>2286.1985114482763</v>
      </c>
      <c r="L5">
        <v>1999.2235233103449</v>
      </c>
      <c r="M5">
        <v>1884.0067994482761</v>
      </c>
      <c r="N5">
        <v>1797.5942565517244</v>
      </c>
      <c r="O5">
        <v>1715.6538294554482</v>
      </c>
      <c r="P5">
        <v>2046.9225909427935</v>
      </c>
      <c r="Q5">
        <v>2228.2954787478511</v>
      </c>
      <c r="R5">
        <v>2678.957370964938</v>
      </c>
      <c r="S5">
        <v>2880.3156051398723</v>
      </c>
      <c r="T5">
        <v>2611.3622989494493</v>
      </c>
    </row>
    <row r="6" spans="1:20" x14ac:dyDescent="0.35">
      <c r="A6" s="204" t="s">
        <v>8</v>
      </c>
      <c r="B6" s="204" t="s">
        <v>9</v>
      </c>
      <c r="C6">
        <v>2962</v>
      </c>
      <c r="D6">
        <v>3116.2913922945963</v>
      </c>
      <c r="E6">
        <v>3079.6291406205423</v>
      </c>
      <c r="F6">
        <v>3042.9668889464874</v>
      </c>
      <c r="G6">
        <v>2979.7594082237965</v>
      </c>
      <c r="H6">
        <v>3152.9536439686499</v>
      </c>
      <c r="I6">
        <v>2967.4960215808769</v>
      </c>
      <c r="J6">
        <v>2809.8615746692626</v>
      </c>
      <c r="K6">
        <v>3635.5133280734517</v>
      </c>
      <c r="L6">
        <v>2997.2591688998532</v>
      </c>
      <c r="M6">
        <v>3178.0427303928927</v>
      </c>
      <c r="N6">
        <v>3418.3525865238853</v>
      </c>
      <c r="O6">
        <v>3134.5223949798124</v>
      </c>
      <c r="P6">
        <v>3240.7630956576245</v>
      </c>
      <c r="Q6">
        <v>3202.6364710028292</v>
      </c>
      <c r="R6">
        <v>3164.5098463480331</v>
      </c>
      <c r="S6">
        <v>3098.7777163546439</v>
      </c>
      <c r="T6">
        <v>3278.8897203124193</v>
      </c>
    </row>
    <row r="7" spans="1:20" x14ac:dyDescent="0.35">
      <c r="A7" s="204" t="s">
        <v>169</v>
      </c>
      <c r="B7" s="204" t="s">
        <v>170</v>
      </c>
      <c r="C7">
        <v>1786</v>
      </c>
      <c r="D7">
        <v>2368.9885235729867</v>
      </c>
      <c r="E7">
        <v>2416.0481235729867</v>
      </c>
      <c r="F7">
        <v>2467.6548348629199</v>
      </c>
      <c r="G7">
        <v>2526.5021587689198</v>
      </c>
      <c r="H7">
        <v>1515.9012952613525</v>
      </c>
      <c r="I7">
        <v>2056.0611807006749</v>
      </c>
      <c r="J7">
        <v>2372.4237967576</v>
      </c>
      <c r="K7">
        <v>3653.674084260525</v>
      </c>
      <c r="L7">
        <v>1960.7759273793597</v>
      </c>
      <c r="M7">
        <v>2190.0547030585999</v>
      </c>
      <c r="N7">
        <v>2045.6117968778476</v>
      </c>
      <c r="O7">
        <v>2100</v>
      </c>
      <c r="P7">
        <v>2162.3335016177675</v>
      </c>
      <c r="Q7">
        <v>2146.1758717071848</v>
      </c>
      <c r="R7">
        <v>2119.4291691327749</v>
      </c>
      <c r="S7">
        <v>2142.7023676405252</v>
      </c>
      <c r="T7">
        <v>1338.6126816175149</v>
      </c>
    </row>
    <row r="8" spans="1:20" x14ac:dyDescent="0.35">
      <c r="A8" s="204" t="s">
        <v>127</v>
      </c>
      <c r="B8" s="204" t="s">
        <v>128</v>
      </c>
      <c r="C8">
        <v>181</v>
      </c>
      <c r="D8">
        <v>198.07321881372232</v>
      </c>
      <c r="E8">
        <v>229.44628548038898</v>
      </c>
      <c r="F8">
        <v>246.18915766905096</v>
      </c>
      <c r="G8">
        <v>251.37159611905096</v>
      </c>
      <c r="H8">
        <v>150.82295767143057</v>
      </c>
      <c r="I8">
        <v>148.62800039950835</v>
      </c>
      <c r="J8">
        <v>200.45113636043996</v>
      </c>
      <c r="K8">
        <v>321.45810795793801</v>
      </c>
      <c r="L8">
        <v>185.18439314138399</v>
      </c>
      <c r="M8">
        <v>198.36627751108998</v>
      </c>
      <c r="N8">
        <v>212.08555859401918</v>
      </c>
      <c r="O8">
        <v>195.26682118220666</v>
      </c>
      <c r="P8">
        <v>188.52594181945585</v>
      </c>
      <c r="Q8">
        <v>219.08327677234502</v>
      </c>
      <c r="R8">
        <v>206.97386597365085</v>
      </c>
      <c r="S8">
        <v>199.58855694382666</v>
      </c>
      <c r="T8">
        <v>108.36897548609834</v>
      </c>
    </row>
    <row r="9" spans="1:20" x14ac:dyDescent="0.35">
      <c r="A9" s="204" t="s">
        <v>182</v>
      </c>
      <c r="B9" s="204" t="s">
        <v>183</v>
      </c>
      <c r="C9">
        <v>518</v>
      </c>
      <c r="D9">
        <v>607.06521218969658</v>
      </c>
      <c r="E9">
        <v>605.49655885636332</v>
      </c>
      <c r="F9">
        <v>589.31816577111397</v>
      </c>
      <c r="G9">
        <v>645.03861455511401</v>
      </c>
      <c r="H9">
        <v>356.89549339168502</v>
      </c>
      <c r="I9">
        <v>460.99341284573001</v>
      </c>
      <c r="J9">
        <v>592.39719250472001</v>
      </c>
      <c r="K9">
        <v>919.8278215332449</v>
      </c>
      <c r="L9">
        <v>517.75384810805838</v>
      </c>
      <c r="M9">
        <v>554.40286855941997</v>
      </c>
      <c r="N9">
        <v>523.87857031322835</v>
      </c>
      <c r="O9">
        <v>512.68277104204833</v>
      </c>
      <c r="P9">
        <v>522.87411708009665</v>
      </c>
      <c r="Q9">
        <v>521.24494499183663</v>
      </c>
      <c r="R9">
        <v>500.2430098894867</v>
      </c>
      <c r="S9">
        <v>508.69060506368834</v>
      </c>
      <c r="T9">
        <v>305.97879641336499</v>
      </c>
    </row>
    <row r="10" spans="1:20" x14ac:dyDescent="0.35">
      <c r="A10" s="204" t="s">
        <v>188</v>
      </c>
      <c r="B10" s="204" t="s">
        <v>189</v>
      </c>
      <c r="C10">
        <v>111</v>
      </c>
      <c r="D10">
        <v>150</v>
      </c>
      <c r="E10">
        <v>150</v>
      </c>
      <c r="F10">
        <v>150</v>
      </c>
      <c r="G10">
        <v>24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 s="204" t="s">
        <v>193</v>
      </c>
      <c r="B11" s="204" t="s">
        <v>194</v>
      </c>
      <c r="C11">
        <v>2661</v>
      </c>
      <c r="D11">
        <v>3200</v>
      </c>
      <c r="E11">
        <v>3200</v>
      </c>
      <c r="F11">
        <v>3300</v>
      </c>
      <c r="G11">
        <v>3300</v>
      </c>
      <c r="H11">
        <v>1860</v>
      </c>
      <c r="I11">
        <v>2696.1660000000002</v>
      </c>
      <c r="J11">
        <v>3179.8602000000001</v>
      </c>
      <c r="K11">
        <v>4092.6699480744005</v>
      </c>
      <c r="L11">
        <v>2473.4061972757377</v>
      </c>
      <c r="M11">
        <v>3096.8215900376831</v>
      </c>
      <c r="N11">
        <v>2638.8250830808015</v>
      </c>
      <c r="O11">
        <v>2972.8136906110303</v>
      </c>
      <c r="P11">
        <v>3259.6844769756945</v>
      </c>
      <c r="Q11">
        <v>3262.8533212501366</v>
      </c>
      <c r="R11">
        <v>3107.5799518024933</v>
      </c>
      <c r="S11">
        <v>3139.2683945469098</v>
      </c>
      <c r="T11">
        <v>2639.9503816236938</v>
      </c>
    </row>
    <row r="12" spans="1:20" x14ac:dyDescent="0.35">
      <c r="A12" s="204" t="s">
        <v>130</v>
      </c>
      <c r="B12" s="204" t="s">
        <v>131</v>
      </c>
      <c r="C12">
        <v>5412</v>
      </c>
      <c r="D12">
        <v>6879.3933146666704</v>
      </c>
      <c r="E12">
        <v>6746.6384653333298</v>
      </c>
      <c r="F12">
        <v>7306.5260613333339</v>
      </c>
      <c r="G12">
        <v>7593.4903146666684</v>
      </c>
      <c r="H12">
        <v>4890</v>
      </c>
      <c r="I12">
        <v>6427.9733452364062</v>
      </c>
      <c r="J12">
        <v>6908.1287008099544</v>
      </c>
      <c r="K12">
        <v>9781.8949176505394</v>
      </c>
      <c r="L12">
        <v>5867.7390377760839</v>
      </c>
      <c r="M12">
        <v>7394.9587873342407</v>
      </c>
      <c r="N12">
        <v>6185.7642030158822</v>
      </c>
      <c r="O12">
        <v>6442.6306826326463</v>
      </c>
      <c r="P12">
        <v>6775.31122246614</v>
      </c>
      <c r="Q12">
        <v>7049.5658720808797</v>
      </c>
      <c r="R12">
        <v>6856.7623538515045</v>
      </c>
      <c r="S12">
        <v>6741.4345466766308</v>
      </c>
      <c r="T12">
        <v>4880.9465078690764</v>
      </c>
    </row>
    <row r="13" spans="1:20" x14ac:dyDescent="0.35">
      <c r="A13" s="204" t="s">
        <v>154</v>
      </c>
      <c r="B13" s="204" t="s">
        <v>155</v>
      </c>
      <c r="C13">
        <v>23</v>
      </c>
      <c r="D13">
        <v>61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 s="204" t="s">
        <v>158</v>
      </c>
      <c r="B14" s="204" t="s">
        <v>159</v>
      </c>
      <c r="C14">
        <v>483</v>
      </c>
      <c r="D14">
        <v>700</v>
      </c>
      <c r="E14">
        <v>750</v>
      </c>
      <c r="F14">
        <v>690</v>
      </c>
      <c r="G14">
        <v>720</v>
      </c>
      <c r="H14">
        <v>600</v>
      </c>
      <c r="I14">
        <v>548.35200000000009</v>
      </c>
      <c r="J14">
        <v>609.53750000000002</v>
      </c>
      <c r="K14">
        <v>866.43900000000008</v>
      </c>
      <c r="L14">
        <v>564.02</v>
      </c>
      <c r="M14">
        <v>696.68549999999993</v>
      </c>
      <c r="N14">
        <v>710.74699999999996</v>
      </c>
      <c r="O14">
        <v>769.31500000000005</v>
      </c>
      <c r="P14">
        <v>781.83</v>
      </c>
      <c r="Q14">
        <v>750.74699999999996</v>
      </c>
      <c r="R14">
        <v>738.99</v>
      </c>
      <c r="S14">
        <v>771.12</v>
      </c>
      <c r="T14">
        <v>642.6</v>
      </c>
    </row>
    <row r="15" spans="1:20" x14ac:dyDescent="0.35">
      <c r="A15" s="204" t="s">
        <v>197</v>
      </c>
      <c r="B15" s="204" t="s">
        <v>198</v>
      </c>
      <c r="C15">
        <v>796</v>
      </c>
      <c r="D15">
        <v>1012.0454773333332</v>
      </c>
      <c r="E15">
        <v>1058.0475444848482</v>
      </c>
      <c r="F15">
        <v>934.95850727272705</v>
      </c>
      <c r="G15">
        <v>920.04134303030287</v>
      </c>
      <c r="H15">
        <v>607.22728640000025</v>
      </c>
      <c r="I15">
        <v>795.77315540429504</v>
      </c>
      <c r="J15">
        <v>911.94182434209495</v>
      </c>
      <c r="K15">
        <v>1838.7064059598349</v>
      </c>
      <c r="L15">
        <v>1086.71973601173</v>
      </c>
      <c r="M15">
        <v>1131.26659974118</v>
      </c>
      <c r="N15">
        <v>1205.816885816655</v>
      </c>
      <c r="O15">
        <v>1178.48819450825</v>
      </c>
      <c r="P15">
        <v>1200.1004965422401</v>
      </c>
      <c r="Q15">
        <v>1196.1420472802949</v>
      </c>
      <c r="R15">
        <v>1143.86286873881</v>
      </c>
      <c r="S15">
        <v>1164.8699277634601</v>
      </c>
      <c r="T15">
        <v>712.58605360038996</v>
      </c>
    </row>
    <row r="16" spans="1:20" x14ac:dyDescent="0.35">
      <c r="A16" s="204" t="s">
        <v>133</v>
      </c>
      <c r="B16" s="204" t="s">
        <v>134</v>
      </c>
      <c r="C16">
        <v>6944</v>
      </c>
      <c r="D16">
        <v>8160.8246470000004</v>
      </c>
      <c r="E16">
        <v>8197.6803127727253</v>
      </c>
      <c r="F16">
        <v>8403.4174865909008</v>
      </c>
      <c r="G16">
        <v>8341.1483154545494</v>
      </c>
      <c r="H16">
        <v>5004.6889892727295</v>
      </c>
      <c r="I16">
        <v>6578.5179902171149</v>
      </c>
      <c r="J16">
        <v>7975.2167494336954</v>
      </c>
      <c r="K16">
        <v>12330.438876437411</v>
      </c>
      <c r="L16">
        <v>7054.4869945043656</v>
      </c>
      <c r="M16">
        <v>8093.1948160340708</v>
      </c>
      <c r="N16">
        <v>8462.642621940262</v>
      </c>
      <c r="O16">
        <v>8829.7895815867487</v>
      </c>
      <c r="P16">
        <v>8960.2207512518107</v>
      </c>
      <c r="Q16">
        <v>9125.240764443015</v>
      </c>
      <c r="R16">
        <v>9182.7980642741313</v>
      </c>
      <c r="S16">
        <v>9302.0389333898111</v>
      </c>
      <c r="T16">
        <v>5067.6358753355198</v>
      </c>
    </row>
    <row r="17" spans="1:20" x14ac:dyDescent="0.35">
      <c r="A17" s="204" t="s">
        <v>205</v>
      </c>
      <c r="B17" s="204" t="s">
        <v>206</v>
      </c>
      <c r="C17">
        <v>240</v>
      </c>
      <c r="D17">
        <v>327</v>
      </c>
      <c r="E17">
        <v>346.41666666666669</v>
      </c>
      <c r="F17">
        <v>359.8076145454545</v>
      </c>
      <c r="G17">
        <v>312.5</v>
      </c>
      <c r="H17">
        <v>162.88206746666665</v>
      </c>
      <c r="I17">
        <v>345.37338334429887</v>
      </c>
      <c r="J17">
        <v>389.66372471887365</v>
      </c>
      <c r="K17">
        <v>531.39943820390943</v>
      </c>
      <c r="L17">
        <v>269.66222194466451</v>
      </c>
      <c r="M17">
        <v>292.19721293101446</v>
      </c>
      <c r="N17">
        <v>310.06869302728586</v>
      </c>
      <c r="O17">
        <v>316.11146876700673</v>
      </c>
      <c r="P17">
        <v>326.53640157837413</v>
      </c>
      <c r="Q17">
        <v>330.14574567894067</v>
      </c>
      <c r="R17">
        <v>325.54018001384475</v>
      </c>
      <c r="S17">
        <v>335.13744613079899</v>
      </c>
      <c r="T17">
        <v>247.90370582502669</v>
      </c>
    </row>
    <row r="18" spans="1:20" x14ac:dyDescent="0.35">
      <c r="A18" s="204" t="s">
        <v>207</v>
      </c>
      <c r="B18" s="204" t="s">
        <v>208</v>
      </c>
      <c r="C18">
        <v>1224</v>
      </c>
      <c r="D18">
        <v>1112</v>
      </c>
      <c r="E18">
        <v>1257.3333333333333</v>
      </c>
      <c r="F18">
        <v>1366.6666666666667</v>
      </c>
      <c r="G18">
        <v>1366.6666666666667</v>
      </c>
      <c r="H18">
        <v>820</v>
      </c>
      <c r="I18">
        <v>1087.5318417050455</v>
      </c>
      <c r="J18">
        <v>1415.7980365160572</v>
      </c>
      <c r="K18">
        <v>2041.8105337136828</v>
      </c>
      <c r="L18">
        <v>1247.0052768063256</v>
      </c>
      <c r="M18">
        <v>1395.17774525855</v>
      </c>
      <c r="N18">
        <v>1444.7341755955006</v>
      </c>
      <c r="O18">
        <v>1483.2088906845154</v>
      </c>
      <c r="P18">
        <v>1446.0649055243102</v>
      </c>
      <c r="Q18">
        <v>1471.6913598762901</v>
      </c>
      <c r="R18">
        <v>1654.8093800484576</v>
      </c>
      <c r="S18">
        <v>1610.437311457795</v>
      </c>
      <c r="T18">
        <v>897.98172038759242</v>
      </c>
    </row>
    <row r="19" spans="1:20" x14ac:dyDescent="0.35">
      <c r="A19" s="204" t="s">
        <v>122</v>
      </c>
      <c r="B19" s="204" t="s">
        <v>123</v>
      </c>
      <c r="C19">
        <v>118</v>
      </c>
      <c r="D19">
        <v>142</v>
      </c>
      <c r="E19">
        <v>152</v>
      </c>
      <c r="F19">
        <v>155</v>
      </c>
      <c r="G19">
        <v>158</v>
      </c>
      <c r="H19">
        <v>161</v>
      </c>
      <c r="I19">
        <v>165</v>
      </c>
      <c r="J19">
        <v>175.64743041714078</v>
      </c>
      <c r="K19">
        <v>222.5</v>
      </c>
      <c r="L19">
        <v>233.34165954228303</v>
      </c>
      <c r="M19">
        <v>234.18767841247447</v>
      </c>
      <c r="N19">
        <v>245.03807918946623</v>
      </c>
      <c r="O19">
        <v>255.89288456909625</v>
      </c>
      <c r="P19">
        <v>266.75211736475433</v>
      </c>
      <c r="Q19">
        <v>277.61580050799091</v>
      </c>
      <c r="R19">
        <v>288.48395704912912</v>
      </c>
      <c r="S19">
        <v>289.35661015787997</v>
      </c>
      <c r="T19">
        <v>290.23378312396045</v>
      </c>
    </row>
    <row r="20" spans="1:20" x14ac:dyDescent="0.35">
      <c r="A20" s="204" t="s">
        <v>137</v>
      </c>
      <c r="B20" s="204" t="s">
        <v>138</v>
      </c>
      <c r="C20">
        <v>4400</v>
      </c>
      <c r="D20">
        <v>4772.9605841301463</v>
      </c>
      <c r="E20">
        <v>4953.7545456502285</v>
      </c>
      <c r="F20">
        <v>5243.0248840823588</v>
      </c>
      <c r="G20">
        <v>5580.5069455865105</v>
      </c>
      <c r="H20">
        <v>6014.4124532347059</v>
      </c>
      <c r="I20">
        <v>4403</v>
      </c>
      <c r="J20">
        <v>5224</v>
      </c>
      <c r="K20">
        <v>7334</v>
      </c>
      <c r="L20">
        <v>4517</v>
      </c>
      <c r="M20">
        <v>4713</v>
      </c>
      <c r="N20">
        <v>5061</v>
      </c>
      <c r="O20">
        <v>5354</v>
      </c>
      <c r="P20">
        <v>5354</v>
      </c>
      <c r="Q20">
        <v>5563</v>
      </c>
      <c r="R20">
        <v>5761</v>
      </c>
      <c r="S20">
        <v>5860</v>
      </c>
      <c r="T20">
        <v>6044</v>
      </c>
    </row>
    <row r="21" spans="1:20" x14ac:dyDescent="0.35">
      <c r="A21" s="204" t="s">
        <v>141</v>
      </c>
      <c r="B21" s="204" t="s">
        <v>142</v>
      </c>
      <c r="C21">
        <v>972</v>
      </c>
      <c r="D21">
        <v>1025.407883173971</v>
      </c>
      <c r="E21">
        <v>1025.407883173971</v>
      </c>
      <c r="F21">
        <v>1064.2490908699549</v>
      </c>
      <c r="G21">
        <v>1126.3950231835288</v>
      </c>
      <c r="H21">
        <v>1198.8986108826984</v>
      </c>
      <c r="I21">
        <v>1292.1175093530596</v>
      </c>
      <c r="J21">
        <v>963.6</v>
      </c>
      <c r="K21">
        <v>1145.2</v>
      </c>
      <c r="L21">
        <v>1606.4</v>
      </c>
      <c r="M21">
        <v>990.6</v>
      </c>
      <c r="N21">
        <v>1033.5999999999999</v>
      </c>
      <c r="O21">
        <v>1109.5999999999999</v>
      </c>
      <c r="P21">
        <v>1172.8</v>
      </c>
      <c r="Q21">
        <v>1172.8</v>
      </c>
      <c r="R21">
        <v>1218.4000000000001</v>
      </c>
      <c r="S21">
        <v>1261.5999999999999</v>
      </c>
      <c r="T21">
        <v>1283.4000000000001</v>
      </c>
    </row>
    <row r="22" spans="1:20" x14ac:dyDescent="0.35">
      <c r="A22" s="204" t="s">
        <v>284</v>
      </c>
      <c r="B22" s="204" t="s">
        <v>282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2</v>
      </c>
      <c r="K22">
        <v>2</v>
      </c>
      <c r="L22">
        <v>3</v>
      </c>
      <c r="M22">
        <v>3</v>
      </c>
      <c r="N22">
        <v>4</v>
      </c>
      <c r="O22">
        <v>4</v>
      </c>
      <c r="P22">
        <v>4</v>
      </c>
      <c r="Q22">
        <v>6</v>
      </c>
      <c r="R22">
        <v>6</v>
      </c>
      <c r="S22">
        <v>6</v>
      </c>
      <c r="T22">
        <v>7</v>
      </c>
    </row>
  </sheetData>
  <autoFilter ref="A1:U22" xr:uid="{B1D8E1CD-D860-467F-AA35-858D4963D597}"/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4A0C-4DFD-4732-A634-9E66A476F307}">
  <sheetPr codeName="Planilha20"/>
  <dimension ref="A1:G46"/>
  <sheetViews>
    <sheetView topLeftCell="A18" workbookViewId="0">
      <selection activeCell="C5" sqref="C5"/>
    </sheetView>
  </sheetViews>
  <sheetFormatPr defaultRowHeight="14.5" x14ac:dyDescent="0.35"/>
  <cols>
    <col min="1" max="1" width="10" bestFit="1" customWidth="1"/>
    <col min="2" max="2" width="32.453125" bestFit="1" customWidth="1"/>
    <col min="3" max="3" width="12.36328125" customWidth="1"/>
  </cols>
  <sheetData>
    <row r="1" spans="1:7" ht="29" x14ac:dyDescent="0.35">
      <c r="A1" s="42" t="s">
        <v>108</v>
      </c>
      <c r="B1" s="42" t="s">
        <v>109</v>
      </c>
      <c r="C1" s="43" t="s">
        <v>110</v>
      </c>
      <c r="D1" s="44"/>
      <c r="G1" s="41" t="s">
        <v>118</v>
      </c>
    </row>
    <row r="2" spans="1:7" x14ac:dyDescent="0.35">
      <c r="A2" t="s">
        <v>107</v>
      </c>
      <c r="B2" t="s">
        <v>111</v>
      </c>
      <c r="C2" s="40">
        <v>792.5</v>
      </c>
    </row>
    <row r="3" spans="1:7" x14ac:dyDescent="0.35">
      <c r="A3" t="s">
        <v>10</v>
      </c>
      <c r="B3" t="s">
        <v>112</v>
      </c>
      <c r="C3" s="40">
        <v>750.88888888888891</v>
      </c>
    </row>
    <row r="4" spans="1:7" x14ac:dyDescent="0.35">
      <c r="A4" t="s">
        <v>6</v>
      </c>
      <c r="B4" t="s">
        <v>113</v>
      </c>
      <c r="C4" s="40">
        <v>1311.6923076923076</v>
      </c>
    </row>
    <row r="5" spans="1:7" x14ac:dyDescent="0.35">
      <c r="A5" t="s">
        <v>8</v>
      </c>
      <c r="B5" t="s">
        <v>114</v>
      </c>
      <c r="C5" s="40">
        <v>3571.090909090909</v>
      </c>
    </row>
    <row r="6" spans="1:7" x14ac:dyDescent="0.35">
      <c r="A6" t="s">
        <v>5</v>
      </c>
      <c r="B6" t="s">
        <v>115</v>
      </c>
      <c r="C6" s="40">
        <v>1244.6666666666667</v>
      </c>
    </row>
    <row r="7" spans="1:7" x14ac:dyDescent="0.35">
      <c r="A7" t="s">
        <v>17</v>
      </c>
      <c r="B7" t="s">
        <v>116</v>
      </c>
      <c r="C7" s="40">
        <v>7</v>
      </c>
    </row>
    <row r="8" spans="1:7" x14ac:dyDescent="0.35">
      <c r="A8" t="s">
        <v>18</v>
      </c>
      <c r="B8" t="s">
        <v>117</v>
      </c>
      <c r="C8" s="40">
        <v>16.428571428571427</v>
      </c>
    </row>
    <row r="9" spans="1:7" x14ac:dyDescent="0.35">
      <c r="A9" t="s">
        <v>31</v>
      </c>
      <c r="B9" t="s">
        <v>32</v>
      </c>
      <c r="C9" s="40">
        <v>160.0796460176991</v>
      </c>
    </row>
    <row r="10" spans="1:7" x14ac:dyDescent="0.35">
      <c r="A10" t="s">
        <v>33</v>
      </c>
      <c r="B10" t="s">
        <v>34</v>
      </c>
      <c r="C10" s="40">
        <v>623.7285714285714</v>
      </c>
    </row>
    <row r="11" spans="1:7" x14ac:dyDescent="0.35">
      <c r="A11" t="s">
        <v>35</v>
      </c>
      <c r="B11" t="s">
        <v>36</v>
      </c>
      <c r="C11" s="40">
        <v>548</v>
      </c>
    </row>
    <row r="12" spans="1:7" x14ac:dyDescent="0.35">
      <c r="A12" t="s">
        <v>37</v>
      </c>
      <c r="B12" t="s">
        <v>38</v>
      </c>
      <c r="C12" s="40">
        <v>337.71428571428572</v>
      </c>
    </row>
    <row r="13" spans="1:7" x14ac:dyDescent="0.35">
      <c r="A13" t="s">
        <v>39</v>
      </c>
      <c r="B13" t="s">
        <v>40</v>
      </c>
      <c r="C13" s="40">
        <v>745.93023255813955</v>
      </c>
    </row>
    <row r="14" spans="1:7" x14ac:dyDescent="0.35">
      <c r="A14" t="s">
        <v>41</v>
      </c>
      <c r="B14" t="s">
        <v>42</v>
      </c>
      <c r="C14" s="40">
        <v>616.65789473684208</v>
      </c>
    </row>
    <row r="15" spans="1:7" x14ac:dyDescent="0.35">
      <c r="A15" t="s">
        <v>43</v>
      </c>
      <c r="B15" t="s">
        <v>44</v>
      </c>
      <c r="C15" s="40">
        <v>275.875</v>
      </c>
    </row>
    <row r="16" spans="1:7" x14ac:dyDescent="0.35">
      <c r="A16" t="s">
        <v>45</v>
      </c>
      <c r="B16" t="s">
        <v>46</v>
      </c>
      <c r="C16" s="40">
        <v>275.875</v>
      </c>
    </row>
    <row r="17" spans="1:3" x14ac:dyDescent="0.35">
      <c r="A17" t="s">
        <v>47</v>
      </c>
      <c r="B17" t="s">
        <v>48</v>
      </c>
      <c r="C17" s="40">
        <v>324.07692307692309</v>
      </c>
    </row>
    <row r="18" spans="1:3" x14ac:dyDescent="0.35">
      <c r="A18" t="s">
        <v>49</v>
      </c>
      <c r="B18" t="s">
        <v>50</v>
      </c>
      <c r="C18" s="40">
        <v>324.07692307692309</v>
      </c>
    </row>
    <row r="19" spans="1:3" x14ac:dyDescent="0.35">
      <c r="A19" t="s">
        <v>51</v>
      </c>
      <c r="B19" t="s">
        <v>52</v>
      </c>
      <c r="C19" s="40">
        <v>336.41666666666669</v>
      </c>
    </row>
    <row r="20" spans="1:3" x14ac:dyDescent="0.35">
      <c r="A20" t="s">
        <v>53</v>
      </c>
      <c r="B20" t="s">
        <v>54</v>
      </c>
      <c r="C20" s="40">
        <v>336.41666666666669</v>
      </c>
    </row>
    <row r="21" spans="1:3" x14ac:dyDescent="0.35">
      <c r="A21" t="s">
        <v>55</v>
      </c>
      <c r="B21" t="s">
        <v>56</v>
      </c>
      <c r="C21" s="40">
        <v>344.95833333333331</v>
      </c>
    </row>
    <row r="22" spans="1:3" x14ac:dyDescent="0.35">
      <c r="A22" t="s">
        <v>57</v>
      </c>
      <c r="B22" t="s">
        <v>58</v>
      </c>
      <c r="C22" s="40">
        <v>344.95833333333331</v>
      </c>
    </row>
    <row r="23" spans="1:3" x14ac:dyDescent="0.35">
      <c r="A23" t="s">
        <v>59</v>
      </c>
      <c r="B23" t="s">
        <v>60</v>
      </c>
      <c r="C23" s="40">
        <v>105.6</v>
      </c>
    </row>
    <row r="24" spans="1:3" x14ac:dyDescent="0.35">
      <c r="A24" t="s">
        <v>61</v>
      </c>
      <c r="B24" t="s">
        <v>62</v>
      </c>
      <c r="C24" s="40">
        <v>644</v>
      </c>
    </row>
    <row r="25" spans="1:3" x14ac:dyDescent="0.35">
      <c r="A25" t="s">
        <v>63</v>
      </c>
      <c r="B25" t="s">
        <v>64</v>
      </c>
      <c r="C25" s="40">
        <v>216.78873239436621</v>
      </c>
    </row>
    <row r="26" spans="1:3" x14ac:dyDescent="0.35">
      <c r="A26" t="s">
        <v>65</v>
      </c>
      <c r="B26" t="s">
        <v>66</v>
      </c>
      <c r="C26" s="40">
        <v>216.78873239436621</v>
      </c>
    </row>
    <row r="27" spans="1:3" x14ac:dyDescent="0.35">
      <c r="A27" t="s">
        <v>67</v>
      </c>
      <c r="B27" t="s">
        <v>68</v>
      </c>
      <c r="C27" s="40">
        <v>216.78873239436621</v>
      </c>
    </row>
    <row r="28" spans="1:3" x14ac:dyDescent="0.35">
      <c r="A28" t="s">
        <v>69</v>
      </c>
      <c r="B28" t="s">
        <v>70</v>
      </c>
      <c r="C28" s="40">
        <v>216.78873239436621</v>
      </c>
    </row>
    <row r="29" spans="1:3" x14ac:dyDescent="0.35">
      <c r="A29" t="s">
        <v>71</v>
      </c>
      <c r="B29" t="s">
        <v>72</v>
      </c>
      <c r="C29" s="40">
        <v>414.32</v>
      </c>
    </row>
    <row r="30" spans="1:3" x14ac:dyDescent="0.35">
      <c r="A30" t="s">
        <v>73</v>
      </c>
      <c r="B30" t="s">
        <v>74</v>
      </c>
      <c r="C30" s="40">
        <v>337.71428571428572</v>
      </c>
    </row>
    <row r="31" spans="1:3" x14ac:dyDescent="0.35">
      <c r="A31" t="s">
        <v>75</v>
      </c>
      <c r="B31" t="s">
        <v>76</v>
      </c>
      <c r="C31" s="40">
        <v>72.294117647058826</v>
      </c>
    </row>
    <row r="32" spans="1:3" x14ac:dyDescent="0.35">
      <c r="A32" t="s">
        <v>77</v>
      </c>
      <c r="B32" t="s">
        <v>78</v>
      </c>
      <c r="C32" s="40">
        <v>274.2962962962963</v>
      </c>
    </row>
    <row r="33" spans="1:3" x14ac:dyDescent="0.35">
      <c r="A33" t="s">
        <v>79</v>
      </c>
      <c r="B33" t="s">
        <v>80</v>
      </c>
      <c r="C33" s="40">
        <v>202.17857142857142</v>
      </c>
    </row>
    <row r="34" spans="1:3" x14ac:dyDescent="0.35">
      <c r="A34" t="s">
        <v>81</v>
      </c>
      <c r="B34" t="s">
        <v>82</v>
      </c>
      <c r="C34" s="40">
        <v>128.23809523809524</v>
      </c>
    </row>
    <row r="35" spans="1:3" x14ac:dyDescent="0.35">
      <c r="A35" t="s">
        <v>83</v>
      </c>
      <c r="B35" t="s">
        <v>84</v>
      </c>
      <c r="C35" s="40">
        <v>21</v>
      </c>
    </row>
    <row r="36" spans="1:3" x14ac:dyDescent="0.35">
      <c r="A36" t="s">
        <v>85</v>
      </c>
      <c r="B36" t="s">
        <v>86</v>
      </c>
      <c r="C36" s="40">
        <v>21</v>
      </c>
    </row>
    <row r="37" spans="1:3" x14ac:dyDescent="0.35">
      <c r="A37" t="s">
        <v>87</v>
      </c>
      <c r="B37" t="s">
        <v>88</v>
      </c>
      <c r="C37" s="40">
        <v>25.272727272727273</v>
      </c>
    </row>
    <row r="38" spans="1:3" x14ac:dyDescent="0.35">
      <c r="A38" t="s">
        <v>89</v>
      </c>
      <c r="B38" t="s">
        <v>90</v>
      </c>
      <c r="C38" s="40">
        <v>11.5</v>
      </c>
    </row>
    <row r="39" spans="1:3" x14ac:dyDescent="0.35">
      <c r="A39" t="s">
        <v>91</v>
      </c>
      <c r="B39" t="s">
        <v>92</v>
      </c>
      <c r="C39" s="40">
        <v>23.8</v>
      </c>
    </row>
    <row r="40" spans="1:3" x14ac:dyDescent="0.35">
      <c r="A40" t="s">
        <v>93</v>
      </c>
      <c r="B40" t="s">
        <v>94</v>
      </c>
      <c r="C40" s="40">
        <v>130.27450980392157</v>
      </c>
    </row>
    <row r="41" spans="1:3" x14ac:dyDescent="0.35">
      <c r="A41" t="s">
        <v>95</v>
      </c>
      <c r="B41" t="s">
        <v>96</v>
      </c>
      <c r="C41" s="40">
        <v>0</v>
      </c>
    </row>
    <row r="42" spans="1:3" x14ac:dyDescent="0.35">
      <c r="A42" t="s">
        <v>97</v>
      </c>
      <c r="B42" t="s">
        <v>98</v>
      </c>
      <c r="C42" s="40">
        <v>317.11111111111109</v>
      </c>
    </row>
    <row r="43" spans="1:3" x14ac:dyDescent="0.35">
      <c r="A43" t="s">
        <v>99</v>
      </c>
      <c r="B43" t="s">
        <v>100</v>
      </c>
      <c r="C43" s="40">
        <v>26.666666666666668</v>
      </c>
    </row>
    <row r="44" spans="1:3" x14ac:dyDescent="0.35">
      <c r="A44" t="s">
        <v>101</v>
      </c>
      <c r="B44" t="s">
        <v>102</v>
      </c>
      <c r="C44" s="40">
        <v>55.466666666666669</v>
      </c>
    </row>
    <row r="45" spans="1:3" x14ac:dyDescent="0.35">
      <c r="A45" t="s">
        <v>103</v>
      </c>
      <c r="B45" t="s">
        <v>104</v>
      </c>
      <c r="C45" s="40">
        <v>49.571428571428569</v>
      </c>
    </row>
    <row r="46" spans="1:3" x14ac:dyDescent="0.35">
      <c r="A46" t="s">
        <v>105</v>
      </c>
      <c r="B46" t="s">
        <v>106</v>
      </c>
      <c r="C46" s="40">
        <v>105.94736842105263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88D6-CB43-4E73-AE7B-A44F5F092E63}">
  <dimension ref="A1:C25"/>
  <sheetViews>
    <sheetView workbookViewId="0">
      <selection activeCell="B14" sqref="B14"/>
    </sheetView>
  </sheetViews>
  <sheetFormatPr defaultColWidth="10.90625" defaultRowHeight="12.5" x14ac:dyDescent="0.25"/>
  <cols>
    <col min="1" max="1" width="12.1796875" style="129" bestFit="1" customWidth="1"/>
    <col min="2" max="2" width="44.1796875" style="129" bestFit="1" customWidth="1"/>
    <col min="3" max="3" width="12.90625" style="129" bestFit="1" customWidth="1"/>
    <col min="4" max="16384" width="10.90625" style="129"/>
  </cols>
  <sheetData>
    <row r="1" spans="1:3" ht="14.5" x14ac:dyDescent="0.35">
      <c r="A1" s="141" t="s">
        <v>268</v>
      </c>
      <c r="B1" s="141" t="s">
        <v>269</v>
      </c>
      <c r="C1" s="141" t="s">
        <v>260</v>
      </c>
    </row>
    <row r="2" spans="1:3" ht="14" x14ac:dyDescent="0.25">
      <c r="A2" s="122" t="s">
        <v>143</v>
      </c>
      <c r="B2" s="122" t="s">
        <v>144</v>
      </c>
    </row>
    <row r="3" spans="1:3" ht="14" x14ac:dyDescent="0.25">
      <c r="A3" s="122" t="s">
        <v>130</v>
      </c>
      <c r="B3" s="122" t="s">
        <v>131</v>
      </c>
    </row>
    <row r="4" spans="1:3" ht="14" x14ac:dyDescent="0.25">
      <c r="A4" s="122" t="s">
        <v>122</v>
      </c>
      <c r="B4" s="122" t="s">
        <v>123</v>
      </c>
    </row>
    <row r="5" spans="1:3" ht="14" x14ac:dyDescent="0.25">
      <c r="A5" s="122" t="s">
        <v>124</v>
      </c>
      <c r="B5" s="122" t="s">
        <v>125</v>
      </c>
    </row>
    <row r="6" spans="1:3" ht="14" x14ac:dyDescent="0.25">
      <c r="A6" s="122" t="s">
        <v>154</v>
      </c>
      <c r="B6" s="122" t="s">
        <v>155</v>
      </c>
    </row>
    <row r="7" spans="1:3" ht="14" x14ac:dyDescent="0.25">
      <c r="A7" s="122" t="s">
        <v>158</v>
      </c>
      <c r="B7" s="122" t="s">
        <v>159</v>
      </c>
    </row>
    <row r="8" spans="1:3" ht="14" x14ac:dyDescent="0.25">
      <c r="A8" s="122" t="s">
        <v>137</v>
      </c>
      <c r="B8" s="122" t="s">
        <v>138</v>
      </c>
    </row>
    <row r="9" spans="1:3" ht="14" x14ac:dyDescent="0.25">
      <c r="A9" s="122" t="s">
        <v>141</v>
      </c>
      <c r="B9" s="122" t="s">
        <v>142</v>
      </c>
    </row>
    <row r="10" spans="1:3" ht="14" x14ac:dyDescent="0.25">
      <c r="A10" s="122" t="s">
        <v>169</v>
      </c>
      <c r="B10" s="122" t="s">
        <v>170</v>
      </c>
    </row>
    <row r="11" spans="1:3" ht="14" x14ac:dyDescent="0.25">
      <c r="A11" s="122" t="s">
        <v>127</v>
      </c>
      <c r="B11" s="122" t="s">
        <v>128</v>
      </c>
    </row>
    <row r="12" spans="1:3" ht="14" x14ac:dyDescent="0.25">
      <c r="A12" s="122" t="s">
        <v>182</v>
      </c>
      <c r="B12" s="122" t="s">
        <v>183</v>
      </c>
    </row>
    <row r="13" spans="1:3" ht="14" x14ac:dyDescent="0.25">
      <c r="A13" s="122" t="s">
        <v>188</v>
      </c>
      <c r="B13" s="122" t="s">
        <v>189</v>
      </c>
    </row>
    <row r="14" spans="1:3" ht="14" x14ac:dyDescent="0.25">
      <c r="A14" s="122" t="s">
        <v>193</v>
      </c>
      <c r="B14" s="122" t="s">
        <v>194</v>
      </c>
    </row>
    <row r="15" spans="1:3" ht="14" x14ac:dyDescent="0.25">
      <c r="A15" s="122" t="s">
        <v>197</v>
      </c>
      <c r="B15" s="122" t="s">
        <v>198</v>
      </c>
    </row>
    <row r="16" spans="1:3" ht="14" x14ac:dyDescent="0.25">
      <c r="A16" s="122" t="s">
        <v>133</v>
      </c>
      <c r="B16" s="122" t="s">
        <v>134</v>
      </c>
    </row>
    <row r="17" spans="1:2" ht="14" x14ac:dyDescent="0.25">
      <c r="A17" s="122" t="s">
        <v>205</v>
      </c>
      <c r="B17" s="122" t="s">
        <v>206</v>
      </c>
    </row>
    <row r="18" spans="1:2" ht="14" x14ac:dyDescent="0.25">
      <c r="A18" s="122" t="s">
        <v>207</v>
      </c>
      <c r="B18" s="122" t="s">
        <v>208</v>
      </c>
    </row>
    <row r="19" spans="1:2" ht="14" x14ac:dyDescent="0.25">
      <c r="A19" s="122" t="s">
        <v>17</v>
      </c>
      <c r="B19" s="122" t="s">
        <v>280</v>
      </c>
    </row>
    <row r="20" spans="1:2" ht="14" x14ac:dyDescent="0.25">
      <c r="A20" s="122" t="s">
        <v>18</v>
      </c>
      <c r="B20" s="122" t="s">
        <v>281</v>
      </c>
    </row>
    <row r="21" spans="1:2" ht="14" x14ac:dyDescent="0.25">
      <c r="A21" s="122" t="s">
        <v>10</v>
      </c>
      <c r="B21" s="122" t="s">
        <v>11</v>
      </c>
    </row>
    <row r="22" spans="1:2" ht="14" x14ac:dyDescent="0.25">
      <c r="A22" s="122" t="s">
        <v>6</v>
      </c>
      <c r="B22" s="122" t="s">
        <v>7</v>
      </c>
    </row>
    <row r="23" spans="1:2" ht="14" x14ac:dyDescent="0.25">
      <c r="A23" s="122" t="s">
        <v>8</v>
      </c>
      <c r="B23" s="122" t="s">
        <v>9</v>
      </c>
    </row>
    <row r="24" spans="1:2" ht="14" x14ac:dyDescent="0.25">
      <c r="A24" s="122" t="s">
        <v>107</v>
      </c>
      <c r="B24" s="122" t="s">
        <v>119</v>
      </c>
    </row>
    <row r="25" spans="1:2" ht="14" x14ac:dyDescent="0.25">
      <c r="A25" s="122" t="s">
        <v>284</v>
      </c>
      <c r="B25" s="122" t="s">
        <v>282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5BCF-4598-4101-8308-48A1C323A852}">
  <sheetPr codeName="Planilha2"/>
  <dimension ref="A1:Y231"/>
  <sheetViews>
    <sheetView workbookViewId="0">
      <selection activeCell="C17" sqref="C17"/>
    </sheetView>
  </sheetViews>
  <sheetFormatPr defaultColWidth="10.90625" defaultRowHeight="12.5" x14ac:dyDescent="0.25"/>
  <cols>
    <col min="1" max="1" width="9.36328125" style="1" bestFit="1" customWidth="1"/>
    <col min="2" max="2" width="36.08984375" style="1" bestFit="1" customWidth="1"/>
    <col min="3" max="3" width="12.1796875" style="1" bestFit="1" customWidth="1"/>
    <col min="4" max="4" width="8" style="1" bestFit="1" customWidth="1"/>
    <col min="5" max="5" width="13.7265625" style="1" bestFit="1" customWidth="1"/>
    <col min="6" max="6" width="5.26953125" style="1" bestFit="1" customWidth="1"/>
    <col min="7" max="7" width="13.90625" style="1" bestFit="1" customWidth="1"/>
    <col min="8" max="8" width="11.08984375" style="1" bestFit="1" customWidth="1"/>
    <col min="9" max="9" width="7.453125" style="1" bestFit="1" customWidth="1"/>
    <col min="10" max="10" width="10.6328125" style="1" bestFit="1" customWidth="1"/>
    <col min="11" max="11" width="13.26953125" style="1" bestFit="1" customWidth="1"/>
    <col min="12" max="12" width="13.1796875" style="1" bestFit="1" customWidth="1"/>
    <col min="13" max="13" width="6.54296875" style="1" bestFit="1" customWidth="1"/>
    <col min="14" max="14" width="10.36328125" style="1" bestFit="1" customWidth="1"/>
    <col min="15" max="15" width="9.90625" style="1" bestFit="1" customWidth="1"/>
    <col min="16" max="16" width="18.453125" style="1" bestFit="1" customWidth="1"/>
    <col min="17" max="17" width="16.453125" style="1" bestFit="1" customWidth="1"/>
    <col min="18" max="18" width="15.90625" style="1" bestFit="1" customWidth="1"/>
    <col min="19" max="19" width="5.54296875" style="1" bestFit="1" customWidth="1"/>
    <col min="20" max="20" width="18.26953125" style="1" bestFit="1" customWidth="1"/>
    <col min="21" max="21" width="10.81640625" style="1" bestFit="1" customWidth="1"/>
    <col min="22" max="22" width="8.81640625" style="1" bestFit="1" customWidth="1"/>
    <col min="23" max="23" width="13.26953125" style="1" bestFit="1" customWidth="1"/>
    <col min="24" max="24" width="16.08984375" style="1" bestFit="1" customWidth="1"/>
    <col min="25" max="25" width="19.36328125" style="1" bestFit="1" customWidth="1"/>
    <col min="26" max="16384" width="10.90625" style="1"/>
  </cols>
  <sheetData>
    <row r="1" spans="1:25" x14ac:dyDescent="0.25">
      <c r="A1" s="268" t="s">
        <v>402</v>
      </c>
      <c r="B1" s="268" t="s">
        <v>403</v>
      </c>
      <c r="C1" s="268" t="s">
        <v>404</v>
      </c>
      <c r="D1" s="268" t="s">
        <v>405</v>
      </c>
      <c r="E1" s="268" t="s">
        <v>406</v>
      </c>
      <c r="F1" s="268" t="s">
        <v>288</v>
      </c>
      <c r="G1" s="268" t="s">
        <v>407</v>
      </c>
      <c r="H1" s="268" t="s">
        <v>408</v>
      </c>
      <c r="I1" s="268" t="s">
        <v>409</v>
      </c>
      <c r="J1" s="268" t="s">
        <v>410</v>
      </c>
      <c r="K1" s="268" t="s">
        <v>411</v>
      </c>
      <c r="L1" s="268" t="s">
        <v>412</v>
      </c>
      <c r="M1" s="268" t="s">
        <v>413</v>
      </c>
      <c r="N1" s="268" t="s">
        <v>2</v>
      </c>
      <c r="O1" s="268" t="s">
        <v>414</v>
      </c>
      <c r="P1" s="268" t="s">
        <v>415</v>
      </c>
      <c r="Q1" s="268" t="s">
        <v>416</v>
      </c>
      <c r="R1" s="268" t="s">
        <v>417</v>
      </c>
      <c r="S1" s="268" t="s">
        <v>418</v>
      </c>
      <c r="T1" s="268" t="s">
        <v>419</v>
      </c>
      <c r="U1" s="268" t="s">
        <v>420</v>
      </c>
      <c r="V1" s="268" t="s">
        <v>421</v>
      </c>
      <c r="W1" s="268" t="s">
        <v>422</v>
      </c>
      <c r="X1" s="268" t="s">
        <v>423</v>
      </c>
      <c r="Y1" s="268" t="s">
        <v>424</v>
      </c>
    </row>
    <row r="2" spans="1:25" x14ac:dyDescent="0.25">
      <c r="A2" s="1" t="s">
        <v>143</v>
      </c>
      <c r="B2" s="1" t="s">
        <v>144</v>
      </c>
      <c r="C2" s="269">
        <v>-16239.51</v>
      </c>
      <c r="D2" s="1" t="s">
        <v>425</v>
      </c>
      <c r="E2" s="1" t="s">
        <v>426</v>
      </c>
      <c r="F2" s="1" t="s">
        <v>258</v>
      </c>
      <c r="G2" s="1" t="s">
        <v>427</v>
      </c>
      <c r="H2" s="270">
        <v>44474</v>
      </c>
      <c r="I2" s="271">
        <v>-9</v>
      </c>
      <c r="J2" s="1" t="s">
        <v>428</v>
      </c>
      <c r="K2" s="1" t="s">
        <v>429</v>
      </c>
      <c r="N2" s="1" t="s">
        <v>327</v>
      </c>
      <c r="O2" s="270">
        <v>44475</v>
      </c>
      <c r="P2" s="1" t="s">
        <v>430</v>
      </c>
      <c r="Q2" s="1" t="s">
        <v>431</v>
      </c>
      <c r="R2" s="1" t="s">
        <v>488</v>
      </c>
      <c r="T2" s="1" t="s">
        <v>428</v>
      </c>
      <c r="U2" s="1" t="s">
        <v>489</v>
      </c>
      <c r="V2" s="1" t="s">
        <v>440</v>
      </c>
      <c r="W2" s="270">
        <v>44474</v>
      </c>
      <c r="X2" s="1" t="s">
        <v>433</v>
      </c>
    </row>
    <row r="3" spans="1:25" x14ac:dyDescent="0.25">
      <c r="A3" s="1" t="s">
        <v>143</v>
      </c>
      <c r="B3" s="1" t="s">
        <v>144</v>
      </c>
      <c r="C3" s="269">
        <v>-18043.900000000001</v>
      </c>
      <c r="D3" s="1" t="s">
        <v>425</v>
      </c>
      <c r="E3" s="1" t="s">
        <v>426</v>
      </c>
      <c r="F3" s="1" t="s">
        <v>258</v>
      </c>
      <c r="G3" s="1" t="s">
        <v>427</v>
      </c>
      <c r="H3" s="270">
        <v>44474</v>
      </c>
      <c r="I3" s="271">
        <v>-10</v>
      </c>
      <c r="J3" s="1" t="s">
        <v>428</v>
      </c>
      <c r="K3" s="1" t="s">
        <v>429</v>
      </c>
      <c r="N3" s="1" t="s">
        <v>327</v>
      </c>
      <c r="O3" s="270">
        <v>44475</v>
      </c>
      <c r="P3" s="1" t="s">
        <v>430</v>
      </c>
      <c r="Q3" s="1" t="s">
        <v>431</v>
      </c>
      <c r="R3" s="1" t="s">
        <v>490</v>
      </c>
      <c r="T3" s="1" t="s">
        <v>428</v>
      </c>
      <c r="U3" s="1" t="s">
        <v>491</v>
      </c>
      <c r="V3" s="1" t="s">
        <v>437</v>
      </c>
      <c r="W3" s="270">
        <v>44474</v>
      </c>
      <c r="X3" s="1" t="s">
        <v>433</v>
      </c>
    </row>
    <row r="4" spans="1:25" x14ac:dyDescent="0.25">
      <c r="A4" s="1" t="s">
        <v>143</v>
      </c>
      <c r="B4" s="1" t="s">
        <v>144</v>
      </c>
      <c r="C4" s="269">
        <v>-7217.56</v>
      </c>
      <c r="D4" s="1" t="s">
        <v>425</v>
      </c>
      <c r="E4" s="1" t="s">
        <v>426</v>
      </c>
      <c r="F4" s="1" t="s">
        <v>258</v>
      </c>
      <c r="G4" s="1" t="s">
        <v>427</v>
      </c>
      <c r="H4" s="270">
        <v>44474</v>
      </c>
      <c r="I4" s="271">
        <v>-4</v>
      </c>
      <c r="J4" s="1" t="s">
        <v>428</v>
      </c>
      <c r="K4" s="1" t="s">
        <v>429</v>
      </c>
      <c r="N4" s="1" t="s">
        <v>290</v>
      </c>
      <c r="O4" s="270">
        <v>44475</v>
      </c>
      <c r="P4" s="1" t="s">
        <v>430</v>
      </c>
      <c r="Q4" s="1" t="s">
        <v>431</v>
      </c>
      <c r="R4" s="1" t="s">
        <v>492</v>
      </c>
      <c r="T4" s="1" t="s">
        <v>428</v>
      </c>
      <c r="U4" s="1" t="s">
        <v>493</v>
      </c>
      <c r="V4" s="1" t="s">
        <v>439</v>
      </c>
      <c r="W4" s="270">
        <v>44474</v>
      </c>
      <c r="X4" s="1" t="s">
        <v>433</v>
      </c>
    </row>
    <row r="5" spans="1:25" x14ac:dyDescent="0.25">
      <c r="A5" s="1" t="s">
        <v>143</v>
      </c>
      <c r="B5" s="1" t="s">
        <v>144</v>
      </c>
      <c r="C5" s="269">
        <v>-73979.990000000005</v>
      </c>
      <c r="D5" s="1" t="s">
        <v>425</v>
      </c>
      <c r="E5" s="1" t="s">
        <v>426</v>
      </c>
      <c r="F5" s="1" t="s">
        <v>258</v>
      </c>
      <c r="G5" s="1" t="s">
        <v>427</v>
      </c>
      <c r="H5" s="270">
        <v>44474</v>
      </c>
      <c r="I5" s="271">
        <v>-41</v>
      </c>
      <c r="J5" s="1" t="s">
        <v>428</v>
      </c>
      <c r="K5" s="1" t="s">
        <v>429</v>
      </c>
      <c r="N5" s="1" t="s">
        <v>327</v>
      </c>
      <c r="O5" s="270">
        <v>44475</v>
      </c>
      <c r="P5" s="1" t="s">
        <v>430</v>
      </c>
      <c r="Q5" s="1" t="s">
        <v>431</v>
      </c>
      <c r="R5" s="1" t="s">
        <v>494</v>
      </c>
      <c r="T5" s="1" t="s">
        <v>428</v>
      </c>
      <c r="U5" s="1" t="s">
        <v>495</v>
      </c>
      <c r="V5" s="1" t="s">
        <v>438</v>
      </c>
      <c r="W5" s="270">
        <v>44474</v>
      </c>
      <c r="X5" s="1" t="s">
        <v>433</v>
      </c>
    </row>
    <row r="6" spans="1:25" x14ac:dyDescent="0.25">
      <c r="A6" s="1" t="s">
        <v>143</v>
      </c>
      <c r="B6" s="1" t="s">
        <v>144</v>
      </c>
      <c r="C6" s="269">
        <v>-12630.73</v>
      </c>
      <c r="D6" s="1" t="s">
        <v>425</v>
      </c>
      <c r="E6" s="1" t="s">
        <v>426</v>
      </c>
      <c r="F6" s="1" t="s">
        <v>258</v>
      </c>
      <c r="G6" s="1" t="s">
        <v>427</v>
      </c>
      <c r="H6" s="270">
        <v>44474</v>
      </c>
      <c r="I6" s="271">
        <v>-7</v>
      </c>
      <c r="J6" s="1" t="s">
        <v>428</v>
      </c>
      <c r="K6" s="1" t="s">
        <v>429</v>
      </c>
      <c r="N6" s="1" t="s">
        <v>290</v>
      </c>
      <c r="O6" s="270">
        <v>44475</v>
      </c>
      <c r="P6" s="1" t="s">
        <v>430</v>
      </c>
      <c r="Q6" s="1" t="s">
        <v>431</v>
      </c>
      <c r="R6" s="1" t="s">
        <v>486</v>
      </c>
      <c r="T6" s="1" t="s">
        <v>428</v>
      </c>
      <c r="U6" s="1" t="s">
        <v>487</v>
      </c>
      <c r="V6" s="1" t="s">
        <v>436</v>
      </c>
      <c r="W6" s="270">
        <v>44474</v>
      </c>
      <c r="X6" s="1" t="s">
        <v>433</v>
      </c>
    </row>
    <row r="7" spans="1:25" x14ac:dyDescent="0.25">
      <c r="A7" s="1" t="s">
        <v>143</v>
      </c>
      <c r="B7" s="1" t="s">
        <v>144</v>
      </c>
      <c r="C7" s="269">
        <v>-83001.94</v>
      </c>
      <c r="D7" s="1" t="s">
        <v>425</v>
      </c>
      <c r="E7" s="1" t="s">
        <v>426</v>
      </c>
      <c r="F7" s="1" t="s">
        <v>258</v>
      </c>
      <c r="G7" s="1" t="s">
        <v>427</v>
      </c>
      <c r="H7" s="270">
        <v>44474</v>
      </c>
      <c r="I7" s="271">
        <v>-46</v>
      </c>
      <c r="J7" s="1" t="s">
        <v>428</v>
      </c>
      <c r="K7" s="1" t="s">
        <v>429</v>
      </c>
      <c r="N7" s="1" t="s">
        <v>327</v>
      </c>
      <c r="O7" s="270">
        <v>44475</v>
      </c>
      <c r="P7" s="1" t="s">
        <v>430</v>
      </c>
      <c r="Q7" s="1" t="s">
        <v>431</v>
      </c>
      <c r="R7" s="1" t="s">
        <v>484</v>
      </c>
      <c r="T7" s="1" t="s">
        <v>428</v>
      </c>
      <c r="U7" s="1" t="s">
        <v>485</v>
      </c>
      <c r="V7" s="1" t="s">
        <v>438</v>
      </c>
      <c r="W7" s="270">
        <v>44474</v>
      </c>
      <c r="X7" s="1" t="s">
        <v>433</v>
      </c>
    </row>
    <row r="8" spans="1:25" x14ac:dyDescent="0.25">
      <c r="A8" s="1" t="s">
        <v>143</v>
      </c>
      <c r="B8" s="1" t="s">
        <v>144</v>
      </c>
      <c r="C8" s="269">
        <v>-328398.98</v>
      </c>
      <c r="D8" s="1" t="s">
        <v>425</v>
      </c>
      <c r="E8" s="1" t="s">
        <v>426</v>
      </c>
      <c r="F8" s="1" t="s">
        <v>258</v>
      </c>
      <c r="G8" s="1" t="s">
        <v>427</v>
      </c>
      <c r="H8" s="270">
        <v>44474</v>
      </c>
      <c r="I8" s="271">
        <v>-182</v>
      </c>
      <c r="J8" s="1" t="s">
        <v>428</v>
      </c>
      <c r="K8" s="1" t="s">
        <v>429</v>
      </c>
      <c r="N8" s="1" t="s">
        <v>290</v>
      </c>
      <c r="O8" s="270">
        <v>44475</v>
      </c>
      <c r="P8" s="1" t="s">
        <v>430</v>
      </c>
      <c r="Q8" s="1" t="s">
        <v>431</v>
      </c>
      <c r="R8" s="1" t="s">
        <v>482</v>
      </c>
      <c r="T8" s="1" t="s">
        <v>428</v>
      </c>
      <c r="U8" s="1" t="s">
        <v>483</v>
      </c>
      <c r="V8" s="1" t="s">
        <v>438</v>
      </c>
      <c r="W8" s="270">
        <v>44474</v>
      </c>
      <c r="X8" s="1" t="s">
        <v>433</v>
      </c>
    </row>
    <row r="9" spans="1:25" x14ac:dyDescent="0.25">
      <c r="A9" s="1" t="s">
        <v>143</v>
      </c>
      <c r="B9" s="1" t="s">
        <v>144</v>
      </c>
      <c r="C9" s="269">
        <v>-81197.55</v>
      </c>
      <c r="D9" s="1" t="s">
        <v>425</v>
      </c>
      <c r="E9" s="1" t="s">
        <v>426</v>
      </c>
      <c r="F9" s="1" t="s">
        <v>258</v>
      </c>
      <c r="G9" s="1" t="s">
        <v>427</v>
      </c>
      <c r="H9" s="270">
        <v>44474</v>
      </c>
      <c r="I9" s="271">
        <v>-45</v>
      </c>
      <c r="J9" s="1" t="s">
        <v>428</v>
      </c>
      <c r="K9" s="1" t="s">
        <v>429</v>
      </c>
      <c r="N9" s="1" t="s">
        <v>327</v>
      </c>
      <c r="O9" s="270">
        <v>44475</v>
      </c>
      <c r="P9" s="1" t="s">
        <v>430</v>
      </c>
      <c r="Q9" s="1" t="s">
        <v>431</v>
      </c>
      <c r="R9" s="1" t="s">
        <v>482</v>
      </c>
      <c r="T9" s="1" t="s">
        <v>428</v>
      </c>
      <c r="U9" s="1" t="s">
        <v>483</v>
      </c>
      <c r="V9" s="1" t="s">
        <v>438</v>
      </c>
      <c r="W9" s="270">
        <v>44474</v>
      </c>
      <c r="X9" s="1" t="s">
        <v>433</v>
      </c>
    </row>
    <row r="10" spans="1:25" x14ac:dyDescent="0.25">
      <c r="A10" s="1" t="s">
        <v>143</v>
      </c>
      <c r="B10" s="1" t="s">
        <v>144</v>
      </c>
      <c r="C10" s="269">
        <v>-5413.17</v>
      </c>
      <c r="D10" s="1" t="s">
        <v>425</v>
      </c>
      <c r="E10" s="1" t="s">
        <v>426</v>
      </c>
      <c r="F10" s="1" t="s">
        <v>258</v>
      </c>
      <c r="G10" s="1" t="s">
        <v>427</v>
      </c>
      <c r="H10" s="270">
        <v>44473</v>
      </c>
      <c r="I10" s="271">
        <v>-3</v>
      </c>
      <c r="J10" s="1" t="s">
        <v>428</v>
      </c>
      <c r="K10" s="1" t="s">
        <v>429</v>
      </c>
      <c r="N10" s="1" t="s">
        <v>290</v>
      </c>
      <c r="O10" s="270">
        <v>44474</v>
      </c>
      <c r="P10" s="1" t="s">
        <v>430</v>
      </c>
      <c r="Q10" s="1" t="s">
        <v>431</v>
      </c>
      <c r="R10" s="1" t="s">
        <v>498</v>
      </c>
      <c r="T10" s="1" t="s">
        <v>428</v>
      </c>
      <c r="U10" s="1" t="s">
        <v>499</v>
      </c>
      <c r="V10" s="1" t="s">
        <v>434</v>
      </c>
      <c r="W10" s="270">
        <v>44473</v>
      </c>
      <c r="X10" s="1" t="s">
        <v>433</v>
      </c>
    </row>
    <row r="11" spans="1:25" x14ac:dyDescent="0.25">
      <c r="A11" s="1" t="s">
        <v>143</v>
      </c>
      <c r="B11" s="1" t="s">
        <v>144</v>
      </c>
      <c r="C11" s="269">
        <v>-9021.9500000000007</v>
      </c>
      <c r="D11" s="1" t="s">
        <v>425</v>
      </c>
      <c r="E11" s="1" t="s">
        <v>426</v>
      </c>
      <c r="F11" s="1" t="s">
        <v>258</v>
      </c>
      <c r="G11" s="1" t="s">
        <v>427</v>
      </c>
      <c r="H11" s="270">
        <v>44473</v>
      </c>
      <c r="I11" s="271">
        <v>-5</v>
      </c>
      <c r="J11" s="1" t="s">
        <v>428</v>
      </c>
      <c r="K11" s="1" t="s">
        <v>429</v>
      </c>
      <c r="N11" s="1" t="s">
        <v>290</v>
      </c>
      <c r="O11" s="270">
        <v>44474</v>
      </c>
      <c r="P11" s="1" t="s">
        <v>430</v>
      </c>
      <c r="Q11" s="1" t="s">
        <v>431</v>
      </c>
      <c r="R11" s="1" t="s">
        <v>496</v>
      </c>
      <c r="T11" s="1" t="s">
        <v>428</v>
      </c>
      <c r="U11" s="1" t="s">
        <v>497</v>
      </c>
      <c r="V11" s="1" t="s">
        <v>435</v>
      </c>
      <c r="W11" s="270">
        <v>44473</v>
      </c>
      <c r="X11" s="1" t="s">
        <v>433</v>
      </c>
    </row>
    <row r="12" spans="1:25" x14ac:dyDescent="0.25">
      <c r="A12" s="1" t="s">
        <v>107</v>
      </c>
      <c r="B12" s="1" t="s">
        <v>336</v>
      </c>
      <c r="C12" s="269">
        <v>-6732.25</v>
      </c>
      <c r="D12" s="1" t="s">
        <v>425</v>
      </c>
      <c r="E12" s="1" t="s">
        <v>426</v>
      </c>
      <c r="F12" s="1" t="s">
        <v>258</v>
      </c>
      <c r="G12" s="1" t="s">
        <v>427</v>
      </c>
      <c r="H12" s="270">
        <v>44474</v>
      </c>
      <c r="I12" s="271">
        <v>-25</v>
      </c>
      <c r="J12" s="1" t="s">
        <v>428</v>
      </c>
      <c r="K12" s="1" t="s">
        <v>429</v>
      </c>
      <c r="N12" s="1" t="s">
        <v>249</v>
      </c>
      <c r="O12" s="270">
        <v>44475</v>
      </c>
      <c r="P12" s="1" t="s">
        <v>430</v>
      </c>
      <c r="Q12" s="1" t="s">
        <v>431</v>
      </c>
      <c r="R12" s="1" t="s">
        <v>500</v>
      </c>
      <c r="T12" s="1" t="s">
        <v>428</v>
      </c>
      <c r="U12" s="1" t="s">
        <v>501</v>
      </c>
      <c r="V12" s="1" t="s">
        <v>438</v>
      </c>
      <c r="W12" s="270">
        <v>44474</v>
      </c>
      <c r="X12" s="1" t="s">
        <v>433</v>
      </c>
    </row>
    <row r="13" spans="1:25" x14ac:dyDescent="0.25">
      <c r="A13" s="1" t="s">
        <v>10</v>
      </c>
      <c r="B13" s="1" t="s">
        <v>11</v>
      </c>
      <c r="C13" s="269">
        <v>-1257.5999999999999</v>
      </c>
      <c r="D13" s="1" t="s">
        <v>425</v>
      </c>
      <c r="E13" s="1" t="s">
        <v>426</v>
      </c>
      <c r="F13" s="1" t="s">
        <v>258</v>
      </c>
      <c r="G13" s="1" t="s">
        <v>427</v>
      </c>
      <c r="H13" s="270">
        <v>44475</v>
      </c>
      <c r="I13" s="271">
        <v>-15</v>
      </c>
      <c r="J13" s="1" t="s">
        <v>428</v>
      </c>
      <c r="K13" s="1" t="s">
        <v>429</v>
      </c>
      <c r="N13" s="1" t="s">
        <v>298</v>
      </c>
      <c r="O13" s="270">
        <v>44476</v>
      </c>
      <c r="P13" s="1" t="s">
        <v>430</v>
      </c>
      <c r="Q13" s="1" t="s">
        <v>431</v>
      </c>
      <c r="R13" s="1" t="s">
        <v>724</v>
      </c>
      <c r="T13" s="1" t="s">
        <v>428</v>
      </c>
      <c r="U13" s="1" t="s">
        <v>725</v>
      </c>
      <c r="V13" s="1" t="s">
        <v>726</v>
      </c>
      <c r="W13" s="270">
        <v>44475</v>
      </c>
      <c r="X13" s="1" t="s">
        <v>433</v>
      </c>
    </row>
    <row r="14" spans="1:25" x14ac:dyDescent="0.25">
      <c r="A14" s="1" t="s">
        <v>10</v>
      </c>
      <c r="B14" s="1" t="s">
        <v>11</v>
      </c>
      <c r="C14" s="269">
        <v>-419.2</v>
      </c>
      <c r="D14" s="1" t="s">
        <v>425</v>
      </c>
      <c r="E14" s="1" t="s">
        <v>426</v>
      </c>
      <c r="F14" s="1" t="s">
        <v>258</v>
      </c>
      <c r="G14" s="1" t="s">
        <v>427</v>
      </c>
      <c r="H14" s="270">
        <v>44475</v>
      </c>
      <c r="I14" s="271">
        <v>-5</v>
      </c>
      <c r="J14" s="1" t="s">
        <v>428</v>
      </c>
      <c r="K14" s="1" t="s">
        <v>429</v>
      </c>
      <c r="N14" s="1" t="s">
        <v>298</v>
      </c>
      <c r="O14" s="270">
        <v>44476</v>
      </c>
      <c r="P14" s="1" t="s">
        <v>430</v>
      </c>
      <c r="Q14" s="1" t="s">
        <v>431</v>
      </c>
      <c r="R14" s="1" t="s">
        <v>727</v>
      </c>
      <c r="T14" s="1" t="s">
        <v>428</v>
      </c>
      <c r="U14" s="1" t="s">
        <v>728</v>
      </c>
      <c r="V14" s="1" t="s">
        <v>729</v>
      </c>
      <c r="W14" s="270">
        <v>44475</v>
      </c>
      <c r="X14" s="1" t="s">
        <v>433</v>
      </c>
    </row>
    <row r="15" spans="1:25" x14ac:dyDescent="0.25">
      <c r="A15" s="1" t="s">
        <v>10</v>
      </c>
      <c r="B15" s="1" t="s">
        <v>11</v>
      </c>
      <c r="C15" s="269">
        <v>-838.4</v>
      </c>
      <c r="D15" s="1" t="s">
        <v>425</v>
      </c>
      <c r="E15" s="1" t="s">
        <v>426</v>
      </c>
      <c r="F15" s="1" t="s">
        <v>258</v>
      </c>
      <c r="G15" s="1" t="s">
        <v>427</v>
      </c>
      <c r="H15" s="270">
        <v>44474</v>
      </c>
      <c r="I15" s="271">
        <v>-10</v>
      </c>
      <c r="J15" s="1" t="s">
        <v>428</v>
      </c>
      <c r="K15" s="1" t="s">
        <v>429</v>
      </c>
      <c r="N15" s="1" t="s">
        <v>298</v>
      </c>
      <c r="O15" s="270">
        <v>44475</v>
      </c>
      <c r="P15" s="1" t="s">
        <v>430</v>
      </c>
      <c r="Q15" s="1" t="s">
        <v>431</v>
      </c>
      <c r="R15" s="1" t="s">
        <v>502</v>
      </c>
      <c r="T15" s="1" t="s">
        <v>428</v>
      </c>
      <c r="U15" s="1" t="s">
        <v>503</v>
      </c>
      <c r="V15" s="1" t="s">
        <v>443</v>
      </c>
      <c r="W15" s="270">
        <v>44474</v>
      </c>
      <c r="X15" s="1" t="s">
        <v>433</v>
      </c>
    </row>
    <row r="16" spans="1:25" x14ac:dyDescent="0.25">
      <c r="A16" s="1" t="s">
        <v>10</v>
      </c>
      <c r="B16" s="1" t="s">
        <v>11</v>
      </c>
      <c r="C16" s="269">
        <v>-335.36</v>
      </c>
      <c r="D16" s="1" t="s">
        <v>425</v>
      </c>
      <c r="E16" s="1" t="s">
        <v>426</v>
      </c>
      <c r="F16" s="1" t="s">
        <v>258</v>
      </c>
      <c r="G16" s="1" t="s">
        <v>427</v>
      </c>
      <c r="H16" s="270">
        <v>44473</v>
      </c>
      <c r="I16" s="271">
        <v>-4</v>
      </c>
      <c r="J16" s="1" t="s">
        <v>428</v>
      </c>
      <c r="K16" s="1" t="s">
        <v>429</v>
      </c>
      <c r="N16" s="1" t="s">
        <v>298</v>
      </c>
      <c r="O16" s="270">
        <v>44474</v>
      </c>
      <c r="P16" s="1" t="s">
        <v>430</v>
      </c>
      <c r="Q16" s="1" t="s">
        <v>431</v>
      </c>
      <c r="R16" s="1" t="s">
        <v>504</v>
      </c>
      <c r="T16" s="1" t="s">
        <v>428</v>
      </c>
      <c r="U16" s="1" t="s">
        <v>505</v>
      </c>
      <c r="V16" s="1" t="s">
        <v>467</v>
      </c>
      <c r="W16" s="270">
        <v>44473</v>
      </c>
      <c r="X16" s="1" t="s">
        <v>433</v>
      </c>
    </row>
    <row r="17" spans="1:24" x14ac:dyDescent="0.25">
      <c r="A17" s="1" t="s">
        <v>10</v>
      </c>
      <c r="B17" s="1" t="s">
        <v>11</v>
      </c>
      <c r="C17" s="269">
        <v>-335.36</v>
      </c>
      <c r="D17" s="1" t="s">
        <v>425</v>
      </c>
      <c r="E17" s="1" t="s">
        <v>426</v>
      </c>
      <c r="F17" s="1" t="s">
        <v>258</v>
      </c>
      <c r="G17" s="1" t="s">
        <v>427</v>
      </c>
      <c r="H17" s="270">
        <v>44473</v>
      </c>
      <c r="I17" s="271">
        <v>-4</v>
      </c>
      <c r="J17" s="1" t="s">
        <v>428</v>
      </c>
      <c r="K17" s="1" t="s">
        <v>429</v>
      </c>
      <c r="N17" s="1" t="s">
        <v>298</v>
      </c>
      <c r="O17" s="270">
        <v>44474</v>
      </c>
      <c r="P17" s="1" t="s">
        <v>430</v>
      </c>
      <c r="Q17" s="1" t="s">
        <v>431</v>
      </c>
      <c r="R17" s="1" t="s">
        <v>506</v>
      </c>
      <c r="T17" s="1" t="s">
        <v>428</v>
      </c>
      <c r="U17" s="1" t="s">
        <v>507</v>
      </c>
      <c r="V17" s="1" t="s">
        <v>441</v>
      </c>
      <c r="W17" s="270">
        <v>44473</v>
      </c>
      <c r="X17" s="1" t="s">
        <v>433</v>
      </c>
    </row>
    <row r="18" spans="1:24" x14ac:dyDescent="0.25">
      <c r="A18" s="1" t="s">
        <v>6</v>
      </c>
      <c r="B18" s="1" t="s">
        <v>7</v>
      </c>
      <c r="C18" s="269">
        <v>-5313.88</v>
      </c>
      <c r="D18" s="1" t="s">
        <v>425</v>
      </c>
      <c r="E18" s="1" t="s">
        <v>426</v>
      </c>
      <c r="F18" s="1" t="s">
        <v>258</v>
      </c>
      <c r="G18" s="1" t="s">
        <v>427</v>
      </c>
      <c r="H18" s="270">
        <v>44477</v>
      </c>
      <c r="I18" s="271">
        <v>-22</v>
      </c>
      <c r="J18" s="1" t="s">
        <v>428</v>
      </c>
      <c r="K18" s="1" t="s">
        <v>429</v>
      </c>
      <c r="N18" s="1" t="s">
        <v>316</v>
      </c>
      <c r="O18" s="270">
        <v>44478</v>
      </c>
      <c r="P18" s="1" t="s">
        <v>430</v>
      </c>
      <c r="Q18" s="1" t="s">
        <v>431</v>
      </c>
      <c r="R18" s="1" t="s">
        <v>730</v>
      </c>
      <c r="T18" s="1" t="s">
        <v>428</v>
      </c>
      <c r="U18" s="1" t="s">
        <v>731</v>
      </c>
      <c r="V18" s="1" t="s">
        <v>732</v>
      </c>
      <c r="W18" s="270">
        <v>44477</v>
      </c>
      <c r="X18" s="1" t="s">
        <v>433</v>
      </c>
    </row>
    <row r="19" spans="1:24" x14ac:dyDescent="0.25">
      <c r="A19" s="1" t="s">
        <v>6</v>
      </c>
      <c r="B19" s="1" t="s">
        <v>7</v>
      </c>
      <c r="C19" s="269">
        <v>-6038.5</v>
      </c>
      <c r="D19" s="1" t="s">
        <v>425</v>
      </c>
      <c r="E19" s="1" t="s">
        <v>426</v>
      </c>
      <c r="F19" s="1" t="s">
        <v>258</v>
      </c>
      <c r="G19" s="1" t="s">
        <v>427</v>
      </c>
      <c r="H19" s="270">
        <v>44476</v>
      </c>
      <c r="I19" s="271">
        <v>-25</v>
      </c>
      <c r="J19" s="1" t="s">
        <v>428</v>
      </c>
      <c r="K19" s="1" t="s">
        <v>429</v>
      </c>
      <c r="N19" s="1" t="s">
        <v>316</v>
      </c>
      <c r="O19" s="270">
        <v>44477</v>
      </c>
      <c r="P19" s="1" t="s">
        <v>430</v>
      </c>
      <c r="Q19" s="1" t="s">
        <v>431</v>
      </c>
      <c r="R19" s="1" t="s">
        <v>733</v>
      </c>
      <c r="T19" s="1" t="s">
        <v>428</v>
      </c>
      <c r="U19" s="1" t="s">
        <v>734</v>
      </c>
      <c r="V19" s="1" t="s">
        <v>735</v>
      </c>
      <c r="W19" s="270">
        <v>44476</v>
      </c>
      <c r="X19" s="1" t="s">
        <v>433</v>
      </c>
    </row>
    <row r="20" spans="1:24" x14ac:dyDescent="0.25">
      <c r="A20" s="1" t="s">
        <v>6</v>
      </c>
      <c r="B20" s="1" t="s">
        <v>7</v>
      </c>
      <c r="C20" s="269">
        <v>-6038.5</v>
      </c>
      <c r="D20" s="1" t="s">
        <v>425</v>
      </c>
      <c r="E20" s="1" t="s">
        <v>426</v>
      </c>
      <c r="F20" s="1" t="s">
        <v>258</v>
      </c>
      <c r="G20" s="1" t="s">
        <v>427</v>
      </c>
      <c r="H20" s="270">
        <v>44476</v>
      </c>
      <c r="I20" s="271">
        <v>-25</v>
      </c>
      <c r="J20" s="1" t="s">
        <v>428</v>
      </c>
      <c r="K20" s="1" t="s">
        <v>429</v>
      </c>
      <c r="N20" s="1" t="s">
        <v>316</v>
      </c>
      <c r="O20" s="270">
        <v>44477</v>
      </c>
      <c r="P20" s="1" t="s">
        <v>430</v>
      </c>
      <c r="Q20" s="1" t="s">
        <v>431</v>
      </c>
      <c r="R20" s="1" t="s">
        <v>736</v>
      </c>
      <c r="T20" s="1" t="s">
        <v>428</v>
      </c>
      <c r="U20" s="1" t="s">
        <v>737</v>
      </c>
      <c r="V20" s="1" t="s">
        <v>738</v>
      </c>
      <c r="W20" s="270">
        <v>44475</v>
      </c>
      <c r="X20" s="1" t="s">
        <v>433</v>
      </c>
    </row>
    <row r="21" spans="1:24" x14ac:dyDescent="0.25">
      <c r="A21" s="1" t="s">
        <v>6</v>
      </c>
      <c r="B21" s="1" t="s">
        <v>7</v>
      </c>
      <c r="C21" s="269">
        <v>-1932.32</v>
      </c>
      <c r="D21" s="1" t="s">
        <v>425</v>
      </c>
      <c r="E21" s="1" t="s">
        <v>426</v>
      </c>
      <c r="F21" s="1" t="s">
        <v>258</v>
      </c>
      <c r="G21" s="1" t="s">
        <v>427</v>
      </c>
      <c r="H21" s="270">
        <v>44476</v>
      </c>
      <c r="I21" s="271">
        <v>-8</v>
      </c>
      <c r="J21" s="1" t="s">
        <v>428</v>
      </c>
      <c r="K21" s="1" t="s">
        <v>429</v>
      </c>
      <c r="N21" s="1" t="s">
        <v>316</v>
      </c>
      <c r="O21" s="270">
        <v>44477</v>
      </c>
      <c r="P21" s="1" t="s">
        <v>430</v>
      </c>
      <c r="Q21" s="1" t="s">
        <v>431</v>
      </c>
      <c r="R21" s="1" t="s">
        <v>739</v>
      </c>
      <c r="T21" s="1" t="s">
        <v>428</v>
      </c>
      <c r="U21" s="1" t="s">
        <v>740</v>
      </c>
      <c r="V21" s="1" t="s">
        <v>741</v>
      </c>
      <c r="W21" s="270">
        <v>44475</v>
      </c>
      <c r="X21" s="1" t="s">
        <v>433</v>
      </c>
    </row>
    <row r="22" spans="1:24" x14ac:dyDescent="0.25">
      <c r="A22" s="1" t="s">
        <v>6</v>
      </c>
      <c r="B22" s="1" t="s">
        <v>7</v>
      </c>
      <c r="C22" s="269">
        <v>-8453.9</v>
      </c>
      <c r="D22" s="1" t="s">
        <v>425</v>
      </c>
      <c r="E22" s="1" t="s">
        <v>426</v>
      </c>
      <c r="F22" s="1" t="s">
        <v>258</v>
      </c>
      <c r="G22" s="1" t="s">
        <v>427</v>
      </c>
      <c r="H22" s="270">
        <v>44476</v>
      </c>
      <c r="I22" s="271">
        <v>-35</v>
      </c>
      <c r="J22" s="1" t="s">
        <v>428</v>
      </c>
      <c r="K22" s="1" t="s">
        <v>429</v>
      </c>
      <c r="N22" s="1" t="s">
        <v>316</v>
      </c>
      <c r="O22" s="270">
        <v>44477</v>
      </c>
      <c r="P22" s="1" t="s">
        <v>430</v>
      </c>
      <c r="Q22" s="1" t="s">
        <v>431</v>
      </c>
      <c r="R22" s="1" t="s">
        <v>742</v>
      </c>
      <c r="T22" s="1" t="s">
        <v>428</v>
      </c>
      <c r="U22" s="1" t="s">
        <v>743</v>
      </c>
      <c r="V22" s="1" t="s">
        <v>478</v>
      </c>
      <c r="W22" s="270">
        <v>44476</v>
      </c>
      <c r="X22" s="1" t="s">
        <v>433</v>
      </c>
    </row>
    <row r="23" spans="1:24" x14ac:dyDescent="0.25">
      <c r="A23" s="1" t="s">
        <v>6</v>
      </c>
      <c r="B23" s="1" t="s">
        <v>7</v>
      </c>
      <c r="C23" s="269">
        <v>-966.16</v>
      </c>
      <c r="D23" s="1" t="s">
        <v>425</v>
      </c>
      <c r="E23" s="1" t="s">
        <v>426</v>
      </c>
      <c r="F23" s="1" t="s">
        <v>258</v>
      </c>
      <c r="G23" s="1" t="s">
        <v>427</v>
      </c>
      <c r="H23" s="270">
        <v>44475</v>
      </c>
      <c r="I23" s="271">
        <v>-4</v>
      </c>
      <c r="J23" s="1" t="s">
        <v>428</v>
      </c>
      <c r="K23" s="1" t="s">
        <v>429</v>
      </c>
      <c r="N23" s="1" t="s">
        <v>316</v>
      </c>
      <c r="O23" s="270">
        <v>44476</v>
      </c>
      <c r="P23" s="1" t="s">
        <v>430</v>
      </c>
      <c r="Q23" s="1" t="s">
        <v>431</v>
      </c>
      <c r="R23" s="1" t="s">
        <v>744</v>
      </c>
      <c r="T23" s="1" t="s">
        <v>428</v>
      </c>
      <c r="U23" s="1" t="s">
        <v>745</v>
      </c>
      <c r="V23" s="1" t="s">
        <v>746</v>
      </c>
      <c r="W23" s="270">
        <v>44475</v>
      </c>
      <c r="X23" s="1" t="s">
        <v>433</v>
      </c>
    </row>
    <row r="24" spans="1:24" x14ac:dyDescent="0.25">
      <c r="A24" s="1" t="s">
        <v>6</v>
      </c>
      <c r="B24" s="1" t="s">
        <v>7</v>
      </c>
      <c r="C24" s="269">
        <v>-9661.6</v>
      </c>
      <c r="D24" s="1" t="s">
        <v>425</v>
      </c>
      <c r="E24" s="1" t="s">
        <v>426</v>
      </c>
      <c r="F24" s="1" t="s">
        <v>258</v>
      </c>
      <c r="G24" s="1" t="s">
        <v>427</v>
      </c>
      <c r="H24" s="270">
        <v>44475</v>
      </c>
      <c r="I24" s="271">
        <v>-40</v>
      </c>
      <c r="J24" s="1" t="s">
        <v>428</v>
      </c>
      <c r="K24" s="1" t="s">
        <v>429</v>
      </c>
      <c r="N24" s="1" t="s">
        <v>316</v>
      </c>
      <c r="O24" s="270">
        <v>44476</v>
      </c>
      <c r="P24" s="1" t="s">
        <v>430</v>
      </c>
      <c r="Q24" s="1" t="s">
        <v>431</v>
      </c>
      <c r="R24" s="1" t="s">
        <v>727</v>
      </c>
      <c r="T24" s="1" t="s">
        <v>428</v>
      </c>
      <c r="U24" s="1" t="s">
        <v>728</v>
      </c>
      <c r="V24" s="1" t="s">
        <v>729</v>
      </c>
      <c r="W24" s="270">
        <v>44475</v>
      </c>
      <c r="X24" s="1" t="s">
        <v>433</v>
      </c>
    </row>
    <row r="25" spans="1:24" x14ac:dyDescent="0.25">
      <c r="A25" s="1" t="s">
        <v>6</v>
      </c>
      <c r="B25" s="1" t="s">
        <v>7</v>
      </c>
      <c r="C25" s="269">
        <v>-7246.2</v>
      </c>
      <c r="D25" s="1" t="s">
        <v>425</v>
      </c>
      <c r="E25" s="1" t="s">
        <v>426</v>
      </c>
      <c r="F25" s="1" t="s">
        <v>258</v>
      </c>
      <c r="G25" s="1" t="s">
        <v>427</v>
      </c>
      <c r="H25" s="270">
        <v>44475</v>
      </c>
      <c r="I25" s="271">
        <v>-30</v>
      </c>
      <c r="J25" s="1" t="s">
        <v>428</v>
      </c>
      <c r="K25" s="1" t="s">
        <v>429</v>
      </c>
      <c r="N25" s="1" t="s">
        <v>316</v>
      </c>
      <c r="O25" s="270">
        <v>44476</v>
      </c>
      <c r="P25" s="1" t="s">
        <v>430</v>
      </c>
      <c r="Q25" s="1" t="s">
        <v>431</v>
      </c>
      <c r="R25" s="1" t="s">
        <v>747</v>
      </c>
      <c r="T25" s="1" t="s">
        <v>428</v>
      </c>
      <c r="U25" s="1" t="s">
        <v>748</v>
      </c>
      <c r="V25" s="1" t="s">
        <v>749</v>
      </c>
      <c r="W25" s="270">
        <v>44475</v>
      </c>
      <c r="X25" s="1" t="s">
        <v>433</v>
      </c>
    </row>
    <row r="26" spans="1:24" x14ac:dyDescent="0.25">
      <c r="A26" s="1" t="s">
        <v>6</v>
      </c>
      <c r="B26" s="1" t="s">
        <v>7</v>
      </c>
      <c r="C26" s="269">
        <v>-7246.2</v>
      </c>
      <c r="D26" s="1" t="s">
        <v>425</v>
      </c>
      <c r="E26" s="1" t="s">
        <v>426</v>
      </c>
      <c r="F26" s="1" t="s">
        <v>258</v>
      </c>
      <c r="G26" s="1" t="s">
        <v>427</v>
      </c>
      <c r="H26" s="270">
        <v>44475</v>
      </c>
      <c r="I26" s="271">
        <v>-30</v>
      </c>
      <c r="J26" s="1" t="s">
        <v>428</v>
      </c>
      <c r="K26" s="1" t="s">
        <v>429</v>
      </c>
      <c r="N26" s="1" t="s">
        <v>316</v>
      </c>
      <c r="O26" s="270">
        <v>44476</v>
      </c>
      <c r="P26" s="1" t="s">
        <v>430</v>
      </c>
      <c r="Q26" s="1" t="s">
        <v>431</v>
      </c>
      <c r="R26" s="1" t="s">
        <v>724</v>
      </c>
      <c r="T26" s="1" t="s">
        <v>428</v>
      </c>
      <c r="U26" s="1" t="s">
        <v>725</v>
      </c>
      <c r="V26" s="1" t="s">
        <v>726</v>
      </c>
      <c r="W26" s="270">
        <v>44475</v>
      </c>
      <c r="X26" s="1" t="s">
        <v>433</v>
      </c>
    </row>
    <row r="27" spans="1:24" x14ac:dyDescent="0.25">
      <c r="A27" s="1" t="s">
        <v>6</v>
      </c>
      <c r="B27" s="1" t="s">
        <v>7</v>
      </c>
      <c r="C27" s="269">
        <v>-14975.48</v>
      </c>
      <c r="D27" s="1" t="s">
        <v>425</v>
      </c>
      <c r="E27" s="1" t="s">
        <v>426</v>
      </c>
      <c r="F27" s="1" t="s">
        <v>258</v>
      </c>
      <c r="G27" s="1" t="s">
        <v>427</v>
      </c>
      <c r="H27" s="270">
        <v>44474</v>
      </c>
      <c r="I27" s="271">
        <v>-62</v>
      </c>
      <c r="J27" s="1" t="s">
        <v>428</v>
      </c>
      <c r="K27" s="1" t="s">
        <v>429</v>
      </c>
      <c r="N27" s="1" t="s">
        <v>316</v>
      </c>
      <c r="O27" s="270">
        <v>44475</v>
      </c>
      <c r="P27" s="1" t="s">
        <v>430</v>
      </c>
      <c r="Q27" s="1" t="s">
        <v>431</v>
      </c>
      <c r="R27" s="1" t="s">
        <v>512</v>
      </c>
      <c r="T27" s="1" t="s">
        <v>428</v>
      </c>
      <c r="U27" s="1" t="s">
        <v>513</v>
      </c>
      <c r="V27" s="1" t="s">
        <v>514</v>
      </c>
      <c r="W27" s="270">
        <v>44474</v>
      </c>
      <c r="X27" s="1" t="s">
        <v>433</v>
      </c>
    </row>
    <row r="28" spans="1:24" x14ac:dyDescent="0.25">
      <c r="A28" s="1" t="s">
        <v>6</v>
      </c>
      <c r="B28" s="1" t="s">
        <v>7</v>
      </c>
      <c r="C28" s="269">
        <v>-7246.2</v>
      </c>
      <c r="D28" s="1" t="s">
        <v>425</v>
      </c>
      <c r="E28" s="1" t="s">
        <v>426</v>
      </c>
      <c r="F28" s="1" t="s">
        <v>258</v>
      </c>
      <c r="G28" s="1" t="s">
        <v>427</v>
      </c>
      <c r="H28" s="270">
        <v>44474</v>
      </c>
      <c r="I28" s="271">
        <v>-30</v>
      </c>
      <c r="J28" s="1" t="s">
        <v>428</v>
      </c>
      <c r="K28" s="1" t="s">
        <v>429</v>
      </c>
      <c r="N28" s="1" t="s">
        <v>316</v>
      </c>
      <c r="O28" s="270">
        <v>44475</v>
      </c>
      <c r="P28" s="1" t="s">
        <v>430</v>
      </c>
      <c r="Q28" s="1" t="s">
        <v>431</v>
      </c>
      <c r="R28" s="1" t="s">
        <v>508</v>
      </c>
      <c r="T28" s="1" t="s">
        <v>428</v>
      </c>
      <c r="U28" s="1" t="s">
        <v>509</v>
      </c>
      <c r="V28" s="1" t="s">
        <v>442</v>
      </c>
      <c r="W28" s="270">
        <v>44474</v>
      </c>
      <c r="X28" s="1" t="s">
        <v>433</v>
      </c>
    </row>
    <row r="29" spans="1:24" x14ac:dyDescent="0.25">
      <c r="A29" s="1" t="s">
        <v>6</v>
      </c>
      <c r="B29" s="1" t="s">
        <v>7</v>
      </c>
      <c r="C29" s="269">
        <v>-114248.42</v>
      </c>
      <c r="D29" s="1" t="s">
        <v>425</v>
      </c>
      <c r="E29" s="1" t="s">
        <v>426</v>
      </c>
      <c r="F29" s="1" t="s">
        <v>258</v>
      </c>
      <c r="G29" s="1" t="s">
        <v>427</v>
      </c>
      <c r="H29" s="270">
        <v>44474</v>
      </c>
      <c r="I29" s="271">
        <v>-473</v>
      </c>
      <c r="J29" s="1" t="s">
        <v>428</v>
      </c>
      <c r="K29" s="1" t="s">
        <v>429</v>
      </c>
      <c r="N29" s="1" t="s">
        <v>316</v>
      </c>
      <c r="O29" s="270">
        <v>44475</v>
      </c>
      <c r="P29" s="1" t="s">
        <v>430</v>
      </c>
      <c r="Q29" s="1" t="s">
        <v>431</v>
      </c>
      <c r="R29" s="1" t="s">
        <v>502</v>
      </c>
      <c r="T29" s="1" t="s">
        <v>428</v>
      </c>
      <c r="U29" s="1" t="s">
        <v>503</v>
      </c>
      <c r="V29" s="1" t="s">
        <v>443</v>
      </c>
      <c r="W29" s="270">
        <v>44474</v>
      </c>
      <c r="X29" s="1" t="s">
        <v>433</v>
      </c>
    </row>
    <row r="30" spans="1:24" x14ac:dyDescent="0.25">
      <c r="A30" s="1" t="s">
        <v>6</v>
      </c>
      <c r="B30" s="1" t="s">
        <v>7</v>
      </c>
      <c r="C30" s="269">
        <v>-18115.5</v>
      </c>
      <c r="D30" s="1" t="s">
        <v>425</v>
      </c>
      <c r="E30" s="1" t="s">
        <v>426</v>
      </c>
      <c r="F30" s="1" t="s">
        <v>258</v>
      </c>
      <c r="G30" s="1" t="s">
        <v>427</v>
      </c>
      <c r="H30" s="270">
        <v>44474</v>
      </c>
      <c r="I30" s="271">
        <v>-75</v>
      </c>
      <c r="J30" s="1" t="s">
        <v>428</v>
      </c>
      <c r="K30" s="1" t="s">
        <v>429</v>
      </c>
      <c r="N30" s="1" t="s">
        <v>316</v>
      </c>
      <c r="O30" s="270">
        <v>44475</v>
      </c>
      <c r="P30" s="1" t="s">
        <v>430</v>
      </c>
      <c r="Q30" s="1" t="s">
        <v>431</v>
      </c>
      <c r="R30" s="1" t="s">
        <v>510</v>
      </c>
      <c r="T30" s="1" t="s">
        <v>428</v>
      </c>
      <c r="U30" s="1" t="s">
        <v>511</v>
      </c>
      <c r="V30" s="1" t="s">
        <v>445</v>
      </c>
      <c r="W30" s="270">
        <v>44474</v>
      </c>
      <c r="X30" s="1" t="s">
        <v>433</v>
      </c>
    </row>
    <row r="31" spans="1:24" x14ac:dyDescent="0.25">
      <c r="A31" s="1" t="s">
        <v>6</v>
      </c>
      <c r="B31" s="1" t="s">
        <v>7</v>
      </c>
      <c r="C31" s="269">
        <v>-4347.72</v>
      </c>
      <c r="D31" s="1" t="s">
        <v>425</v>
      </c>
      <c r="E31" s="1" t="s">
        <v>426</v>
      </c>
      <c r="F31" s="1" t="s">
        <v>258</v>
      </c>
      <c r="G31" s="1" t="s">
        <v>427</v>
      </c>
      <c r="H31" s="270">
        <v>44473</v>
      </c>
      <c r="I31" s="271">
        <v>-18</v>
      </c>
      <c r="J31" s="1" t="s">
        <v>428</v>
      </c>
      <c r="K31" s="1" t="s">
        <v>429</v>
      </c>
      <c r="N31" s="1" t="s">
        <v>316</v>
      </c>
      <c r="O31" s="270">
        <v>44474</v>
      </c>
      <c r="P31" s="1" t="s">
        <v>430</v>
      </c>
      <c r="Q31" s="1" t="s">
        <v>431</v>
      </c>
      <c r="R31" s="1" t="s">
        <v>506</v>
      </c>
      <c r="T31" s="1" t="s">
        <v>428</v>
      </c>
      <c r="U31" s="1" t="s">
        <v>507</v>
      </c>
      <c r="V31" s="1" t="s">
        <v>441</v>
      </c>
      <c r="W31" s="270">
        <v>44473</v>
      </c>
      <c r="X31" s="1" t="s">
        <v>433</v>
      </c>
    </row>
    <row r="32" spans="1:24" x14ac:dyDescent="0.25">
      <c r="A32" s="1" t="s">
        <v>8</v>
      </c>
      <c r="B32" s="1" t="s">
        <v>9</v>
      </c>
      <c r="C32" s="269">
        <v>-5658.51</v>
      </c>
      <c r="D32" s="1" t="s">
        <v>425</v>
      </c>
      <c r="E32" s="1" t="s">
        <v>426</v>
      </c>
      <c r="F32" s="1" t="s">
        <v>258</v>
      </c>
      <c r="G32" s="1" t="s">
        <v>427</v>
      </c>
      <c r="H32" s="270">
        <v>44477</v>
      </c>
      <c r="I32" s="271">
        <v>-33</v>
      </c>
      <c r="J32" s="1" t="s">
        <v>428</v>
      </c>
      <c r="K32" s="1" t="s">
        <v>429</v>
      </c>
      <c r="N32" s="1" t="s">
        <v>329</v>
      </c>
      <c r="O32" s="270">
        <v>44478</v>
      </c>
      <c r="P32" s="1" t="s">
        <v>430</v>
      </c>
      <c r="Q32" s="1" t="s">
        <v>431</v>
      </c>
      <c r="R32" s="1" t="s">
        <v>750</v>
      </c>
      <c r="T32" s="1" t="s">
        <v>428</v>
      </c>
      <c r="U32" s="1" t="s">
        <v>751</v>
      </c>
      <c r="V32" s="1" t="s">
        <v>732</v>
      </c>
      <c r="W32" s="270">
        <v>44477</v>
      </c>
      <c r="X32" s="1" t="s">
        <v>433</v>
      </c>
    </row>
    <row r="33" spans="1:24" x14ac:dyDescent="0.25">
      <c r="A33" s="1" t="s">
        <v>8</v>
      </c>
      <c r="B33" s="1" t="s">
        <v>9</v>
      </c>
      <c r="C33" s="269">
        <v>-22291.1</v>
      </c>
      <c r="D33" s="1" t="s">
        <v>425</v>
      </c>
      <c r="E33" s="1" t="s">
        <v>426</v>
      </c>
      <c r="F33" s="1" t="s">
        <v>258</v>
      </c>
      <c r="G33" s="1" t="s">
        <v>427</v>
      </c>
      <c r="H33" s="270">
        <v>44476</v>
      </c>
      <c r="I33" s="271">
        <v>-130</v>
      </c>
      <c r="J33" s="1" t="s">
        <v>428</v>
      </c>
      <c r="K33" s="1" t="s">
        <v>429</v>
      </c>
      <c r="N33" s="1" t="s">
        <v>329</v>
      </c>
      <c r="O33" s="270">
        <v>44477</v>
      </c>
      <c r="P33" s="1" t="s">
        <v>430</v>
      </c>
      <c r="Q33" s="1" t="s">
        <v>431</v>
      </c>
      <c r="R33" s="1" t="s">
        <v>742</v>
      </c>
      <c r="T33" s="1" t="s">
        <v>428</v>
      </c>
      <c r="U33" s="1" t="s">
        <v>743</v>
      </c>
      <c r="V33" s="1" t="s">
        <v>478</v>
      </c>
      <c r="W33" s="270">
        <v>44476</v>
      </c>
      <c r="X33" s="1" t="s">
        <v>433</v>
      </c>
    </row>
    <row r="34" spans="1:24" x14ac:dyDescent="0.25">
      <c r="A34" s="1" t="s">
        <v>8</v>
      </c>
      <c r="B34" s="1" t="s">
        <v>9</v>
      </c>
      <c r="C34" s="269">
        <v>-1714.7</v>
      </c>
      <c r="D34" s="1" t="s">
        <v>425</v>
      </c>
      <c r="E34" s="1" t="s">
        <v>426</v>
      </c>
      <c r="F34" s="1" t="s">
        <v>258</v>
      </c>
      <c r="G34" s="1" t="s">
        <v>427</v>
      </c>
      <c r="H34" s="270">
        <v>44476</v>
      </c>
      <c r="I34" s="271">
        <v>-10</v>
      </c>
      <c r="J34" s="1" t="s">
        <v>428</v>
      </c>
      <c r="K34" s="1" t="s">
        <v>429</v>
      </c>
      <c r="N34" s="1" t="s">
        <v>329</v>
      </c>
      <c r="O34" s="270">
        <v>44477</v>
      </c>
      <c r="P34" s="1" t="s">
        <v>430</v>
      </c>
      <c r="Q34" s="1" t="s">
        <v>431</v>
      </c>
      <c r="R34" s="1" t="s">
        <v>733</v>
      </c>
      <c r="T34" s="1" t="s">
        <v>428</v>
      </c>
      <c r="U34" s="1" t="s">
        <v>734</v>
      </c>
      <c r="V34" s="1" t="s">
        <v>735</v>
      </c>
      <c r="W34" s="270">
        <v>44476</v>
      </c>
      <c r="X34" s="1" t="s">
        <v>433</v>
      </c>
    </row>
    <row r="35" spans="1:24" x14ac:dyDescent="0.25">
      <c r="A35" s="1" t="s">
        <v>8</v>
      </c>
      <c r="B35" s="1" t="s">
        <v>9</v>
      </c>
      <c r="C35" s="269">
        <v>-3429.4</v>
      </c>
      <c r="D35" s="1" t="s">
        <v>425</v>
      </c>
      <c r="E35" s="1" t="s">
        <v>426</v>
      </c>
      <c r="F35" s="1" t="s">
        <v>258</v>
      </c>
      <c r="G35" s="1" t="s">
        <v>427</v>
      </c>
      <c r="H35" s="270">
        <v>44476</v>
      </c>
      <c r="I35" s="271">
        <v>-20</v>
      </c>
      <c r="J35" s="1" t="s">
        <v>428</v>
      </c>
      <c r="K35" s="1" t="s">
        <v>429</v>
      </c>
      <c r="N35" s="1" t="s">
        <v>329</v>
      </c>
      <c r="O35" s="270">
        <v>44477</v>
      </c>
      <c r="P35" s="1" t="s">
        <v>430</v>
      </c>
      <c r="Q35" s="1" t="s">
        <v>431</v>
      </c>
      <c r="R35" s="1" t="s">
        <v>736</v>
      </c>
      <c r="T35" s="1" t="s">
        <v>428</v>
      </c>
      <c r="U35" s="1" t="s">
        <v>737</v>
      </c>
      <c r="V35" s="1" t="s">
        <v>738</v>
      </c>
      <c r="W35" s="270">
        <v>44475</v>
      </c>
      <c r="X35" s="1" t="s">
        <v>433</v>
      </c>
    </row>
    <row r="36" spans="1:24" x14ac:dyDescent="0.25">
      <c r="A36" s="1" t="s">
        <v>8</v>
      </c>
      <c r="B36" s="1" t="s">
        <v>9</v>
      </c>
      <c r="C36" s="269">
        <v>-857.35</v>
      </c>
      <c r="D36" s="1" t="s">
        <v>425</v>
      </c>
      <c r="E36" s="1" t="s">
        <v>426</v>
      </c>
      <c r="F36" s="1" t="s">
        <v>258</v>
      </c>
      <c r="G36" s="1" t="s">
        <v>427</v>
      </c>
      <c r="H36" s="270">
        <v>44476</v>
      </c>
      <c r="I36" s="271">
        <v>-5</v>
      </c>
      <c r="J36" s="1" t="s">
        <v>428</v>
      </c>
      <c r="K36" s="1" t="s">
        <v>429</v>
      </c>
      <c r="N36" s="1" t="s">
        <v>329</v>
      </c>
      <c r="O36" s="270">
        <v>44477</v>
      </c>
      <c r="P36" s="1" t="s">
        <v>430</v>
      </c>
      <c r="Q36" s="1" t="s">
        <v>431</v>
      </c>
      <c r="R36" s="1" t="s">
        <v>739</v>
      </c>
      <c r="T36" s="1" t="s">
        <v>428</v>
      </c>
      <c r="U36" s="1" t="s">
        <v>740</v>
      </c>
      <c r="V36" s="1" t="s">
        <v>741</v>
      </c>
      <c r="W36" s="270">
        <v>44475</v>
      </c>
      <c r="X36" s="1" t="s">
        <v>433</v>
      </c>
    </row>
    <row r="37" spans="1:24" x14ac:dyDescent="0.25">
      <c r="A37" s="1" t="s">
        <v>8</v>
      </c>
      <c r="B37" s="1" t="s">
        <v>9</v>
      </c>
      <c r="C37" s="269">
        <v>-2572.0500000000002</v>
      </c>
      <c r="D37" s="1" t="s">
        <v>425</v>
      </c>
      <c r="E37" s="1" t="s">
        <v>426</v>
      </c>
      <c r="F37" s="1" t="s">
        <v>258</v>
      </c>
      <c r="G37" s="1" t="s">
        <v>427</v>
      </c>
      <c r="H37" s="270">
        <v>44475</v>
      </c>
      <c r="I37" s="271">
        <v>-15</v>
      </c>
      <c r="J37" s="1" t="s">
        <v>428</v>
      </c>
      <c r="K37" s="1" t="s">
        <v>429</v>
      </c>
      <c r="N37" s="1" t="s">
        <v>329</v>
      </c>
      <c r="O37" s="270">
        <v>44476</v>
      </c>
      <c r="P37" s="1" t="s">
        <v>430</v>
      </c>
      <c r="Q37" s="1" t="s">
        <v>431</v>
      </c>
      <c r="R37" s="1" t="s">
        <v>724</v>
      </c>
      <c r="T37" s="1" t="s">
        <v>428</v>
      </c>
      <c r="U37" s="1" t="s">
        <v>725</v>
      </c>
      <c r="V37" s="1" t="s">
        <v>726</v>
      </c>
      <c r="W37" s="270">
        <v>44475</v>
      </c>
      <c r="X37" s="1" t="s">
        <v>433</v>
      </c>
    </row>
    <row r="38" spans="1:24" x14ac:dyDescent="0.25">
      <c r="A38" s="1" t="s">
        <v>8</v>
      </c>
      <c r="B38" s="1" t="s">
        <v>9</v>
      </c>
      <c r="C38" s="269">
        <v>-12860.25</v>
      </c>
      <c r="D38" s="1" t="s">
        <v>425</v>
      </c>
      <c r="E38" s="1" t="s">
        <v>426</v>
      </c>
      <c r="F38" s="1" t="s">
        <v>258</v>
      </c>
      <c r="G38" s="1" t="s">
        <v>427</v>
      </c>
      <c r="H38" s="270">
        <v>44475</v>
      </c>
      <c r="I38" s="271">
        <v>-75</v>
      </c>
      <c r="J38" s="1" t="s">
        <v>428</v>
      </c>
      <c r="K38" s="1" t="s">
        <v>429</v>
      </c>
      <c r="N38" s="1" t="s">
        <v>329</v>
      </c>
      <c r="O38" s="270">
        <v>44476</v>
      </c>
      <c r="P38" s="1" t="s">
        <v>430</v>
      </c>
      <c r="Q38" s="1" t="s">
        <v>431</v>
      </c>
      <c r="R38" s="1" t="s">
        <v>727</v>
      </c>
      <c r="T38" s="1" t="s">
        <v>428</v>
      </c>
      <c r="U38" s="1" t="s">
        <v>728</v>
      </c>
      <c r="V38" s="1" t="s">
        <v>729</v>
      </c>
      <c r="W38" s="270">
        <v>44475</v>
      </c>
      <c r="X38" s="1" t="s">
        <v>433</v>
      </c>
    </row>
    <row r="39" spans="1:24" x14ac:dyDescent="0.25">
      <c r="A39" s="1" t="s">
        <v>8</v>
      </c>
      <c r="B39" s="1" t="s">
        <v>9</v>
      </c>
      <c r="C39" s="269">
        <v>-17147</v>
      </c>
      <c r="D39" s="1" t="s">
        <v>425</v>
      </c>
      <c r="E39" s="1" t="s">
        <v>426</v>
      </c>
      <c r="F39" s="1" t="s">
        <v>258</v>
      </c>
      <c r="G39" s="1" t="s">
        <v>427</v>
      </c>
      <c r="H39" s="270">
        <v>44474</v>
      </c>
      <c r="I39" s="271">
        <v>-100</v>
      </c>
      <c r="J39" s="1" t="s">
        <v>428</v>
      </c>
      <c r="K39" s="1" t="s">
        <v>429</v>
      </c>
      <c r="N39" s="1" t="s">
        <v>329</v>
      </c>
      <c r="O39" s="270">
        <v>44475</v>
      </c>
      <c r="P39" s="1" t="s">
        <v>430</v>
      </c>
      <c r="Q39" s="1" t="s">
        <v>431</v>
      </c>
      <c r="R39" s="1" t="s">
        <v>508</v>
      </c>
      <c r="T39" s="1" t="s">
        <v>428</v>
      </c>
      <c r="U39" s="1" t="s">
        <v>509</v>
      </c>
      <c r="V39" s="1" t="s">
        <v>442</v>
      </c>
      <c r="W39" s="270">
        <v>44474</v>
      </c>
      <c r="X39" s="1" t="s">
        <v>433</v>
      </c>
    </row>
    <row r="40" spans="1:24" x14ac:dyDescent="0.25">
      <c r="A40" s="1" t="s">
        <v>8</v>
      </c>
      <c r="B40" s="1" t="s">
        <v>9</v>
      </c>
      <c r="C40" s="269">
        <v>-107511.69</v>
      </c>
      <c r="D40" s="1" t="s">
        <v>425</v>
      </c>
      <c r="E40" s="1" t="s">
        <v>426</v>
      </c>
      <c r="F40" s="1" t="s">
        <v>258</v>
      </c>
      <c r="G40" s="1" t="s">
        <v>427</v>
      </c>
      <c r="H40" s="270">
        <v>44474</v>
      </c>
      <c r="I40" s="271">
        <v>-627</v>
      </c>
      <c r="J40" s="1" t="s">
        <v>428</v>
      </c>
      <c r="K40" s="1" t="s">
        <v>429</v>
      </c>
      <c r="N40" s="1" t="s">
        <v>329</v>
      </c>
      <c r="O40" s="270">
        <v>44475</v>
      </c>
      <c r="P40" s="1" t="s">
        <v>430</v>
      </c>
      <c r="Q40" s="1" t="s">
        <v>431</v>
      </c>
      <c r="R40" s="1" t="s">
        <v>502</v>
      </c>
      <c r="T40" s="1" t="s">
        <v>428</v>
      </c>
      <c r="U40" s="1" t="s">
        <v>503</v>
      </c>
      <c r="V40" s="1" t="s">
        <v>443</v>
      </c>
      <c r="W40" s="270">
        <v>44474</v>
      </c>
      <c r="X40" s="1" t="s">
        <v>433</v>
      </c>
    </row>
    <row r="41" spans="1:24" x14ac:dyDescent="0.25">
      <c r="A41" s="1" t="s">
        <v>8</v>
      </c>
      <c r="B41" s="1" t="s">
        <v>9</v>
      </c>
      <c r="C41" s="269">
        <v>-1028.82</v>
      </c>
      <c r="D41" s="1" t="s">
        <v>425</v>
      </c>
      <c r="E41" s="1" t="s">
        <v>426</v>
      </c>
      <c r="F41" s="1" t="s">
        <v>258</v>
      </c>
      <c r="G41" s="1" t="s">
        <v>427</v>
      </c>
      <c r="H41" s="270">
        <v>44474</v>
      </c>
      <c r="I41" s="271">
        <v>-6</v>
      </c>
      <c r="J41" s="1" t="s">
        <v>428</v>
      </c>
      <c r="K41" s="1" t="s">
        <v>429</v>
      </c>
      <c r="N41" s="1" t="s">
        <v>329</v>
      </c>
      <c r="O41" s="270">
        <v>44475</v>
      </c>
      <c r="P41" s="1" t="s">
        <v>430</v>
      </c>
      <c r="Q41" s="1" t="s">
        <v>431</v>
      </c>
      <c r="R41" s="1" t="s">
        <v>517</v>
      </c>
      <c r="T41" s="1" t="s">
        <v>428</v>
      </c>
      <c r="U41" s="1" t="s">
        <v>518</v>
      </c>
      <c r="V41" s="1" t="s">
        <v>519</v>
      </c>
      <c r="W41" s="270">
        <v>44474</v>
      </c>
      <c r="X41" s="1" t="s">
        <v>433</v>
      </c>
    </row>
    <row r="42" spans="1:24" x14ac:dyDescent="0.25">
      <c r="A42" s="1" t="s">
        <v>8</v>
      </c>
      <c r="B42" s="1" t="s">
        <v>9</v>
      </c>
      <c r="C42" s="269">
        <v>-5829.98</v>
      </c>
      <c r="D42" s="1" t="s">
        <v>425</v>
      </c>
      <c r="E42" s="1" t="s">
        <v>426</v>
      </c>
      <c r="F42" s="1" t="s">
        <v>258</v>
      </c>
      <c r="G42" s="1" t="s">
        <v>427</v>
      </c>
      <c r="H42" s="270">
        <v>44474</v>
      </c>
      <c r="I42" s="271">
        <v>-34</v>
      </c>
      <c r="J42" s="1" t="s">
        <v>428</v>
      </c>
      <c r="K42" s="1" t="s">
        <v>429</v>
      </c>
      <c r="N42" s="1" t="s">
        <v>329</v>
      </c>
      <c r="O42" s="270">
        <v>44475</v>
      </c>
      <c r="P42" s="1" t="s">
        <v>430</v>
      </c>
      <c r="Q42" s="1" t="s">
        <v>431</v>
      </c>
      <c r="R42" s="1" t="s">
        <v>512</v>
      </c>
      <c r="T42" s="1" t="s">
        <v>428</v>
      </c>
      <c r="U42" s="1" t="s">
        <v>513</v>
      </c>
      <c r="V42" s="1" t="s">
        <v>514</v>
      </c>
      <c r="W42" s="270">
        <v>44474</v>
      </c>
      <c r="X42" s="1" t="s">
        <v>433</v>
      </c>
    </row>
    <row r="43" spans="1:24" x14ac:dyDescent="0.25">
      <c r="A43" s="1" t="s">
        <v>8</v>
      </c>
      <c r="B43" s="1" t="s">
        <v>9</v>
      </c>
      <c r="C43" s="269">
        <v>-1200.29</v>
      </c>
      <c r="D43" s="1" t="s">
        <v>425</v>
      </c>
      <c r="E43" s="1" t="s">
        <v>426</v>
      </c>
      <c r="F43" s="1" t="s">
        <v>258</v>
      </c>
      <c r="G43" s="1" t="s">
        <v>427</v>
      </c>
      <c r="H43" s="270">
        <v>44474</v>
      </c>
      <c r="I43" s="271">
        <v>-7</v>
      </c>
      <c r="J43" s="1" t="s">
        <v>428</v>
      </c>
      <c r="K43" s="1" t="s">
        <v>429</v>
      </c>
      <c r="N43" s="1" t="s">
        <v>329</v>
      </c>
      <c r="O43" s="270">
        <v>44475</v>
      </c>
      <c r="P43" s="1" t="s">
        <v>430</v>
      </c>
      <c r="Q43" s="1" t="s">
        <v>431</v>
      </c>
      <c r="R43" s="1" t="s">
        <v>515</v>
      </c>
      <c r="T43" s="1" t="s">
        <v>428</v>
      </c>
      <c r="U43" s="1" t="s">
        <v>516</v>
      </c>
      <c r="V43" s="1" t="s">
        <v>478</v>
      </c>
      <c r="W43" s="270">
        <v>44474</v>
      </c>
      <c r="X43" s="1" t="s">
        <v>433</v>
      </c>
    </row>
    <row r="44" spans="1:24" x14ac:dyDescent="0.25">
      <c r="A44" s="1" t="s">
        <v>8</v>
      </c>
      <c r="B44" s="1" t="s">
        <v>9</v>
      </c>
      <c r="C44" s="269">
        <v>-342.94</v>
      </c>
      <c r="D44" s="1" t="s">
        <v>425</v>
      </c>
      <c r="E44" s="1" t="s">
        <v>426</v>
      </c>
      <c r="F44" s="1" t="s">
        <v>258</v>
      </c>
      <c r="G44" s="1" t="s">
        <v>427</v>
      </c>
      <c r="H44" s="270">
        <v>44473</v>
      </c>
      <c r="I44" s="271">
        <v>-2</v>
      </c>
      <c r="J44" s="1" t="s">
        <v>428</v>
      </c>
      <c r="K44" s="1" t="s">
        <v>429</v>
      </c>
      <c r="N44" s="1" t="s">
        <v>329</v>
      </c>
      <c r="O44" s="270">
        <v>44474</v>
      </c>
      <c r="P44" s="1" t="s">
        <v>430</v>
      </c>
      <c r="Q44" s="1" t="s">
        <v>431</v>
      </c>
      <c r="R44" s="1" t="s">
        <v>520</v>
      </c>
      <c r="T44" s="1" t="s">
        <v>428</v>
      </c>
      <c r="U44" s="1" t="s">
        <v>521</v>
      </c>
      <c r="V44" s="1" t="s">
        <v>444</v>
      </c>
      <c r="W44" s="270">
        <v>44473</v>
      </c>
      <c r="X44" s="1" t="s">
        <v>433</v>
      </c>
    </row>
    <row r="45" spans="1:24" x14ac:dyDescent="0.25">
      <c r="A45" s="1" t="s">
        <v>8</v>
      </c>
      <c r="B45" s="1" t="s">
        <v>9</v>
      </c>
      <c r="C45" s="269">
        <v>-8573.5</v>
      </c>
      <c r="D45" s="1" t="s">
        <v>425</v>
      </c>
      <c r="E45" s="1" t="s">
        <v>426</v>
      </c>
      <c r="F45" s="1" t="s">
        <v>258</v>
      </c>
      <c r="G45" s="1" t="s">
        <v>427</v>
      </c>
      <c r="H45" s="270">
        <v>44473</v>
      </c>
      <c r="I45" s="271">
        <v>-50</v>
      </c>
      <c r="J45" s="1" t="s">
        <v>428</v>
      </c>
      <c r="K45" s="1" t="s">
        <v>429</v>
      </c>
      <c r="N45" s="1" t="s">
        <v>329</v>
      </c>
      <c r="O45" s="270">
        <v>44474</v>
      </c>
      <c r="P45" s="1" t="s">
        <v>430</v>
      </c>
      <c r="Q45" s="1" t="s">
        <v>431</v>
      </c>
      <c r="R45" s="1" t="s">
        <v>506</v>
      </c>
      <c r="T45" s="1" t="s">
        <v>428</v>
      </c>
      <c r="U45" s="1" t="s">
        <v>507</v>
      </c>
      <c r="V45" s="1" t="s">
        <v>441</v>
      </c>
      <c r="W45" s="270">
        <v>44473</v>
      </c>
      <c r="X45" s="1" t="s">
        <v>433</v>
      </c>
    </row>
    <row r="46" spans="1:24" x14ac:dyDescent="0.25">
      <c r="A46" s="1" t="s">
        <v>169</v>
      </c>
      <c r="B46" s="1" t="s">
        <v>170</v>
      </c>
      <c r="C46" s="269">
        <v>-3912.8</v>
      </c>
      <c r="D46" s="1" t="s">
        <v>425</v>
      </c>
      <c r="E46" s="1" t="s">
        <v>426</v>
      </c>
      <c r="F46" s="1" t="s">
        <v>258</v>
      </c>
      <c r="G46" s="1" t="s">
        <v>427</v>
      </c>
      <c r="H46" s="270">
        <v>44475</v>
      </c>
      <c r="I46" s="271">
        <v>-20</v>
      </c>
      <c r="J46" s="1" t="s">
        <v>428</v>
      </c>
      <c r="K46" s="1" t="s">
        <v>429</v>
      </c>
      <c r="N46" s="1" t="s">
        <v>312</v>
      </c>
      <c r="O46" s="270">
        <v>44476</v>
      </c>
      <c r="P46" s="1" t="s">
        <v>430</v>
      </c>
      <c r="Q46" s="1" t="s">
        <v>431</v>
      </c>
      <c r="R46" s="1" t="s">
        <v>752</v>
      </c>
      <c r="T46" s="1" t="s">
        <v>428</v>
      </c>
      <c r="U46" s="1" t="s">
        <v>753</v>
      </c>
      <c r="V46" s="1" t="s">
        <v>754</v>
      </c>
      <c r="W46" s="270">
        <v>44475</v>
      </c>
      <c r="X46" s="1" t="s">
        <v>433</v>
      </c>
    </row>
    <row r="47" spans="1:24" x14ac:dyDescent="0.25">
      <c r="A47" s="1" t="s">
        <v>169</v>
      </c>
      <c r="B47" s="1" t="s">
        <v>170</v>
      </c>
      <c r="C47" s="269">
        <v>-5869.2</v>
      </c>
      <c r="D47" s="1" t="s">
        <v>425</v>
      </c>
      <c r="E47" s="1" t="s">
        <v>426</v>
      </c>
      <c r="F47" s="1" t="s">
        <v>258</v>
      </c>
      <c r="G47" s="1" t="s">
        <v>427</v>
      </c>
      <c r="H47" s="270">
        <v>44475</v>
      </c>
      <c r="I47" s="271">
        <v>-30</v>
      </c>
      <c r="J47" s="1" t="s">
        <v>428</v>
      </c>
      <c r="K47" s="1" t="s">
        <v>429</v>
      </c>
      <c r="N47" s="1" t="s">
        <v>312</v>
      </c>
      <c r="O47" s="270">
        <v>44476</v>
      </c>
      <c r="P47" s="1" t="s">
        <v>430</v>
      </c>
      <c r="Q47" s="1" t="s">
        <v>431</v>
      </c>
      <c r="R47" s="1" t="s">
        <v>755</v>
      </c>
      <c r="T47" s="1" t="s">
        <v>428</v>
      </c>
      <c r="U47" s="1" t="s">
        <v>756</v>
      </c>
      <c r="V47" s="1" t="s">
        <v>746</v>
      </c>
      <c r="W47" s="270">
        <v>44475</v>
      </c>
      <c r="X47" s="1" t="s">
        <v>433</v>
      </c>
    </row>
    <row r="48" spans="1:24" x14ac:dyDescent="0.25">
      <c r="A48" s="1" t="s">
        <v>169</v>
      </c>
      <c r="B48" s="1" t="s">
        <v>170</v>
      </c>
      <c r="C48" s="269">
        <v>-14281.72</v>
      </c>
      <c r="D48" s="1" t="s">
        <v>425</v>
      </c>
      <c r="E48" s="1" t="s">
        <v>426</v>
      </c>
      <c r="F48" s="1" t="s">
        <v>258</v>
      </c>
      <c r="G48" s="1" t="s">
        <v>427</v>
      </c>
      <c r="H48" s="270">
        <v>44475</v>
      </c>
      <c r="I48" s="271">
        <v>-73</v>
      </c>
      <c r="J48" s="1" t="s">
        <v>428</v>
      </c>
      <c r="K48" s="1" t="s">
        <v>429</v>
      </c>
      <c r="N48" s="1" t="s">
        <v>312</v>
      </c>
      <c r="O48" s="270">
        <v>44476</v>
      </c>
      <c r="P48" s="1" t="s">
        <v>430</v>
      </c>
      <c r="Q48" s="1" t="s">
        <v>431</v>
      </c>
      <c r="R48" s="1" t="s">
        <v>757</v>
      </c>
      <c r="T48" s="1" t="s">
        <v>428</v>
      </c>
      <c r="U48" s="1" t="s">
        <v>758</v>
      </c>
      <c r="V48" s="1" t="s">
        <v>759</v>
      </c>
      <c r="W48" s="270">
        <v>44475</v>
      </c>
      <c r="X48" s="1" t="s">
        <v>433</v>
      </c>
    </row>
    <row r="49" spans="1:24" x14ac:dyDescent="0.25">
      <c r="A49" s="1" t="s">
        <v>169</v>
      </c>
      <c r="B49" s="1" t="s">
        <v>170</v>
      </c>
      <c r="C49" s="269">
        <v>-3521.52</v>
      </c>
      <c r="D49" s="1" t="s">
        <v>425</v>
      </c>
      <c r="E49" s="1" t="s">
        <v>426</v>
      </c>
      <c r="F49" s="1" t="s">
        <v>258</v>
      </c>
      <c r="G49" s="1" t="s">
        <v>427</v>
      </c>
      <c r="H49" s="270">
        <v>44475</v>
      </c>
      <c r="I49" s="271">
        <v>-18</v>
      </c>
      <c r="J49" s="1" t="s">
        <v>428</v>
      </c>
      <c r="K49" s="1" t="s">
        <v>429</v>
      </c>
      <c r="N49" s="1" t="s">
        <v>312</v>
      </c>
      <c r="O49" s="270">
        <v>44476</v>
      </c>
      <c r="P49" s="1" t="s">
        <v>430</v>
      </c>
      <c r="Q49" s="1" t="s">
        <v>431</v>
      </c>
      <c r="R49" s="1" t="s">
        <v>760</v>
      </c>
      <c r="T49" s="1" t="s">
        <v>428</v>
      </c>
      <c r="U49" s="1" t="s">
        <v>761</v>
      </c>
      <c r="V49" s="1" t="s">
        <v>762</v>
      </c>
      <c r="W49" s="270">
        <v>44475</v>
      </c>
      <c r="X49" s="1" t="s">
        <v>433</v>
      </c>
    </row>
    <row r="50" spans="1:24" x14ac:dyDescent="0.25">
      <c r="A50" s="1" t="s">
        <v>169</v>
      </c>
      <c r="B50" s="1" t="s">
        <v>170</v>
      </c>
      <c r="C50" s="269">
        <v>-782.56</v>
      </c>
      <c r="D50" s="1" t="s">
        <v>425</v>
      </c>
      <c r="E50" s="1" t="s">
        <v>426</v>
      </c>
      <c r="F50" s="1" t="s">
        <v>258</v>
      </c>
      <c r="G50" s="1" t="s">
        <v>427</v>
      </c>
      <c r="H50" s="270">
        <v>44474</v>
      </c>
      <c r="I50" s="271">
        <v>-4</v>
      </c>
      <c r="J50" s="1" t="s">
        <v>428</v>
      </c>
      <c r="K50" s="1" t="s">
        <v>429</v>
      </c>
      <c r="N50" s="1" t="s">
        <v>312</v>
      </c>
      <c r="O50" s="270">
        <v>44475</v>
      </c>
      <c r="P50" s="1" t="s">
        <v>430</v>
      </c>
      <c r="Q50" s="1" t="s">
        <v>431</v>
      </c>
      <c r="R50" s="1" t="s">
        <v>534</v>
      </c>
      <c r="T50" s="1" t="s">
        <v>428</v>
      </c>
      <c r="U50" s="1" t="s">
        <v>535</v>
      </c>
      <c r="V50" s="1" t="s">
        <v>443</v>
      </c>
      <c r="W50" s="270">
        <v>44474</v>
      </c>
      <c r="X50" s="1" t="s">
        <v>433</v>
      </c>
    </row>
    <row r="51" spans="1:24" x14ac:dyDescent="0.25">
      <c r="A51" s="1" t="s">
        <v>169</v>
      </c>
      <c r="B51" s="1" t="s">
        <v>170</v>
      </c>
      <c r="C51" s="269">
        <v>-1956.4</v>
      </c>
      <c r="D51" s="1" t="s">
        <v>425</v>
      </c>
      <c r="E51" s="1" t="s">
        <v>426</v>
      </c>
      <c r="F51" s="1" t="s">
        <v>258</v>
      </c>
      <c r="G51" s="1" t="s">
        <v>427</v>
      </c>
      <c r="H51" s="270">
        <v>44474</v>
      </c>
      <c r="I51" s="271">
        <v>-10</v>
      </c>
      <c r="J51" s="1" t="s">
        <v>428</v>
      </c>
      <c r="K51" s="1" t="s">
        <v>429</v>
      </c>
      <c r="N51" s="1" t="s">
        <v>312</v>
      </c>
      <c r="O51" s="270">
        <v>44475</v>
      </c>
      <c r="P51" s="1" t="s">
        <v>430</v>
      </c>
      <c r="Q51" s="1" t="s">
        <v>431</v>
      </c>
      <c r="R51" s="1" t="s">
        <v>524</v>
      </c>
      <c r="T51" s="1" t="s">
        <v>428</v>
      </c>
      <c r="U51" s="1" t="s">
        <v>525</v>
      </c>
      <c r="V51" s="1" t="s">
        <v>443</v>
      </c>
      <c r="W51" s="270">
        <v>44474</v>
      </c>
      <c r="X51" s="1" t="s">
        <v>433</v>
      </c>
    </row>
    <row r="52" spans="1:24" x14ac:dyDescent="0.25">
      <c r="A52" s="1" t="s">
        <v>169</v>
      </c>
      <c r="B52" s="1" t="s">
        <v>170</v>
      </c>
      <c r="C52" s="269">
        <v>-30519.84</v>
      </c>
      <c r="D52" s="1" t="s">
        <v>425</v>
      </c>
      <c r="E52" s="1" t="s">
        <v>426</v>
      </c>
      <c r="F52" s="1" t="s">
        <v>258</v>
      </c>
      <c r="G52" s="1" t="s">
        <v>427</v>
      </c>
      <c r="H52" s="270">
        <v>44474</v>
      </c>
      <c r="I52" s="271">
        <v>-156</v>
      </c>
      <c r="J52" s="1" t="s">
        <v>428</v>
      </c>
      <c r="K52" s="1" t="s">
        <v>429</v>
      </c>
      <c r="N52" s="1" t="s">
        <v>312</v>
      </c>
      <c r="O52" s="270">
        <v>44475</v>
      </c>
      <c r="P52" s="1" t="s">
        <v>430</v>
      </c>
      <c r="Q52" s="1" t="s">
        <v>431</v>
      </c>
      <c r="R52" s="1" t="s">
        <v>526</v>
      </c>
      <c r="T52" s="1" t="s">
        <v>428</v>
      </c>
      <c r="U52" s="1" t="s">
        <v>527</v>
      </c>
      <c r="V52" s="1" t="s">
        <v>443</v>
      </c>
      <c r="W52" s="270">
        <v>44474</v>
      </c>
      <c r="X52" s="1" t="s">
        <v>433</v>
      </c>
    </row>
    <row r="53" spans="1:24" x14ac:dyDescent="0.25">
      <c r="A53" s="1" t="s">
        <v>169</v>
      </c>
      <c r="B53" s="1" t="s">
        <v>170</v>
      </c>
      <c r="C53" s="269">
        <v>-96254.88</v>
      </c>
      <c r="D53" s="1" t="s">
        <v>425</v>
      </c>
      <c r="E53" s="1" t="s">
        <v>426</v>
      </c>
      <c r="F53" s="1" t="s">
        <v>258</v>
      </c>
      <c r="G53" s="1" t="s">
        <v>427</v>
      </c>
      <c r="H53" s="270">
        <v>44474</v>
      </c>
      <c r="I53" s="271">
        <v>-492</v>
      </c>
      <c r="J53" s="1" t="s">
        <v>428</v>
      </c>
      <c r="K53" s="1" t="s">
        <v>429</v>
      </c>
      <c r="N53" s="1" t="s">
        <v>312</v>
      </c>
      <c r="O53" s="270">
        <v>44475</v>
      </c>
      <c r="P53" s="1" t="s">
        <v>430</v>
      </c>
      <c r="Q53" s="1" t="s">
        <v>431</v>
      </c>
      <c r="R53" s="1" t="s">
        <v>532</v>
      </c>
      <c r="T53" s="1" t="s">
        <v>428</v>
      </c>
      <c r="U53" s="1" t="s">
        <v>533</v>
      </c>
      <c r="V53" s="1" t="s">
        <v>447</v>
      </c>
      <c r="W53" s="270">
        <v>44474</v>
      </c>
      <c r="X53" s="1" t="s">
        <v>433</v>
      </c>
    </row>
    <row r="54" spans="1:24" x14ac:dyDescent="0.25">
      <c r="A54" s="1" t="s">
        <v>169</v>
      </c>
      <c r="B54" s="1" t="s">
        <v>170</v>
      </c>
      <c r="C54" s="269">
        <v>-978.2</v>
      </c>
      <c r="D54" s="1" t="s">
        <v>425</v>
      </c>
      <c r="E54" s="1" t="s">
        <v>426</v>
      </c>
      <c r="F54" s="1" t="s">
        <v>258</v>
      </c>
      <c r="G54" s="1" t="s">
        <v>427</v>
      </c>
      <c r="H54" s="270">
        <v>44474</v>
      </c>
      <c r="I54" s="271">
        <v>-5</v>
      </c>
      <c r="J54" s="1" t="s">
        <v>428</v>
      </c>
      <c r="K54" s="1" t="s">
        <v>429</v>
      </c>
      <c r="N54" s="1" t="s">
        <v>312</v>
      </c>
      <c r="O54" s="270">
        <v>44475</v>
      </c>
      <c r="P54" s="1" t="s">
        <v>430</v>
      </c>
      <c r="Q54" s="1" t="s">
        <v>431</v>
      </c>
      <c r="R54" s="1" t="s">
        <v>530</v>
      </c>
      <c r="T54" s="1" t="s">
        <v>428</v>
      </c>
      <c r="U54" s="1" t="s">
        <v>531</v>
      </c>
      <c r="V54" s="1" t="s">
        <v>438</v>
      </c>
      <c r="W54" s="270">
        <v>44474</v>
      </c>
      <c r="X54" s="1" t="s">
        <v>433</v>
      </c>
    </row>
    <row r="55" spans="1:24" x14ac:dyDescent="0.25">
      <c r="A55" s="1" t="s">
        <v>169</v>
      </c>
      <c r="B55" s="1" t="s">
        <v>170</v>
      </c>
      <c r="C55" s="269">
        <v>-11738.4</v>
      </c>
      <c r="D55" s="1" t="s">
        <v>425</v>
      </c>
      <c r="E55" s="1" t="s">
        <v>426</v>
      </c>
      <c r="F55" s="1" t="s">
        <v>258</v>
      </c>
      <c r="G55" s="1" t="s">
        <v>427</v>
      </c>
      <c r="H55" s="270">
        <v>44474</v>
      </c>
      <c r="I55" s="271">
        <v>-60</v>
      </c>
      <c r="J55" s="1" t="s">
        <v>428</v>
      </c>
      <c r="K55" s="1" t="s">
        <v>429</v>
      </c>
      <c r="N55" s="1" t="s">
        <v>312</v>
      </c>
      <c r="O55" s="270">
        <v>44475</v>
      </c>
      <c r="P55" s="1" t="s">
        <v>430</v>
      </c>
      <c r="Q55" s="1" t="s">
        <v>431</v>
      </c>
      <c r="R55" s="1" t="s">
        <v>528</v>
      </c>
      <c r="T55" s="1" t="s">
        <v>428</v>
      </c>
      <c r="U55" s="1" t="s">
        <v>529</v>
      </c>
      <c r="V55" s="1" t="s">
        <v>450</v>
      </c>
      <c r="W55" s="270">
        <v>44474</v>
      </c>
      <c r="X55" s="1" t="s">
        <v>433</v>
      </c>
    </row>
    <row r="56" spans="1:24" x14ac:dyDescent="0.25">
      <c r="A56" s="1" t="s">
        <v>169</v>
      </c>
      <c r="B56" s="1" t="s">
        <v>170</v>
      </c>
      <c r="C56" s="269">
        <v>-978.2</v>
      </c>
      <c r="D56" s="1" t="s">
        <v>425</v>
      </c>
      <c r="E56" s="1" t="s">
        <v>426</v>
      </c>
      <c r="F56" s="1" t="s">
        <v>258</v>
      </c>
      <c r="G56" s="1" t="s">
        <v>427</v>
      </c>
      <c r="H56" s="270">
        <v>44474</v>
      </c>
      <c r="I56" s="271">
        <v>-5</v>
      </c>
      <c r="J56" s="1" t="s">
        <v>428</v>
      </c>
      <c r="K56" s="1" t="s">
        <v>429</v>
      </c>
      <c r="N56" s="1" t="s">
        <v>312</v>
      </c>
      <c r="O56" s="270">
        <v>44475</v>
      </c>
      <c r="P56" s="1" t="s">
        <v>430</v>
      </c>
      <c r="Q56" s="1" t="s">
        <v>431</v>
      </c>
      <c r="R56" s="1" t="s">
        <v>522</v>
      </c>
      <c r="T56" s="1" t="s">
        <v>428</v>
      </c>
      <c r="U56" s="1" t="s">
        <v>523</v>
      </c>
      <c r="V56" s="1" t="s">
        <v>443</v>
      </c>
      <c r="W56" s="270">
        <v>44474</v>
      </c>
      <c r="X56" s="1" t="s">
        <v>433</v>
      </c>
    </row>
    <row r="57" spans="1:24" x14ac:dyDescent="0.25">
      <c r="A57" s="1" t="s">
        <v>127</v>
      </c>
      <c r="B57" s="1" t="s">
        <v>128</v>
      </c>
      <c r="C57" s="269">
        <v>-3117.45</v>
      </c>
      <c r="D57" s="1" t="s">
        <v>425</v>
      </c>
      <c r="E57" s="1" t="s">
        <v>426</v>
      </c>
      <c r="F57" s="1" t="s">
        <v>258</v>
      </c>
      <c r="G57" s="1" t="s">
        <v>427</v>
      </c>
      <c r="H57" s="270">
        <v>44474</v>
      </c>
      <c r="I57" s="271">
        <v>-5</v>
      </c>
      <c r="J57" s="1" t="s">
        <v>428</v>
      </c>
      <c r="K57" s="1" t="s">
        <v>429</v>
      </c>
      <c r="N57" s="1" t="s">
        <v>328</v>
      </c>
      <c r="O57" s="270">
        <v>44475</v>
      </c>
      <c r="P57" s="1" t="s">
        <v>430</v>
      </c>
      <c r="Q57" s="1" t="s">
        <v>431</v>
      </c>
      <c r="R57" s="1" t="s">
        <v>538</v>
      </c>
      <c r="T57" s="1" t="s">
        <v>428</v>
      </c>
      <c r="U57" s="1" t="s">
        <v>539</v>
      </c>
      <c r="V57" s="1" t="s">
        <v>448</v>
      </c>
      <c r="W57" s="270">
        <v>44474</v>
      </c>
      <c r="X57" s="1" t="s">
        <v>433</v>
      </c>
    </row>
    <row r="58" spans="1:24" x14ac:dyDescent="0.25">
      <c r="A58" s="1" t="s">
        <v>127</v>
      </c>
      <c r="B58" s="1" t="s">
        <v>128</v>
      </c>
      <c r="C58" s="269">
        <v>-2493.96</v>
      </c>
      <c r="D58" s="1" t="s">
        <v>425</v>
      </c>
      <c r="E58" s="1" t="s">
        <v>426</v>
      </c>
      <c r="F58" s="1" t="s">
        <v>258</v>
      </c>
      <c r="G58" s="1" t="s">
        <v>427</v>
      </c>
      <c r="H58" s="270">
        <v>44474</v>
      </c>
      <c r="I58" s="271">
        <v>-4</v>
      </c>
      <c r="J58" s="1" t="s">
        <v>428</v>
      </c>
      <c r="K58" s="1" t="s">
        <v>429</v>
      </c>
      <c r="N58" s="1" t="s">
        <v>328</v>
      </c>
      <c r="O58" s="270">
        <v>44475</v>
      </c>
      <c r="P58" s="1" t="s">
        <v>430</v>
      </c>
      <c r="Q58" s="1" t="s">
        <v>431</v>
      </c>
      <c r="R58" s="1" t="s">
        <v>532</v>
      </c>
      <c r="T58" s="1" t="s">
        <v>428</v>
      </c>
      <c r="U58" s="1" t="s">
        <v>533</v>
      </c>
      <c r="V58" s="1" t="s">
        <v>447</v>
      </c>
      <c r="W58" s="270">
        <v>44474</v>
      </c>
      <c r="X58" s="1" t="s">
        <v>433</v>
      </c>
    </row>
    <row r="59" spans="1:24" x14ac:dyDescent="0.25">
      <c r="A59" s="1" t="s">
        <v>127</v>
      </c>
      <c r="B59" s="1" t="s">
        <v>128</v>
      </c>
      <c r="C59" s="269">
        <v>-3117.45</v>
      </c>
      <c r="D59" s="1" t="s">
        <v>425</v>
      </c>
      <c r="E59" s="1" t="s">
        <v>426</v>
      </c>
      <c r="F59" s="1" t="s">
        <v>258</v>
      </c>
      <c r="G59" s="1" t="s">
        <v>427</v>
      </c>
      <c r="H59" s="270">
        <v>44474</v>
      </c>
      <c r="I59" s="271">
        <v>-5</v>
      </c>
      <c r="J59" s="1" t="s">
        <v>428</v>
      </c>
      <c r="K59" s="1" t="s">
        <v>429</v>
      </c>
      <c r="N59" s="1" t="s">
        <v>328</v>
      </c>
      <c r="O59" s="270">
        <v>44475</v>
      </c>
      <c r="P59" s="1" t="s">
        <v>430</v>
      </c>
      <c r="Q59" s="1" t="s">
        <v>431</v>
      </c>
      <c r="R59" s="1" t="s">
        <v>536</v>
      </c>
      <c r="T59" s="1" t="s">
        <v>428</v>
      </c>
      <c r="U59" s="1" t="s">
        <v>537</v>
      </c>
      <c r="V59" s="1" t="s">
        <v>448</v>
      </c>
      <c r="W59" s="270">
        <v>44474</v>
      </c>
      <c r="X59" s="1" t="s">
        <v>433</v>
      </c>
    </row>
    <row r="60" spans="1:24" x14ac:dyDescent="0.25">
      <c r="A60" s="1" t="s">
        <v>127</v>
      </c>
      <c r="B60" s="1" t="s">
        <v>128</v>
      </c>
      <c r="C60" s="269">
        <v>-6234.9</v>
      </c>
      <c r="D60" s="1" t="s">
        <v>425</v>
      </c>
      <c r="E60" s="1" t="s">
        <v>426</v>
      </c>
      <c r="F60" s="1" t="s">
        <v>258</v>
      </c>
      <c r="G60" s="1" t="s">
        <v>427</v>
      </c>
      <c r="H60" s="270">
        <v>44474</v>
      </c>
      <c r="I60" s="271">
        <v>-10</v>
      </c>
      <c r="J60" s="1" t="s">
        <v>428</v>
      </c>
      <c r="K60" s="1" t="s">
        <v>429</v>
      </c>
      <c r="N60" s="1" t="s">
        <v>328</v>
      </c>
      <c r="O60" s="270">
        <v>44475</v>
      </c>
      <c r="P60" s="1" t="s">
        <v>430</v>
      </c>
      <c r="Q60" s="1" t="s">
        <v>431</v>
      </c>
      <c r="R60" s="1" t="s">
        <v>540</v>
      </c>
      <c r="T60" s="1" t="s">
        <v>428</v>
      </c>
      <c r="U60" s="1" t="s">
        <v>541</v>
      </c>
      <c r="V60" s="1" t="s">
        <v>448</v>
      </c>
      <c r="W60" s="270">
        <v>44474</v>
      </c>
      <c r="X60" s="1" t="s">
        <v>433</v>
      </c>
    </row>
    <row r="61" spans="1:24" x14ac:dyDescent="0.25">
      <c r="A61" s="1" t="s">
        <v>182</v>
      </c>
      <c r="B61" s="1" t="s">
        <v>183</v>
      </c>
      <c r="C61" s="269">
        <v>-5458</v>
      </c>
      <c r="D61" s="1" t="s">
        <v>425</v>
      </c>
      <c r="E61" s="1" t="s">
        <v>426</v>
      </c>
      <c r="F61" s="1" t="s">
        <v>258</v>
      </c>
      <c r="G61" s="1" t="s">
        <v>427</v>
      </c>
      <c r="H61" s="270">
        <v>44475</v>
      </c>
      <c r="I61" s="271">
        <v>-20</v>
      </c>
      <c r="J61" s="1" t="s">
        <v>428</v>
      </c>
      <c r="K61" s="1" t="s">
        <v>429</v>
      </c>
      <c r="N61" s="1" t="s">
        <v>332</v>
      </c>
      <c r="O61" s="270">
        <v>44476</v>
      </c>
      <c r="P61" s="1" t="s">
        <v>430</v>
      </c>
      <c r="Q61" s="1" t="s">
        <v>431</v>
      </c>
      <c r="R61" s="1" t="s">
        <v>755</v>
      </c>
      <c r="T61" s="1" t="s">
        <v>428</v>
      </c>
      <c r="U61" s="1" t="s">
        <v>756</v>
      </c>
      <c r="V61" s="1" t="s">
        <v>746</v>
      </c>
      <c r="W61" s="270">
        <v>44475</v>
      </c>
      <c r="X61" s="1" t="s">
        <v>433</v>
      </c>
    </row>
    <row r="62" spans="1:24" x14ac:dyDescent="0.25">
      <c r="A62" s="1" t="s">
        <v>182</v>
      </c>
      <c r="B62" s="1" t="s">
        <v>183</v>
      </c>
      <c r="C62" s="269">
        <v>-272.89999999999998</v>
      </c>
      <c r="D62" s="1" t="s">
        <v>425</v>
      </c>
      <c r="E62" s="1" t="s">
        <v>426</v>
      </c>
      <c r="F62" s="1" t="s">
        <v>258</v>
      </c>
      <c r="G62" s="1" t="s">
        <v>427</v>
      </c>
      <c r="H62" s="270">
        <v>44475</v>
      </c>
      <c r="I62" s="271">
        <v>-1</v>
      </c>
      <c r="J62" s="1" t="s">
        <v>428</v>
      </c>
      <c r="K62" s="1" t="s">
        <v>429</v>
      </c>
      <c r="N62" s="1" t="s">
        <v>332</v>
      </c>
      <c r="O62" s="270">
        <v>44476</v>
      </c>
      <c r="P62" s="1" t="s">
        <v>430</v>
      </c>
      <c r="Q62" s="1" t="s">
        <v>431</v>
      </c>
      <c r="R62" s="1" t="s">
        <v>757</v>
      </c>
      <c r="T62" s="1" t="s">
        <v>428</v>
      </c>
      <c r="U62" s="1" t="s">
        <v>758</v>
      </c>
      <c r="V62" s="1" t="s">
        <v>759</v>
      </c>
      <c r="W62" s="270">
        <v>44475</v>
      </c>
      <c r="X62" s="1" t="s">
        <v>433</v>
      </c>
    </row>
    <row r="63" spans="1:24" x14ac:dyDescent="0.25">
      <c r="A63" s="1" t="s">
        <v>182</v>
      </c>
      <c r="B63" s="1" t="s">
        <v>183</v>
      </c>
      <c r="C63" s="269">
        <v>-6822.5</v>
      </c>
      <c r="D63" s="1" t="s">
        <v>425</v>
      </c>
      <c r="E63" s="1" t="s">
        <v>426</v>
      </c>
      <c r="F63" s="1" t="s">
        <v>258</v>
      </c>
      <c r="G63" s="1" t="s">
        <v>427</v>
      </c>
      <c r="H63" s="270">
        <v>44474</v>
      </c>
      <c r="I63" s="271">
        <v>-25</v>
      </c>
      <c r="J63" s="1" t="s">
        <v>428</v>
      </c>
      <c r="K63" s="1" t="s">
        <v>429</v>
      </c>
      <c r="N63" s="1" t="s">
        <v>332</v>
      </c>
      <c r="O63" s="270">
        <v>44475</v>
      </c>
      <c r="P63" s="1" t="s">
        <v>430</v>
      </c>
      <c r="Q63" s="1" t="s">
        <v>431</v>
      </c>
      <c r="R63" s="1" t="s">
        <v>542</v>
      </c>
      <c r="T63" s="1" t="s">
        <v>428</v>
      </c>
      <c r="U63" s="1" t="s">
        <v>543</v>
      </c>
      <c r="V63" s="1" t="s">
        <v>450</v>
      </c>
      <c r="W63" s="270">
        <v>44474</v>
      </c>
      <c r="X63" s="1" t="s">
        <v>433</v>
      </c>
    </row>
    <row r="64" spans="1:24" x14ac:dyDescent="0.25">
      <c r="A64" s="1" t="s">
        <v>182</v>
      </c>
      <c r="B64" s="1" t="s">
        <v>183</v>
      </c>
      <c r="C64" s="269">
        <v>-2729</v>
      </c>
      <c r="D64" s="1" t="s">
        <v>425</v>
      </c>
      <c r="E64" s="1" t="s">
        <v>426</v>
      </c>
      <c r="F64" s="1" t="s">
        <v>258</v>
      </c>
      <c r="G64" s="1" t="s">
        <v>427</v>
      </c>
      <c r="H64" s="270">
        <v>44474</v>
      </c>
      <c r="I64" s="271">
        <v>-10</v>
      </c>
      <c r="J64" s="1" t="s">
        <v>428</v>
      </c>
      <c r="K64" s="1" t="s">
        <v>429</v>
      </c>
      <c r="N64" s="1" t="s">
        <v>332</v>
      </c>
      <c r="O64" s="270">
        <v>44475</v>
      </c>
      <c r="P64" s="1" t="s">
        <v>430</v>
      </c>
      <c r="Q64" s="1" t="s">
        <v>431</v>
      </c>
      <c r="R64" s="1" t="s">
        <v>544</v>
      </c>
      <c r="T64" s="1" t="s">
        <v>428</v>
      </c>
      <c r="U64" s="1" t="s">
        <v>545</v>
      </c>
      <c r="V64" s="1" t="s">
        <v>448</v>
      </c>
      <c r="W64" s="270">
        <v>44474</v>
      </c>
      <c r="X64" s="1" t="s">
        <v>433</v>
      </c>
    </row>
    <row r="65" spans="1:24" x14ac:dyDescent="0.25">
      <c r="A65" s="1" t="s">
        <v>182</v>
      </c>
      <c r="B65" s="1" t="s">
        <v>183</v>
      </c>
      <c r="C65" s="269">
        <v>-1364.5</v>
      </c>
      <c r="D65" s="1" t="s">
        <v>425</v>
      </c>
      <c r="E65" s="1" t="s">
        <v>426</v>
      </c>
      <c r="F65" s="1" t="s">
        <v>258</v>
      </c>
      <c r="G65" s="1" t="s">
        <v>427</v>
      </c>
      <c r="H65" s="270">
        <v>44474</v>
      </c>
      <c r="I65" s="271">
        <v>-5</v>
      </c>
      <c r="J65" s="1" t="s">
        <v>428</v>
      </c>
      <c r="K65" s="1" t="s">
        <v>429</v>
      </c>
      <c r="N65" s="1" t="s">
        <v>332</v>
      </c>
      <c r="O65" s="270">
        <v>44475</v>
      </c>
      <c r="P65" s="1" t="s">
        <v>430</v>
      </c>
      <c r="Q65" s="1" t="s">
        <v>431</v>
      </c>
      <c r="R65" s="1" t="s">
        <v>526</v>
      </c>
      <c r="T65" s="1" t="s">
        <v>428</v>
      </c>
      <c r="U65" s="1" t="s">
        <v>527</v>
      </c>
      <c r="V65" s="1" t="s">
        <v>443</v>
      </c>
      <c r="W65" s="270">
        <v>44474</v>
      </c>
      <c r="X65" s="1" t="s">
        <v>433</v>
      </c>
    </row>
    <row r="66" spans="1:24" x14ac:dyDescent="0.25">
      <c r="A66" s="1" t="s">
        <v>193</v>
      </c>
      <c r="B66" s="1" t="s">
        <v>194</v>
      </c>
      <c r="C66" s="269">
        <v>-1299.5999999999999</v>
      </c>
      <c r="D66" s="1" t="s">
        <v>425</v>
      </c>
      <c r="E66" s="1" t="s">
        <v>426</v>
      </c>
      <c r="F66" s="1" t="s">
        <v>258</v>
      </c>
      <c r="G66" s="1" t="s">
        <v>427</v>
      </c>
      <c r="H66" s="270">
        <v>44477</v>
      </c>
      <c r="I66" s="271">
        <v>-20</v>
      </c>
      <c r="J66" s="1" t="s">
        <v>428</v>
      </c>
      <c r="K66" s="1" t="s">
        <v>429</v>
      </c>
      <c r="N66" s="1" t="s">
        <v>320</v>
      </c>
      <c r="O66" s="270">
        <v>44478</v>
      </c>
      <c r="P66" s="1" t="s">
        <v>430</v>
      </c>
      <c r="Q66" s="1" t="s">
        <v>431</v>
      </c>
      <c r="R66" s="1" t="s">
        <v>763</v>
      </c>
      <c r="T66" s="1" t="s">
        <v>428</v>
      </c>
      <c r="U66" s="1" t="s">
        <v>764</v>
      </c>
      <c r="V66" s="1" t="s">
        <v>765</v>
      </c>
      <c r="W66" s="270">
        <v>44477</v>
      </c>
      <c r="X66" s="1" t="s">
        <v>433</v>
      </c>
    </row>
    <row r="67" spans="1:24" x14ac:dyDescent="0.25">
      <c r="A67" s="1" t="s">
        <v>193</v>
      </c>
      <c r="B67" s="1" t="s">
        <v>194</v>
      </c>
      <c r="C67" s="269">
        <v>-1624.5</v>
      </c>
      <c r="D67" s="1" t="s">
        <v>425</v>
      </c>
      <c r="E67" s="1" t="s">
        <v>426</v>
      </c>
      <c r="F67" s="1" t="s">
        <v>258</v>
      </c>
      <c r="G67" s="1" t="s">
        <v>427</v>
      </c>
      <c r="H67" s="270">
        <v>44476</v>
      </c>
      <c r="I67" s="271">
        <v>-25</v>
      </c>
      <c r="J67" s="1" t="s">
        <v>428</v>
      </c>
      <c r="K67" s="1" t="s">
        <v>429</v>
      </c>
      <c r="N67" s="1" t="s">
        <v>320</v>
      </c>
      <c r="O67" s="270">
        <v>44477</v>
      </c>
      <c r="P67" s="1" t="s">
        <v>430</v>
      </c>
      <c r="Q67" s="1" t="s">
        <v>431</v>
      </c>
      <c r="R67" s="1" t="s">
        <v>766</v>
      </c>
      <c r="T67" s="1" t="s">
        <v>428</v>
      </c>
      <c r="U67" s="1" t="s">
        <v>767</v>
      </c>
      <c r="V67" s="1" t="s">
        <v>768</v>
      </c>
      <c r="W67" s="270">
        <v>44476</v>
      </c>
      <c r="X67" s="1" t="s">
        <v>433</v>
      </c>
    </row>
    <row r="68" spans="1:24" x14ac:dyDescent="0.25">
      <c r="A68" s="1" t="s">
        <v>193</v>
      </c>
      <c r="B68" s="1" t="s">
        <v>194</v>
      </c>
      <c r="C68" s="269">
        <v>-389.88</v>
      </c>
      <c r="D68" s="1" t="s">
        <v>425</v>
      </c>
      <c r="E68" s="1" t="s">
        <v>426</v>
      </c>
      <c r="F68" s="1" t="s">
        <v>258</v>
      </c>
      <c r="G68" s="1" t="s">
        <v>427</v>
      </c>
      <c r="H68" s="270">
        <v>44475</v>
      </c>
      <c r="I68" s="271">
        <v>-6</v>
      </c>
      <c r="J68" s="1" t="s">
        <v>428</v>
      </c>
      <c r="K68" s="1" t="s">
        <v>429</v>
      </c>
      <c r="N68" s="1" t="s">
        <v>320</v>
      </c>
      <c r="O68" s="270">
        <v>44476</v>
      </c>
      <c r="P68" s="1" t="s">
        <v>430</v>
      </c>
      <c r="Q68" s="1" t="s">
        <v>431</v>
      </c>
      <c r="R68" s="1" t="s">
        <v>760</v>
      </c>
      <c r="T68" s="1" t="s">
        <v>428</v>
      </c>
      <c r="U68" s="1" t="s">
        <v>761</v>
      </c>
      <c r="V68" s="1" t="s">
        <v>762</v>
      </c>
      <c r="W68" s="270">
        <v>44475</v>
      </c>
      <c r="X68" s="1" t="s">
        <v>433</v>
      </c>
    </row>
    <row r="69" spans="1:24" x14ac:dyDescent="0.25">
      <c r="A69" s="1" t="s">
        <v>193</v>
      </c>
      <c r="B69" s="1" t="s">
        <v>194</v>
      </c>
      <c r="C69" s="269">
        <v>-1949.4</v>
      </c>
      <c r="D69" s="1" t="s">
        <v>425</v>
      </c>
      <c r="E69" s="1" t="s">
        <v>426</v>
      </c>
      <c r="F69" s="1" t="s">
        <v>258</v>
      </c>
      <c r="G69" s="1" t="s">
        <v>427</v>
      </c>
      <c r="H69" s="270">
        <v>44475</v>
      </c>
      <c r="I69" s="271">
        <v>-30</v>
      </c>
      <c r="J69" s="1" t="s">
        <v>428</v>
      </c>
      <c r="K69" s="1" t="s">
        <v>429</v>
      </c>
      <c r="N69" s="1" t="s">
        <v>320</v>
      </c>
      <c r="O69" s="270">
        <v>44476</v>
      </c>
      <c r="P69" s="1" t="s">
        <v>430</v>
      </c>
      <c r="Q69" s="1" t="s">
        <v>431</v>
      </c>
      <c r="R69" s="1" t="s">
        <v>769</v>
      </c>
      <c r="T69" s="1" t="s">
        <v>428</v>
      </c>
      <c r="U69" s="1" t="s">
        <v>770</v>
      </c>
      <c r="V69" s="1" t="s">
        <v>726</v>
      </c>
      <c r="W69" s="270">
        <v>44475</v>
      </c>
      <c r="X69" s="1" t="s">
        <v>433</v>
      </c>
    </row>
    <row r="70" spans="1:24" x14ac:dyDescent="0.25">
      <c r="A70" s="1" t="s">
        <v>193</v>
      </c>
      <c r="B70" s="1" t="s">
        <v>194</v>
      </c>
      <c r="C70" s="269">
        <v>-259.92</v>
      </c>
      <c r="D70" s="1" t="s">
        <v>425</v>
      </c>
      <c r="E70" s="1" t="s">
        <v>426</v>
      </c>
      <c r="F70" s="1" t="s">
        <v>258</v>
      </c>
      <c r="G70" s="1" t="s">
        <v>427</v>
      </c>
      <c r="H70" s="270">
        <v>44475</v>
      </c>
      <c r="I70" s="271">
        <v>-4</v>
      </c>
      <c r="J70" s="1" t="s">
        <v>428</v>
      </c>
      <c r="K70" s="1" t="s">
        <v>429</v>
      </c>
      <c r="N70" s="1" t="s">
        <v>320</v>
      </c>
      <c r="O70" s="270">
        <v>44476</v>
      </c>
      <c r="P70" s="1" t="s">
        <v>430</v>
      </c>
      <c r="Q70" s="1" t="s">
        <v>431</v>
      </c>
      <c r="R70" s="1" t="s">
        <v>771</v>
      </c>
      <c r="T70" s="1" t="s">
        <v>428</v>
      </c>
      <c r="U70" s="1" t="s">
        <v>772</v>
      </c>
      <c r="V70" s="1" t="s">
        <v>729</v>
      </c>
      <c r="W70" s="270">
        <v>44475</v>
      </c>
      <c r="X70" s="1" t="s">
        <v>433</v>
      </c>
    </row>
    <row r="71" spans="1:24" x14ac:dyDescent="0.25">
      <c r="A71" s="1" t="s">
        <v>193</v>
      </c>
      <c r="B71" s="1" t="s">
        <v>194</v>
      </c>
      <c r="C71" s="269">
        <v>-974.7</v>
      </c>
      <c r="D71" s="1" t="s">
        <v>425</v>
      </c>
      <c r="E71" s="1" t="s">
        <v>426</v>
      </c>
      <c r="F71" s="1" t="s">
        <v>258</v>
      </c>
      <c r="G71" s="1" t="s">
        <v>427</v>
      </c>
      <c r="H71" s="270">
        <v>44475</v>
      </c>
      <c r="I71" s="271">
        <v>-15</v>
      </c>
      <c r="J71" s="1" t="s">
        <v>428</v>
      </c>
      <c r="K71" s="1" t="s">
        <v>429</v>
      </c>
      <c r="N71" s="1" t="s">
        <v>320</v>
      </c>
      <c r="O71" s="270">
        <v>44476</v>
      </c>
      <c r="P71" s="1" t="s">
        <v>430</v>
      </c>
      <c r="Q71" s="1" t="s">
        <v>431</v>
      </c>
      <c r="R71" s="1" t="s">
        <v>757</v>
      </c>
      <c r="T71" s="1" t="s">
        <v>428</v>
      </c>
      <c r="U71" s="1" t="s">
        <v>758</v>
      </c>
      <c r="V71" s="1" t="s">
        <v>759</v>
      </c>
      <c r="W71" s="270">
        <v>44475</v>
      </c>
      <c r="X71" s="1" t="s">
        <v>433</v>
      </c>
    </row>
    <row r="72" spans="1:24" x14ac:dyDescent="0.25">
      <c r="A72" s="1" t="s">
        <v>193</v>
      </c>
      <c r="B72" s="1" t="s">
        <v>194</v>
      </c>
      <c r="C72" s="269">
        <v>-974.7</v>
      </c>
      <c r="D72" s="1" t="s">
        <v>425</v>
      </c>
      <c r="E72" s="1" t="s">
        <v>426</v>
      </c>
      <c r="F72" s="1" t="s">
        <v>258</v>
      </c>
      <c r="G72" s="1" t="s">
        <v>427</v>
      </c>
      <c r="H72" s="270">
        <v>44475</v>
      </c>
      <c r="I72" s="271">
        <v>-15</v>
      </c>
      <c r="J72" s="1" t="s">
        <v>428</v>
      </c>
      <c r="K72" s="1" t="s">
        <v>429</v>
      </c>
      <c r="N72" s="1" t="s">
        <v>320</v>
      </c>
      <c r="O72" s="270">
        <v>44476</v>
      </c>
      <c r="P72" s="1" t="s">
        <v>430</v>
      </c>
      <c r="Q72" s="1" t="s">
        <v>431</v>
      </c>
      <c r="R72" s="1" t="s">
        <v>755</v>
      </c>
      <c r="T72" s="1" t="s">
        <v>428</v>
      </c>
      <c r="U72" s="1" t="s">
        <v>756</v>
      </c>
      <c r="V72" s="1" t="s">
        <v>746</v>
      </c>
      <c r="W72" s="270">
        <v>44475</v>
      </c>
      <c r="X72" s="1" t="s">
        <v>433</v>
      </c>
    </row>
    <row r="73" spans="1:24" x14ac:dyDescent="0.25">
      <c r="A73" s="1" t="s">
        <v>193</v>
      </c>
      <c r="B73" s="1" t="s">
        <v>194</v>
      </c>
      <c r="C73" s="269">
        <v>-64.98</v>
      </c>
      <c r="D73" s="1" t="s">
        <v>425</v>
      </c>
      <c r="E73" s="1" t="s">
        <v>426</v>
      </c>
      <c r="F73" s="1" t="s">
        <v>258</v>
      </c>
      <c r="G73" s="1" t="s">
        <v>427</v>
      </c>
      <c r="H73" s="270">
        <v>44475</v>
      </c>
      <c r="I73" s="271">
        <v>-1</v>
      </c>
      <c r="J73" s="1" t="s">
        <v>428</v>
      </c>
      <c r="K73" s="1" t="s">
        <v>429</v>
      </c>
      <c r="N73" s="1" t="s">
        <v>320</v>
      </c>
      <c r="O73" s="270">
        <v>44476</v>
      </c>
      <c r="P73" s="1" t="s">
        <v>430</v>
      </c>
      <c r="Q73" s="1" t="s">
        <v>431</v>
      </c>
      <c r="R73" s="1" t="s">
        <v>773</v>
      </c>
      <c r="T73" s="1" t="s">
        <v>428</v>
      </c>
      <c r="U73" s="1" t="s">
        <v>774</v>
      </c>
      <c r="V73" s="1" t="s">
        <v>729</v>
      </c>
      <c r="W73" s="270">
        <v>44475</v>
      </c>
      <c r="X73" s="1" t="s">
        <v>433</v>
      </c>
    </row>
    <row r="74" spans="1:24" x14ac:dyDescent="0.25">
      <c r="A74" s="1" t="s">
        <v>193</v>
      </c>
      <c r="B74" s="1" t="s">
        <v>194</v>
      </c>
      <c r="C74" s="269">
        <v>-649.79999999999995</v>
      </c>
      <c r="D74" s="1" t="s">
        <v>425</v>
      </c>
      <c r="E74" s="1" t="s">
        <v>426</v>
      </c>
      <c r="F74" s="1" t="s">
        <v>258</v>
      </c>
      <c r="G74" s="1" t="s">
        <v>427</v>
      </c>
      <c r="H74" s="270">
        <v>44475</v>
      </c>
      <c r="I74" s="271">
        <v>-10</v>
      </c>
      <c r="J74" s="1" t="s">
        <v>428</v>
      </c>
      <c r="K74" s="1" t="s">
        <v>429</v>
      </c>
      <c r="N74" s="1" t="s">
        <v>320</v>
      </c>
      <c r="O74" s="270">
        <v>44476</v>
      </c>
      <c r="P74" s="1" t="s">
        <v>430</v>
      </c>
      <c r="Q74" s="1" t="s">
        <v>431</v>
      </c>
      <c r="R74" s="1" t="s">
        <v>752</v>
      </c>
      <c r="T74" s="1" t="s">
        <v>428</v>
      </c>
      <c r="U74" s="1" t="s">
        <v>753</v>
      </c>
      <c r="V74" s="1" t="s">
        <v>754</v>
      </c>
      <c r="W74" s="270">
        <v>44475</v>
      </c>
      <c r="X74" s="1" t="s">
        <v>433</v>
      </c>
    </row>
    <row r="75" spans="1:24" x14ac:dyDescent="0.25">
      <c r="A75" s="1" t="s">
        <v>193</v>
      </c>
      <c r="B75" s="1" t="s">
        <v>194</v>
      </c>
      <c r="C75" s="269">
        <v>-1234.6199999999999</v>
      </c>
      <c r="D75" s="1" t="s">
        <v>425</v>
      </c>
      <c r="E75" s="1" t="s">
        <v>426</v>
      </c>
      <c r="F75" s="1" t="s">
        <v>258</v>
      </c>
      <c r="G75" s="1" t="s">
        <v>427</v>
      </c>
      <c r="H75" s="270">
        <v>44475</v>
      </c>
      <c r="I75" s="271">
        <v>-19</v>
      </c>
      <c r="J75" s="1" t="s">
        <v>428</v>
      </c>
      <c r="K75" s="1" t="s">
        <v>429</v>
      </c>
      <c r="N75" s="1" t="s">
        <v>320</v>
      </c>
      <c r="O75" s="270">
        <v>44476</v>
      </c>
      <c r="P75" s="1" t="s">
        <v>430</v>
      </c>
      <c r="Q75" s="1" t="s">
        <v>431</v>
      </c>
      <c r="R75" s="1" t="s">
        <v>775</v>
      </c>
      <c r="T75" s="1" t="s">
        <v>428</v>
      </c>
      <c r="U75" s="1" t="s">
        <v>776</v>
      </c>
      <c r="V75" s="1" t="s">
        <v>777</v>
      </c>
      <c r="W75" s="270">
        <v>44475</v>
      </c>
      <c r="X75" s="1" t="s">
        <v>433</v>
      </c>
    </row>
    <row r="76" spans="1:24" x14ac:dyDescent="0.25">
      <c r="A76" s="1" t="s">
        <v>193</v>
      </c>
      <c r="B76" s="1" t="s">
        <v>194</v>
      </c>
      <c r="C76" s="269">
        <v>-129.96</v>
      </c>
      <c r="D76" s="1" t="s">
        <v>425</v>
      </c>
      <c r="E76" s="1" t="s">
        <v>426</v>
      </c>
      <c r="F76" s="1" t="s">
        <v>258</v>
      </c>
      <c r="G76" s="1" t="s">
        <v>427</v>
      </c>
      <c r="H76" s="270">
        <v>44474</v>
      </c>
      <c r="I76" s="271">
        <v>-2</v>
      </c>
      <c r="J76" s="1" t="s">
        <v>428</v>
      </c>
      <c r="K76" s="1" t="s">
        <v>429</v>
      </c>
      <c r="N76" s="1" t="s">
        <v>320</v>
      </c>
      <c r="O76" s="270">
        <v>44475</v>
      </c>
      <c r="P76" s="1" t="s">
        <v>430</v>
      </c>
      <c r="Q76" s="1" t="s">
        <v>431</v>
      </c>
      <c r="R76" s="1" t="s">
        <v>562</v>
      </c>
      <c r="T76" s="1" t="s">
        <v>428</v>
      </c>
      <c r="U76" s="1" t="s">
        <v>563</v>
      </c>
      <c r="V76" s="1" t="s">
        <v>446</v>
      </c>
      <c r="W76" s="270">
        <v>44474</v>
      </c>
      <c r="X76" s="1" t="s">
        <v>433</v>
      </c>
    </row>
    <row r="77" spans="1:24" x14ac:dyDescent="0.25">
      <c r="A77" s="1" t="s">
        <v>193</v>
      </c>
      <c r="B77" s="1" t="s">
        <v>194</v>
      </c>
      <c r="C77" s="269">
        <v>-1299.5999999999999</v>
      </c>
      <c r="D77" s="1" t="s">
        <v>425</v>
      </c>
      <c r="E77" s="1" t="s">
        <v>426</v>
      </c>
      <c r="F77" s="1" t="s">
        <v>258</v>
      </c>
      <c r="G77" s="1" t="s">
        <v>427</v>
      </c>
      <c r="H77" s="270">
        <v>44474</v>
      </c>
      <c r="I77" s="271">
        <v>-20</v>
      </c>
      <c r="J77" s="1" t="s">
        <v>428</v>
      </c>
      <c r="K77" s="1" t="s">
        <v>429</v>
      </c>
      <c r="N77" s="1" t="s">
        <v>320</v>
      </c>
      <c r="O77" s="270">
        <v>44475</v>
      </c>
      <c r="P77" s="1" t="s">
        <v>430</v>
      </c>
      <c r="Q77" s="1" t="s">
        <v>431</v>
      </c>
      <c r="R77" s="1" t="s">
        <v>546</v>
      </c>
      <c r="T77" s="1" t="s">
        <v>428</v>
      </c>
      <c r="U77" s="1" t="s">
        <v>547</v>
      </c>
      <c r="V77" s="1" t="s">
        <v>443</v>
      </c>
      <c r="W77" s="270">
        <v>44474</v>
      </c>
      <c r="X77" s="1" t="s">
        <v>433</v>
      </c>
    </row>
    <row r="78" spans="1:24" x14ac:dyDescent="0.25">
      <c r="A78" s="1" t="s">
        <v>193</v>
      </c>
      <c r="B78" s="1" t="s">
        <v>194</v>
      </c>
      <c r="C78" s="269">
        <v>-11111.58</v>
      </c>
      <c r="D78" s="1" t="s">
        <v>425</v>
      </c>
      <c r="E78" s="1" t="s">
        <v>426</v>
      </c>
      <c r="F78" s="1" t="s">
        <v>258</v>
      </c>
      <c r="G78" s="1" t="s">
        <v>427</v>
      </c>
      <c r="H78" s="270">
        <v>44474</v>
      </c>
      <c r="I78" s="271">
        <v>-171</v>
      </c>
      <c r="J78" s="1" t="s">
        <v>428</v>
      </c>
      <c r="K78" s="1" t="s">
        <v>429</v>
      </c>
      <c r="N78" s="1" t="s">
        <v>320</v>
      </c>
      <c r="O78" s="270">
        <v>44475</v>
      </c>
      <c r="P78" s="1" t="s">
        <v>430</v>
      </c>
      <c r="Q78" s="1" t="s">
        <v>431</v>
      </c>
      <c r="R78" s="1" t="s">
        <v>560</v>
      </c>
      <c r="T78" s="1" t="s">
        <v>428</v>
      </c>
      <c r="U78" s="1" t="s">
        <v>561</v>
      </c>
      <c r="V78" s="1" t="s">
        <v>443</v>
      </c>
      <c r="W78" s="270">
        <v>44474</v>
      </c>
      <c r="X78" s="1" t="s">
        <v>433</v>
      </c>
    </row>
    <row r="79" spans="1:24" x14ac:dyDescent="0.25">
      <c r="A79" s="1" t="s">
        <v>193</v>
      </c>
      <c r="B79" s="1" t="s">
        <v>194</v>
      </c>
      <c r="C79" s="269">
        <v>-1559.52</v>
      </c>
      <c r="D79" s="1" t="s">
        <v>425</v>
      </c>
      <c r="E79" s="1" t="s">
        <v>426</v>
      </c>
      <c r="F79" s="1" t="s">
        <v>258</v>
      </c>
      <c r="G79" s="1" t="s">
        <v>427</v>
      </c>
      <c r="H79" s="270">
        <v>44474</v>
      </c>
      <c r="I79" s="271">
        <v>-24</v>
      </c>
      <c r="J79" s="1" t="s">
        <v>428</v>
      </c>
      <c r="K79" s="1" t="s">
        <v>429</v>
      </c>
      <c r="N79" s="1" t="s">
        <v>320</v>
      </c>
      <c r="O79" s="270">
        <v>44475</v>
      </c>
      <c r="P79" s="1" t="s">
        <v>430</v>
      </c>
      <c r="Q79" s="1" t="s">
        <v>431</v>
      </c>
      <c r="R79" s="1" t="s">
        <v>558</v>
      </c>
      <c r="T79" s="1" t="s">
        <v>428</v>
      </c>
      <c r="U79" s="1" t="s">
        <v>559</v>
      </c>
      <c r="V79" s="1" t="s">
        <v>446</v>
      </c>
      <c r="W79" s="270">
        <v>44474</v>
      </c>
      <c r="X79" s="1" t="s">
        <v>433</v>
      </c>
    </row>
    <row r="80" spans="1:24" x14ac:dyDescent="0.25">
      <c r="A80" s="1" t="s">
        <v>193</v>
      </c>
      <c r="B80" s="1" t="s">
        <v>194</v>
      </c>
      <c r="C80" s="269">
        <v>-5198.3999999999996</v>
      </c>
      <c r="D80" s="1" t="s">
        <v>425</v>
      </c>
      <c r="E80" s="1" t="s">
        <v>426</v>
      </c>
      <c r="F80" s="1" t="s">
        <v>258</v>
      </c>
      <c r="G80" s="1" t="s">
        <v>427</v>
      </c>
      <c r="H80" s="270">
        <v>44474</v>
      </c>
      <c r="I80" s="271">
        <v>-80</v>
      </c>
      <c r="J80" s="1" t="s">
        <v>428</v>
      </c>
      <c r="K80" s="1" t="s">
        <v>429</v>
      </c>
      <c r="N80" s="1" t="s">
        <v>320</v>
      </c>
      <c r="O80" s="270">
        <v>44475</v>
      </c>
      <c r="P80" s="1" t="s">
        <v>430</v>
      </c>
      <c r="Q80" s="1" t="s">
        <v>431</v>
      </c>
      <c r="R80" s="1" t="s">
        <v>556</v>
      </c>
      <c r="T80" s="1" t="s">
        <v>428</v>
      </c>
      <c r="U80" s="1" t="s">
        <v>557</v>
      </c>
      <c r="V80" s="1" t="s">
        <v>442</v>
      </c>
      <c r="W80" s="270">
        <v>44474</v>
      </c>
      <c r="X80" s="1" t="s">
        <v>433</v>
      </c>
    </row>
    <row r="81" spans="1:24" x14ac:dyDescent="0.25">
      <c r="A81" s="1" t="s">
        <v>193</v>
      </c>
      <c r="B81" s="1" t="s">
        <v>194</v>
      </c>
      <c r="C81" s="269">
        <v>-6498</v>
      </c>
      <c r="D81" s="1" t="s">
        <v>425</v>
      </c>
      <c r="E81" s="1" t="s">
        <v>426</v>
      </c>
      <c r="F81" s="1" t="s">
        <v>258</v>
      </c>
      <c r="G81" s="1" t="s">
        <v>427</v>
      </c>
      <c r="H81" s="270">
        <v>44474</v>
      </c>
      <c r="I81" s="271">
        <v>-100</v>
      </c>
      <c r="J81" s="1" t="s">
        <v>428</v>
      </c>
      <c r="K81" s="1" t="s">
        <v>429</v>
      </c>
      <c r="N81" s="1" t="s">
        <v>320</v>
      </c>
      <c r="O81" s="270">
        <v>44475</v>
      </c>
      <c r="P81" s="1" t="s">
        <v>430</v>
      </c>
      <c r="Q81" s="1" t="s">
        <v>431</v>
      </c>
      <c r="R81" s="1" t="s">
        <v>532</v>
      </c>
      <c r="T81" s="1" t="s">
        <v>428</v>
      </c>
      <c r="U81" s="1" t="s">
        <v>533</v>
      </c>
      <c r="V81" s="1" t="s">
        <v>447</v>
      </c>
      <c r="W81" s="270">
        <v>44474</v>
      </c>
      <c r="X81" s="1" t="s">
        <v>433</v>
      </c>
    </row>
    <row r="82" spans="1:24" x14ac:dyDescent="0.25">
      <c r="A82" s="1" t="s">
        <v>193</v>
      </c>
      <c r="B82" s="1" t="s">
        <v>194</v>
      </c>
      <c r="C82" s="269">
        <v>-2599.1999999999998</v>
      </c>
      <c r="D82" s="1" t="s">
        <v>425</v>
      </c>
      <c r="E82" s="1" t="s">
        <v>426</v>
      </c>
      <c r="F82" s="1" t="s">
        <v>258</v>
      </c>
      <c r="G82" s="1" t="s">
        <v>427</v>
      </c>
      <c r="H82" s="270">
        <v>44474</v>
      </c>
      <c r="I82" s="271">
        <v>-40</v>
      </c>
      <c r="J82" s="1" t="s">
        <v>428</v>
      </c>
      <c r="K82" s="1" t="s">
        <v>429</v>
      </c>
      <c r="N82" s="1" t="s">
        <v>320</v>
      </c>
      <c r="O82" s="270">
        <v>44475</v>
      </c>
      <c r="P82" s="1" t="s">
        <v>430</v>
      </c>
      <c r="Q82" s="1" t="s">
        <v>431</v>
      </c>
      <c r="R82" s="1" t="s">
        <v>548</v>
      </c>
      <c r="T82" s="1" t="s">
        <v>428</v>
      </c>
      <c r="U82" s="1" t="s">
        <v>549</v>
      </c>
      <c r="V82" s="1" t="s">
        <v>443</v>
      </c>
      <c r="W82" s="270">
        <v>44474</v>
      </c>
      <c r="X82" s="1" t="s">
        <v>433</v>
      </c>
    </row>
    <row r="83" spans="1:24" x14ac:dyDescent="0.25">
      <c r="A83" s="1" t="s">
        <v>193</v>
      </c>
      <c r="B83" s="1" t="s">
        <v>194</v>
      </c>
      <c r="C83" s="269">
        <v>-6757.92</v>
      </c>
      <c r="D83" s="1" t="s">
        <v>425</v>
      </c>
      <c r="E83" s="1" t="s">
        <v>426</v>
      </c>
      <c r="F83" s="1" t="s">
        <v>258</v>
      </c>
      <c r="G83" s="1" t="s">
        <v>427</v>
      </c>
      <c r="H83" s="270">
        <v>44474</v>
      </c>
      <c r="I83" s="271">
        <v>-104</v>
      </c>
      <c r="J83" s="1" t="s">
        <v>428</v>
      </c>
      <c r="K83" s="1" t="s">
        <v>429</v>
      </c>
      <c r="N83" s="1" t="s">
        <v>320</v>
      </c>
      <c r="O83" s="270">
        <v>44475</v>
      </c>
      <c r="P83" s="1" t="s">
        <v>430</v>
      </c>
      <c r="Q83" s="1" t="s">
        <v>431</v>
      </c>
      <c r="R83" s="1" t="s">
        <v>550</v>
      </c>
      <c r="T83" s="1" t="s">
        <v>428</v>
      </c>
      <c r="U83" s="1" t="s">
        <v>551</v>
      </c>
      <c r="V83" s="1" t="s">
        <v>443</v>
      </c>
      <c r="W83" s="270">
        <v>44474</v>
      </c>
      <c r="X83" s="1" t="s">
        <v>433</v>
      </c>
    </row>
    <row r="84" spans="1:24" x14ac:dyDescent="0.25">
      <c r="A84" s="1" t="s">
        <v>193</v>
      </c>
      <c r="B84" s="1" t="s">
        <v>194</v>
      </c>
      <c r="C84" s="269">
        <v>-2469.2399999999998</v>
      </c>
      <c r="D84" s="1" t="s">
        <v>425</v>
      </c>
      <c r="E84" s="1" t="s">
        <v>426</v>
      </c>
      <c r="F84" s="1" t="s">
        <v>258</v>
      </c>
      <c r="G84" s="1" t="s">
        <v>427</v>
      </c>
      <c r="H84" s="270">
        <v>44474</v>
      </c>
      <c r="I84" s="271">
        <v>-38</v>
      </c>
      <c r="J84" s="1" t="s">
        <v>428</v>
      </c>
      <c r="K84" s="1" t="s">
        <v>429</v>
      </c>
      <c r="N84" s="1" t="s">
        <v>320</v>
      </c>
      <c r="O84" s="270">
        <v>44475</v>
      </c>
      <c r="P84" s="1" t="s">
        <v>430</v>
      </c>
      <c r="Q84" s="1" t="s">
        <v>431</v>
      </c>
      <c r="R84" s="1" t="s">
        <v>552</v>
      </c>
      <c r="T84" s="1" t="s">
        <v>428</v>
      </c>
      <c r="U84" s="1" t="s">
        <v>553</v>
      </c>
      <c r="V84" s="1" t="s">
        <v>443</v>
      </c>
      <c r="W84" s="270">
        <v>44474</v>
      </c>
      <c r="X84" s="1" t="s">
        <v>433</v>
      </c>
    </row>
    <row r="85" spans="1:24" x14ac:dyDescent="0.25">
      <c r="A85" s="1" t="s">
        <v>193</v>
      </c>
      <c r="B85" s="1" t="s">
        <v>194</v>
      </c>
      <c r="C85" s="269">
        <v>-10071.9</v>
      </c>
      <c r="D85" s="1" t="s">
        <v>425</v>
      </c>
      <c r="E85" s="1" t="s">
        <v>426</v>
      </c>
      <c r="F85" s="1" t="s">
        <v>258</v>
      </c>
      <c r="G85" s="1" t="s">
        <v>427</v>
      </c>
      <c r="H85" s="270">
        <v>44474</v>
      </c>
      <c r="I85" s="271">
        <v>-155</v>
      </c>
      <c r="J85" s="1" t="s">
        <v>428</v>
      </c>
      <c r="K85" s="1" t="s">
        <v>429</v>
      </c>
      <c r="N85" s="1" t="s">
        <v>320</v>
      </c>
      <c r="O85" s="270">
        <v>44475</v>
      </c>
      <c r="P85" s="1" t="s">
        <v>430</v>
      </c>
      <c r="Q85" s="1" t="s">
        <v>431</v>
      </c>
      <c r="R85" s="1" t="s">
        <v>528</v>
      </c>
      <c r="T85" s="1" t="s">
        <v>428</v>
      </c>
      <c r="U85" s="1" t="s">
        <v>529</v>
      </c>
      <c r="V85" s="1" t="s">
        <v>450</v>
      </c>
      <c r="W85" s="270">
        <v>44474</v>
      </c>
      <c r="X85" s="1" t="s">
        <v>433</v>
      </c>
    </row>
    <row r="86" spans="1:24" x14ac:dyDescent="0.25">
      <c r="A86" s="1" t="s">
        <v>193</v>
      </c>
      <c r="B86" s="1" t="s">
        <v>194</v>
      </c>
      <c r="C86" s="269">
        <v>-3249</v>
      </c>
      <c r="D86" s="1" t="s">
        <v>425</v>
      </c>
      <c r="E86" s="1" t="s">
        <v>426</v>
      </c>
      <c r="F86" s="1" t="s">
        <v>258</v>
      </c>
      <c r="G86" s="1" t="s">
        <v>427</v>
      </c>
      <c r="H86" s="270">
        <v>44474</v>
      </c>
      <c r="I86" s="271">
        <v>-50</v>
      </c>
      <c r="J86" s="1" t="s">
        <v>428</v>
      </c>
      <c r="K86" s="1" t="s">
        <v>429</v>
      </c>
      <c r="N86" s="1" t="s">
        <v>320</v>
      </c>
      <c r="O86" s="270">
        <v>44475</v>
      </c>
      <c r="P86" s="1" t="s">
        <v>430</v>
      </c>
      <c r="Q86" s="1" t="s">
        <v>431</v>
      </c>
      <c r="R86" s="1" t="s">
        <v>554</v>
      </c>
      <c r="T86" s="1" t="s">
        <v>428</v>
      </c>
      <c r="U86" s="1" t="s">
        <v>555</v>
      </c>
      <c r="V86" s="1" t="s">
        <v>451</v>
      </c>
      <c r="W86" s="270">
        <v>44474</v>
      </c>
      <c r="X86" s="1" t="s">
        <v>433</v>
      </c>
    </row>
    <row r="87" spans="1:24" x14ac:dyDescent="0.25">
      <c r="A87" s="1" t="s">
        <v>193</v>
      </c>
      <c r="B87" s="1" t="s">
        <v>194</v>
      </c>
      <c r="C87" s="269">
        <v>-4548.6000000000004</v>
      </c>
      <c r="D87" s="1" t="s">
        <v>425</v>
      </c>
      <c r="E87" s="1" t="s">
        <v>426</v>
      </c>
      <c r="F87" s="1" t="s">
        <v>258</v>
      </c>
      <c r="G87" s="1" t="s">
        <v>427</v>
      </c>
      <c r="H87" s="270">
        <v>44474</v>
      </c>
      <c r="I87" s="271">
        <v>-70</v>
      </c>
      <c r="J87" s="1" t="s">
        <v>428</v>
      </c>
      <c r="K87" s="1" t="s">
        <v>429</v>
      </c>
      <c r="N87" s="1" t="s">
        <v>320</v>
      </c>
      <c r="O87" s="270">
        <v>44475</v>
      </c>
      <c r="P87" s="1" t="s">
        <v>430</v>
      </c>
      <c r="Q87" s="1" t="s">
        <v>431</v>
      </c>
      <c r="R87" s="1" t="s">
        <v>540</v>
      </c>
      <c r="T87" s="1" t="s">
        <v>428</v>
      </c>
      <c r="U87" s="1" t="s">
        <v>541</v>
      </c>
      <c r="V87" s="1" t="s">
        <v>448</v>
      </c>
      <c r="W87" s="270">
        <v>44474</v>
      </c>
      <c r="X87" s="1" t="s">
        <v>433</v>
      </c>
    </row>
    <row r="88" spans="1:24" x14ac:dyDescent="0.25">
      <c r="A88" s="1" t="s">
        <v>130</v>
      </c>
      <c r="B88" s="1" t="s">
        <v>131</v>
      </c>
      <c r="C88" s="269">
        <v>-1303.8</v>
      </c>
      <c r="D88" s="1" t="s">
        <v>425</v>
      </c>
      <c r="E88" s="1" t="s">
        <v>426</v>
      </c>
      <c r="F88" s="1" t="s">
        <v>258</v>
      </c>
      <c r="G88" s="1" t="s">
        <v>427</v>
      </c>
      <c r="H88" s="270">
        <v>44475</v>
      </c>
      <c r="I88" s="271">
        <v>-20</v>
      </c>
      <c r="J88" s="1" t="s">
        <v>428</v>
      </c>
      <c r="K88" s="1" t="s">
        <v>429</v>
      </c>
      <c r="N88" s="1" t="s">
        <v>319</v>
      </c>
      <c r="O88" s="270">
        <v>44476</v>
      </c>
      <c r="P88" s="1" t="s">
        <v>430</v>
      </c>
      <c r="Q88" s="1" t="s">
        <v>431</v>
      </c>
      <c r="R88" s="1" t="s">
        <v>752</v>
      </c>
      <c r="T88" s="1" t="s">
        <v>428</v>
      </c>
      <c r="U88" s="1" t="s">
        <v>753</v>
      </c>
      <c r="V88" s="1" t="s">
        <v>754</v>
      </c>
      <c r="W88" s="270">
        <v>44475</v>
      </c>
      <c r="X88" s="1" t="s">
        <v>433</v>
      </c>
    </row>
    <row r="89" spans="1:24" x14ac:dyDescent="0.25">
      <c r="A89" s="1" t="s">
        <v>130</v>
      </c>
      <c r="B89" s="1" t="s">
        <v>131</v>
      </c>
      <c r="C89" s="269">
        <v>-4172.16</v>
      </c>
      <c r="D89" s="1" t="s">
        <v>425</v>
      </c>
      <c r="E89" s="1" t="s">
        <v>426</v>
      </c>
      <c r="F89" s="1" t="s">
        <v>258</v>
      </c>
      <c r="G89" s="1" t="s">
        <v>427</v>
      </c>
      <c r="H89" s="270">
        <v>44475</v>
      </c>
      <c r="I89" s="271">
        <v>-64</v>
      </c>
      <c r="J89" s="1" t="s">
        <v>428</v>
      </c>
      <c r="K89" s="1" t="s">
        <v>429</v>
      </c>
      <c r="N89" s="1" t="s">
        <v>319</v>
      </c>
      <c r="O89" s="270">
        <v>44476</v>
      </c>
      <c r="P89" s="1" t="s">
        <v>430</v>
      </c>
      <c r="Q89" s="1" t="s">
        <v>431</v>
      </c>
      <c r="R89" s="1" t="s">
        <v>757</v>
      </c>
      <c r="T89" s="1" t="s">
        <v>428</v>
      </c>
      <c r="U89" s="1" t="s">
        <v>758</v>
      </c>
      <c r="V89" s="1" t="s">
        <v>759</v>
      </c>
      <c r="W89" s="270">
        <v>44475</v>
      </c>
      <c r="X89" s="1" t="s">
        <v>433</v>
      </c>
    </row>
    <row r="90" spans="1:24" x14ac:dyDescent="0.25">
      <c r="A90" s="1" t="s">
        <v>130</v>
      </c>
      <c r="B90" s="1" t="s">
        <v>131</v>
      </c>
      <c r="C90" s="269">
        <v>-3911.4</v>
      </c>
      <c r="D90" s="1" t="s">
        <v>425</v>
      </c>
      <c r="E90" s="1" t="s">
        <v>426</v>
      </c>
      <c r="F90" s="1" t="s">
        <v>258</v>
      </c>
      <c r="G90" s="1" t="s">
        <v>427</v>
      </c>
      <c r="H90" s="270">
        <v>44475</v>
      </c>
      <c r="I90" s="271">
        <v>-60</v>
      </c>
      <c r="J90" s="1" t="s">
        <v>428</v>
      </c>
      <c r="K90" s="1" t="s">
        <v>429</v>
      </c>
      <c r="N90" s="1" t="s">
        <v>319</v>
      </c>
      <c r="O90" s="270">
        <v>44476</v>
      </c>
      <c r="P90" s="1" t="s">
        <v>430</v>
      </c>
      <c r="Q90" s="1" t="s">
        <v>431</v>
      </c>
      <c r="R90" s="1" t="s">
        <v>769</v>
      </c>
      <c r="T90" s="1" t="s">
        <v>428</v>
      </c>
      <c r="U90" s="1" t="s">
        <v>770</v>
      </c>
      <c r="V90" s="1" t="s">
        <v>726</v>
      </c>
      <c r="W90" s="270">
        <v>44475</v>
      </c>
      <c r="X90" s="1" t="s">
        <v>433</v>
      </c>
    </row>
    <row r="91" spans="1:24" x14ac:dyDescent="0.25">
      <c r="A91" s="1" t="s">
        <v>130</v>
      </c>
      <c r="B91" s="1" t="s">
        <v>131</v>
      </c>
      <c r="C91" s="269">
        <v>-130.38</v>
      </c>
      <c r="D91" s="1" t="s">
        <v>425</v>
      </c>
      <c r="E91" s="1" t="s">
        <v>426</v>
      </c>
      <c r="F91" s="1" t="s">
        <v>258</v>
      </c>
      <c r="G91" s="1" t="s">
        <v>427</v>
      </c>
      <c r="H91" s="270">
        <v>44475</v>
      </c>
      <c r="I91" s="271">
        <v>-2</v>
      </c>
      <c r="J91" s="1" t="s">
        <v>428</v>
      </c>
      <c r="K91" s="1" t="s">
        <v>429</v>
      </c>
      <c r="N91" s="1" t="s">
        <v>319</v>
      </c>
      <c r="O91" s="270">
        <v>44476</v>
      </c>
      <c r="P91" s="1" t="s">
        <v>430</v>
      </c>
      <c r="Q91" s="1" t="s">
        <v>431</v>
      </c>
      <c r="R91" s="1" t="s">
        <v>760</v>
      </c>
      <c r="T91" s="1" t="s">
        <v>428</v>
      </c>
      <c r="U91" s="1" t="s">
        <v>761</v>
      </c>
      <c r="V91" s="1" t="s">
        <v>762</v>
      </c>
      <c r="W91" s="270">
        <v>44475</v>
      </c>
      <c r="X91" s="1" t="s">
        <v>433</v>
      </c>
    </row>
    <row r="92" spans="1:24" x14ac:dyDescent="0.25">
      <c r="A92" s="1" t="s">
        <v>130</v>
      </c>
      <c r="B92" s="1" t="s">
        <v>131</v>
      </c>
      <c r="C92" s="269">
        <v>-12907.62</v>
      </c>
      <c r="D92" s="1" t="s">
        <v>425</v>
      </c>
      <c r="E92" s="1" t="s">
        <v>426</v>
      </c>
      <c r="F92" s="1" t="s">
        <v>258</v>
      </c>
      <c r="G92" s="1" t="s">
        <v>427</v>
      </c>
      <c r="H92" s="270">
        <v>44474</v>
      </c>
      <c r="I92" s="271">
        <v>-198</v>
      </c>
      <c r="J92" s="1" t="s">
        <v>428</v>
      </c>
      <c r="K92" s="1" t="s">
        <v>429</v>
      </c>
      <c r="N92" s="1" t="s">
        <v>319</v>
      </c>
      <c r="O92" s="270">
        <v>44475</v>
      </c>
      <c r="P92" s="1" t="s">
        <v>430</v>
      </c>
      <c r="Q92" s="1" t="s">
        <v>431</v>
      </c>
      <c r="R92" s="1" t="s">
        <v>564</v>
      </c>
      <c r="T92" s="1" t="s">
        <v>428</v>
      </c>
      <c r="U92" s="1" t="s">
        <v>565</v>
      </c>
      <c r="V92" s="1" t="s">
        <v>447</v>
      </c>
      <c r="W92" s="270">
        <v>44474</v>
      </c>
      <c r="X92" s="1" t="s">
        <v>433</v>
      </c>
    </row>
    <row r="93" spans="1:24" x14ac:dyDescent="0.25">
      <c r="A93" s="1" t="s">
        <v>130</v>
      </c>
      <c r="B93" s="1" t="s">
        <v>131</v>
      </c>
      <c r="C93" s="269">
        <v>-17731.68</v>
      </c>
      <c r="D93" s="1" t="s">
        <v>425</v>
      </c>
      <c r="E93" s="1" t="s">
        <v>426</v>
      </c>
      <c r="F93" s="1" t="s">
        <v>258</v>
      </c>
      <c r="G93" s="1" t="s">
        <v>427</v>
      </c>
      <c r="H93" s="270">
        <v>44474</v>
      </c>
      <c r="I93" s="271">
        <v>-272</v>
      </c>
      <c r="J93" s="1" t="s">
        <v>428</v>
      </c>
      <c r="K93" s="1" t="s">
        <v>429</v>
      </c>
      <c r="N93" s="1" t="s">
        <v>319</v>
      </c>
      <c r="O93" s="270">
        <v>44475</v>
      </c>
      <c r="P93" s="1" t="s">
        <v>430</v>
      </c>
      <c r="Q93" s="1" t="s">
        <v>431</v>
      </c>
      <c r="R93" s="1" t="s">
        <v>566</v>
      </c>
      <c r="T93" s="1" t="s">
        <v>428</v>
      </c>
      <c r="U93" s="1" t="s">
        <v>567</v>
      </c>
      <c r="V93" s="1" t="s">
        <v>447</v>
      </c>
      <c r="W93" s="270">
        <v>44474</v>
      </c>
      <c r="X93" s="1" t="s">
        <v>433</v>
      </c>
    </row>
    <row r="94" spans="1:24" x14ac:dyDescent="0.25">
      <c r="A94" s="1" t="s">
        <v>130</v>
      </c>
      <c r="B94" s="1" t="s">
        <v>131</v>
      </c>
      <c r="C94" s="269">
        <v>-3259.5</v>
      </c>
      <c r="D94" s="1" t="s">
        <v>425</v>
      </c>
      <c r="E94" s="1" t="s">
        <v>426</v>
      </c>
      <c r="F94" s="1" t="s">
        <v>258</v>
      </c>
      <c r="G94" s="1" t="s">
        <v>427</v>
      </c>
      <c r="H94" s="270">
        <v>44474</v>
      </c>
      <c r="I94" s="271">
        <v>-50</v>
      </c>
      <c r="J94" s="1" t="s">
        <v>428</v>
      </c>
      <c r="K94" s="1" t="s">
        <v>429</v>
      </c>
      <c r="N94" s="1" t="s">
        <v>319</v>
      </c>
      <c r="O94" s="270">
        <v>44475</v>
      </c>
      <c r="P94" s="1" t="s">
        <v>430</v>
      </c>
      <c r="Q94" s="1" t="s">
        <v>431</v>
      </c>
      <c r="R94" s="1" t="s">
        <v>528</v>
      </c>
      <c r="T94" s="1" t="s">
        <v>428</v>
      </c>
      <c r="U94" s="1" t="s">
        <v>529</v>
      </c>
      <c r="V94" s="1" t="s">
        <v>450</v>
      </c>
      <c r="W94" s="270">
        <v>44474</v>
      </c>
      <c r="X94" s="1" t="s">
        <v>433</v>
      </c>
    </row>
    <row r="95" spans="1:24" x14ac:dyDescent="0.25">
      <c r="A95" s="1" t="s">
        <v>130</v>
      </c>
      <c r="B95" s="1" t="s">
        <v>131</v>
      </c>
      <c r="C95" s="269">
        <v>-1303.8</v>
      </c>
      <c r="D95" s="1" t="s">
        <v>425</v>
      </c>
      <c r="E95" s="1" t="s">
        <v>426</v>
      </c>
      <c r="F95" s="1" t="s">
        <v>258</v>
      </c>
      <c r="G95" s="1" t="s">
        <v>427</v>
      </c>
      <c r="H95" s="270">
        <v>44474</v>
      </c>
      <c r="I95" s="271">
        <v>-20</v>
      </c>
      <c r="J95" s="1" t="s">
        <v>428</v>
      </c>
      <c r="K95" s="1" t="s">
        <v>429</v>
      </c>
      <c r="N95" s="1" t="s">
        <v>319</v>
      </c>
      <c r="O95" s="270">
        <v>44475</v>
      </c>
      <c r="P95" s="1" t="s">
        <v>430</v>
      </c>
      <c r="Q95" s="1" t="s">
        <v>431</v>
      </c>
      <c r="R95" s="1" t="s">
        <v>530</v>
      </c>
      <c r="T95" s="1" t="s">
        <v>428</v>
      </c>
      <c r="U95" s="1" t="s">
        <v>531</v>
      </c>
      <c r="V95" s="1" t="s">
        <v>438</v>
      </c>
      <c r="W95" s="270">
        <v>44474</v>
      </c>
      <c r="X95" s="1" t="s">
        <v>433</v>
      </c>
    </row>
    <row r="96" spans="1:24" x14ac:dyDescent="0.25">
      <c r="A96" s="1" t="s">
        <v>130</v>
      </c>
      <c r="B96" s="1" t="s">
        <v>131</v>
      </c>
      <c r="C96" s="269">
        <v>-9778.5</v>
      </c>
      <c r="D96" s="1" t="s">
        <v>425</v>
      </c>
      <c r="E96" s="1" t="s">
        <v>426</v>
      </c>
      <c r="F96" s="1" t="s">
        <v>258</v>
      </c>
      <c r="G96" s="1" t="s">
        <v>427</v>
      </c>
      <c r="H96" s="270">
        <v>44474</v>
      </c>
      <c r="I96" s="271">
        <v>-150</v>
      </c>
      <c r="J96" s="1" t="s">
        <v>428</v>
      </c>
      <c r="K96" s="1" t="s">
        <v>429</v>
      </c>
      <c r="N96" s="1" t="s">
        <v>319</v>
      </c>
      <c r="O96" s="270">
        <v>44475</v>
      </c>
      <c r="P96" s="1" t="s">
        <v>430</v>
      </c>
      <c r="Q96" s="1" t="s">
        <v>431</v>
      </c>
      <c r="R96" s="1" t="s">
        <v>540</v>
      </c>
      <c r="T96" s="1" t="s">
        <v>428</v>
      </c>
      <c r="U96" s="1" t="s">
        <v>541</v>
      </c>
      <c r="V96" s="1" t="s">
        <v>448</v>
      </c>
      <c r="W96" s="270">
        <v>44474</v>
      </c>
      <c r="X96" s="1" t="s">
        <v>433</v>
      </c>
    </row>
    <row r="97" spans="1:24" x14ac:dyDescent="0.25">
      <c r="A97" s="1" t="s">
        <v>130</v>
      </c>
      <c r="B97" s="1" t="s">
        <v>131</v>
      </c>
      <c r="C97" s="269">
        <v>-13038</v>
      </c>
      <c r="D97" s="1" t="s">
        <v>425</v>
      </c>
      <c r="E97" s="1" t="s">
        <v>426</v>
      </c>
      <c r="F97" s="1" t="s">
        <v>258</v>
      </c>
      <c r="G97" s="1" t="s">
        <v>427</v>
      </c>
      <c r="H97" s="270">
        <v>44474</v>
      </c>
      <c r="I97" s="271">
        <v>-200</v>
      </c>
      <c r="J97" s="1" t="s">
        <v>428</v>
      </c>
      <c r="K97" s="1" t="s">
        <v>429</v>
      </c>
      <c r="N97" s="1" t="s">
        <v>319</v>
      </c>
      <c r="O97" s="270">
        <v>44475</v>
      </c>
      <c r="P97" s="1" t="s">
        <v>430</v>
      </c>
      <c r="Q97" s="1" t="s">
        <v>431</v>
      </c>
      <c r="R97" s="1" t="s">
        <v>502</v>
      </c>
      <c r="T97" s="1" t="s">
        <v>428</v>
      </c>
      <c r="U97" s="1" t="s">
        <v>503</v>
      </c>
      <c r="V97" s="1" t="s">
        <v>443</v>
      </c>
      <c r="W97" s="270">
        <v>44474</v>
      </c>
      <c r="X97" s="1" t="s">
        <v>433</v>
      </c>
    </row>
    <row r="98" spans="1:24" x14ac:dyDescent="0.25">
      <c r="A98" s="1" t="s">
        <v>130</v>
      </c>
      <c r="B98" s="1" t="s">
        <v>131</v>
      </c>
      <c r="C98" s="269">
        <v>-3715.83</v>
      </c>
      <c r="D98" s="1" t="s">
        <v>425</v>
      </c>
      <c r="E98" s="1" t="s">
        <v>426</v>
      </c>
      <c r="F98" s="1" t="s">
        <v>258</v>
      </c>
      <c r="G98" s="1" t="s">
        <v>427</v>
      </c>
      <c r="H98" s="270">
        <v>44474</v>
      </c>
      <c r="I98" s="271">
        <v>-57</v>
      </c>
      <c r="J98" s="1" t="s">
        <v>428</v>
      </c>
      <c r="K98" s="1" t="s">
        <v>429</v>
      </c>
      <c r="N98" s="1" t="s">
        <v>319</v>
      </c>
      <c r="O98" s="270">
        <v>44475</v>
      </c>
      <c r="P98" s="1" t="s">
        <v>430</v>
      </c>
      <c r="Q98" s="1" t="s">
        <v>431</v>
      </c>
      <c r="R98" s="1" t="s">
        <v>532</v>
      </c>
      <c r="T98" s="1" t="s">
        <v>428</v>
      </c>
      <c r="U98" s="1" t="s">
        <v>533</v>
      </c>
      <c r="V98" s="1" t="s">
        <v>447</v>
      </c>
      <c r="W98" s="270">
        <v>44474</v>
      </c>
      <c r="X98" s="1" t="s">
        <v>433</v>
      </c>
    </row>
    <row r="99" spans="1:24" x14ac:dyDescent="0.25">
      <c r="A99" s="1" t="s">
        <v>130</v>
      </c>
      <c r="B99" s="1" t="s">
        <v>131</v>
      </c>
      <c r="C99" s="269">
        <v>-8670.27</v>
      </c>
      <c r="D99" s="1" t="s">
        <v>425</v>
      </c>
      <c r="E99" s="1" t="s">
        <v>426</v>
      </c>
      <c r="F99" s="1" t="s">
        <v>258</v>
      </c>
      <c r="G99" s="1" t="s">
        <v>427</v>
      </c>
      <c r="H99" s="270">
        <v>44474</v>
      </c>
      <c r="I99" s="271">
        <v>-133</v>
      </c>
      <c r="J99" s="1" t="s">
        <v>428</v>
      </c>
      <c r="K99" s="1" t="s">
        <v>429</v>
      </c>
      <c r="N99" s="1" t="s">
        <v>319</v>
      </c>
      <c r="O99" s="270">
        <v>44475</v>
      </c>
      <c r="P99" s="1" t="s">
        <v>430</v>
      </c>
      <c r="Q99" s="1" t="s">
        <v>431</v>
      </c>
      <c r="R99" s="1" t="s">
        <v>568</v>
      </c>
      <c r="T99" s="1" t="s">
        <v>428</v>
      </c>
      <c r="U99" s="1" t="s">
        <v>569</v>
      </c>
      <c r="V99" s="1" t="s">
        <v>447</v>
      </c>
      <c r="W99" s="270">
        <v>44474</v>
      </c>
      <c r="X99" s="1" t="s">
        <v>433</v>
      </c>
    </row>
    <row r="100" spans="1:24" x14ac:dyDescent="0.25">
      <c r="A100" s="1" t="s">
        <v>130</v>
      </c>
      <c r="B100" s="1" t="s">
        <v>131</v>
      </c>
      <c r="C100" s="269">
        <v>-2998.74</v>
      </c>
      <c r="D100" s="1" t="s">
        <v>425</v>
      </c>
      <c r="E100" s="1" t="s">
        <v>426</v>
      </c>
      <c r="F100" s="1" t="s">
        <v>258</v>
      </c>
      <c r="G100" s="1" t="s">
        <v>427</v>
      </c>
      <c r="H100" s="270">
        <v>44473</v>
      </c>
      <c r="I100" s="271">
        <v>-46</v>
      </c>
      <c r="J100" s="1" t="s">
        <v>428</v>
      </c>
      <c r="K100" s="1" t="s">
        <v>429</v>
      </c>
      <c r="N100" s="1" t="s">
        <v>319</v>
      </c>
      <c r="O100" s="270">
        <v>44474</v>
      </c>
      <c r="P100" s="1" t="s">
        <v>430</v>
      </c>
      <c r="Q100" s="1" t="s">
        <v>431</v>
      </c>
      <c r="R100" s="1" t="s">
        <v>570</v>
      </c>
      <c r="T100" s="1" t="s">
        <v>428</v>
      </c>
      <c r="U100" s="1" t="s">
        <v>571</v>
      </c>
      <c r="V100" s="1" t="s">
        <v>441</v>
      </c>
      <c r="W100" s="270">
        <v>44473</v>
      </c>
      <c r="X100" s="1" t="s">
        <v>433</v>
      </c>
    </row>
    <row r="101" spans="1:24" x14ac:dyDescent="0.25">
      <c r="A101" s="1" t="s">
        <v>158</v>
      </c>
      <c r="B101" s="1" t="s">
        <v>159</v>
      </c>
      <c r="C101" s="269">
        <v>-1388.6</v>
      </c>
      <c r="D101" s="1" t="s">
        <v>425</v>
      </c>
      <c r="E101" s="1" t="s">
        <v>426</v>
      </c>
      <c r="F101" s="1" t="s">
        <v>258</v>
      </c>
      <c r="G101" s="1" t="s">
        <v>427</v>
      </c>
      <c r="H101" s="270">
        <v>44476</v>
      </c>
      <c r="I101" s="271">
        <v>-10</v>
      </c>
      <c r="J101" s="1" t="s">
        <v>428</v>
      </c>
      <c r="K101" s="1" t="s">
        <v>429</v>
      </c>
      <c r="N101" s="1" t="s">
        <v>342</v>
      </c>
      <c r="O101" s="270">
        <v>44477</v>
      </c>
      <c r="P101" s="1" t="s">
        <v>430</v>
      </c>
      <c r="Q101" s="1" t="s">
        <v>431</v>
      </c>
      <c r="R101" s="1" t="s">
        <v>778</v>
      </c>
      <c r="T101" s="1" t="s">
        <v>428</v>
      </c>
      <c r="U101" s="1" t="s">
        <v>779</v>
      </c>
      <c r="V101" s="1" t="s">
        <v>780</v>
      </c>
      <c r="W101" s="270">
        <v>44475</v>
      </c>
      <c r="X101" s="1" t="s">
        <v>433</v>
      </c>
    </row>
    <row r="102" spans="1:24" x14ac:dyDescent="0.25">
      <c r="A102" s="1" t="s">
        <v>158</v>
      </c>
      <c r="B102" s="1" t="s">
        <v>159</v>
      </c>
      <c r="C102" s="269">
        <v>-2777.2</v>
      </c>
      <c r="D102" s="1" t="s">
        <v>425</v>
      </c>
      <c r="E102" s="1" t="s">
        <v>426</v>
      </c>
      <c r="F102" s="1" t="s">
        <v>258</v>
      </c>
      <c r="G102" s="1" t="s">
        <v>427</v>
      </c>
      <c r="H102" s="270">
        <v>44476</v>
      </c>
      <c r="I102" s="271">
        <v>-20</v>
      </c>
      <c r="J102" s="1" t="s">
        <v>428</v>
      </c>
      <c r="K102" s="1" t="s">
        <v>429</v>
      </c>
      <c r="N102" s="1" t="s">
        <v>342</v>
      </c>
      <c r="O102" s="270">
        <v>44477</v>
      </c>
      <c r="P102" s="1" t="s">
        <v>430</v>
      </c>
      <c r="Q102" s="1" t="s">
        <v>431</v>
      </c>
      <c r="R102" s="1" t="s">
        <v>781</v>
      </c>
      <c r="T102" s="1" t="s">
        <v>428</v>
      </c>
      <c r="U102" s="1" t="s">
        <v>782</v>
      </c>
      <c r="V102" s="1" t="s">
        <v>754</v>
      </c>
      <c r="W102" s="270">
        <v>44475</v>
      </c>
      <c r="X102" s="1" t="s">
        <v>433</v>
      </c>
    </row>
    <row r="103" spans="1:24" x14ac:dyDescent="0.25">
      <c r="A103" s="1" t="s">
        <v>158</v>
      </c>
      <c r="B103" s="1" t="s">
        <v>159</v>
      </c>
      <c r="C103" s="269">
        <v>-2082.9</v>
      </c>
      <c r="D103" s="1" t="s">
        <v>425</v>
      </c>
      <c r="E103" s="1" t="s">
        <v>426</v>
      </c>
      <c r="F103" s="1" t="s">
        <v>258</v>
      </c>
      <c r="G103" s="1" t="s">
        <v>427</v>
      </c>
      <c r="H103" s="270">
        <v>44476</v>
      </c>
      <c r="I103" s="271">
        <v>-15</v>
      </c>
      <c r="J103" s="1" t="s">
        <v>428</v>
      </c>
      <c r="K103" s="1" t="s">
        <v>429</v>
      </c>
      <c r="N103" s="1" t="s">
        <v>342</v>
      </c>
      <c r="O103" s="270">
        <v>44477</v>
      </c>
      <c r="P103" s="1" t="s">
        <v>430</v>
      </c>
      <c r="Q103" s="1" t="s">
        <v>431</v>
      </c>
      <c r="R103" s="1" t="s">
        <v>783</v>
      </c>
      <c r="T103" s="1" t="s">
        <v>428</v>
      </c>
      <c r="U103" s="1" t="s">
        <v>784</v>
      </c>
      <c r="V103" s="1" t="s">
        <v>777</v>
      </c>
      <c r="W103" s="270">
        <v>44475</v>
      </c>
      <c r="X103" s="1" t="s">
        <v>433</v>
      </c>
    </row>
    <row r="104" spans="1:24" x14ac:dyDescent="0.25">
      <c r="A104" s="1" t="s">
        <v>158</v>
      </c>
      <c r="B104" s="1" t="s">
        <v>159</v>
      </c>
      <c r="C104" s="269">
        <v>-694.3</v>
      </c>
      <c r="D104" s="1" t="s">
        <v>425</v>
      </c>
      <c r="E104" s="1" t="s">
        <v>426</v>
      </c>
      <c r="F104" s="1" t="s">
        <v>258</v>
      </c>
      <c r="G104" s="1" t="s">
        <v>427</v>
      </c>
      <c r="H104" s="270">
        <v>44476</v>
      </c>
      <c r="I104" s="271">
        <v>-5</v>
      </c>
      <c r="J104" s="1" t="s">
        <v>428</v>
      </c>
      <c r="K104" s="1" t="s">
        <v>429</v>
      </c>
      <c r="N104" s="1" t="s">
        <v>342</v>
      </c>
      <c r="O104" s="270">
        <v>44477</v>
      </c>
      <c r="P104" s="1" t="s">
        <v>430</v>
      </c>
      <c r="Q104" s="1" t="s">
        <v>431</v>
      </c>
      <c r="R104" s="1" t="s">
        <v>785</v>
      </c>
      <c r="T104" s="1" t="s">
        <v>428</v>
      </c>
      <c r="U104" s="1" t="s">
        <v>786</v>
      </c>
      <c r="V104" s="1" t="s">
        <v>759</v>
      </c>
      <c r="W104" s="270">
        <v>44475</v>
      </c>
      <c r="X104" s="1" t="s">
        <v>433</v>
      </c>
    </row>
    <row r="105" spans="1:24" x14ac:dyDescent="0.25">
      <c r="A105" s="1" t="s">
        <v>158</v>
      </c>
      <c r="B105" s="1" t="s">
        <v>159</v>
      </c>
      <c r="C105" s="269">
        <v>-694.3</v>
      </c>
      <c r="D105" s="1" t="s">
        <v>425</v>
      </c>
      <c r="E105" s="1" t="s">
        <v>426</v>
      </c>
      <c r="F105" s="1" t="s">
        <v>258</v>
      </c>
      <c r="G105" s="1" t="s">
        <v>427</v>
      </c>
      <c r="H105" s="270">
        <v>44474</v>
      </c>
      <c r="I105" s="271">
        <v>-5</v>
      </c>
      <c r="J105" s="1" t="s">
        <v>428</v>
      </c>
      <c r="K105" s="1" t="s">
        <v>429</v>
      </c>
      <c r="N105" s="1" t="s">
        <v>342</v>
      </c>
      <c r="O105" s="270">
        <v>44475</v>
      </c>
      <c r="P105" s="1" t="s">
        <v>430</v>
      </c>
      <c r="Q105" s="1" t="s">
        <v>431</v>
      </c>
      <c r="R105" s="1" t="s">
        <v>572</v>
      </c>
      <c r="T105" s="1" t="s">
        <v>428</v>
      </c>
      <c r="U105" s="1" t="s">
        <v>573</v>
      </c>
      <c r="V105" s="1" t="s">
        <v>447</v>
      </c>
      <c r="W105" s="270">
        <v>44474</v>
      </c>
      <c r="X105" s="1" t="s">
        <v>433</v>
      </c>
    </row>
    <row r="106" spans="1:24" x14ac:dyDescent="0.25">
      <c r="A106" s="1" t="s">
        <v>158</v>
      </c>
      <c r="B106" s="1" t="s">
        <v>159</v>
      </c>
      <c r="C106" s="269">
        <v>-3888.08</v>
      </c>
      <c r="D106" s="1" t="s">
        <v>425</v>
      </c>
      <c r="E106" s="1" t="s">
        <v>426</v>
      </c>
      <c r="F106" s="1" t="s">
        <v>258</v>
      </c>
      <c r="G106" s="1" t="s">
        <v>427</v>
      </c>
      <c r="H106" s="270">
        <v>44474</v>
      </c>
      <c r="I106" s="271">
        <v>-28</v>
      </c>
      <c r="J106" s="1" t="s">
        <v>428</v>
      </c>
      <c r="K106" s="1" t="s">
        <v>429</v>
      </c>
      <c r="N106" s="1" t="s">
        <v>342</v>
      </c>
      <c r="O106" s="270">
        <v>44475</v>
      </c>
      <c r="P106" s="1" t="s">
        <v>430</v>
      </c>
      <c r="Q106" s="1" t="s">
        <v>431</v>
      </c>
      <c r="R106" s="1" t="s">
        <v>574</v>
      </c>
      <c r="T106" s="1" t="s">
        <v>428</v>
      </c>
      <c r="U106" s="1" t="s">
        <v>575</v>
      </c>
      <c r="V106" s="1" t="s">
        <v>447</v>
      </c>
      <c r="W106" s="270">
        <v>44474</v>
      </c>
      <c r="X106" s="1" t="s">
        <v>433</v>
      </c>
    </row>
    <row r="107" spans="1:24" x14ac:dyDescent="0.25">
      <c r="A107" s="1" t="s">
        <v>158</v>
      </c>
      <c r="B107" s="1" t="s">
        <v>159</v>
      </c>
      <c r="C107" s="269">
        <v>-1527.46</v>
      </c>
      <c r="D107" s="1" t="s">
        <v>425</v>
      </c>
      <c r="E107" s="1" t="s">
        <v>426</v>
      </c>
      <c r="F107" s="1" t="s">
        <v>258</v>
      </c>
      <c r="G107" s="1" t="s">
        <v>427</v>
      </c>
      <c r="H107" s="270">
        <v>44474</v>
      </c>
      <c r="I107" s="271">
        <v>-11</v>
      </c>
      <c r="J107" s="1" t="s">
        <v>428</v>
      </c>
      <c r="K107" s="1" t="s">
        <v>429</v>
      </c>
      <c r="N107" s="1" t="s">
        <v>342</v>
      </c>
      <c r="O107" s="270">
        <v>44475</v>
      </c>
      <c r="P107" s="1" t="s">
        <v>430</v>
      </c>
      <c r="Q107" s="1" t="s">
        <v>431</v>
      </c>
      <c r="R107" s="1" t="s">
        <v>576</v>
      </c>
      <c r="T107" s="1" t="s">
        <v>428</v>
      </c>
      <c r="U107" s="1" t="s">
        <v>577</v>
      </c>
      <c r="V107" s="1" t="s">
        <v>447</v>
      </c>
      <c r="W107" s="270">
        <v>44474</v>
      </c>
      <c r="X107" s="1" t="s">
        <v>433</v>
      </c>
    </row>
    <row r="108" spans="1:24" x14ac:dyDescent="0.25">
      <c r="A108" s="1" t="s">
        <v>158</v>
      </c>
      <c r="B108" s="1" t="s">
        <v>159</v>
      </c>
      <c r="C108" s="269">
        <v>-138.86000000000001</v>
      </c>
      <c r="D108" s="1" t="s">
        <v>425</v>
      </c>
      <c r="E108" s="1" t="s">
        <v>426</v>
      </c>
      <c r="F108" s="1" t="s">
        <v>258</v>
      </c>
      <c r="G108" s="1" t="s">
        <v>427</v>
      </c>
      <c r="H108" s="270">
        <v>44474</v>
      </c>
      <c r="I108" s="271">
        <v>-1</v>
      </c>
      <c r="J108" s="1" t="s">
        <v>428</v>
      </c>
      <c r="K108" s="1" t="s">
        <v>429</v>
      </c>
      <c r="N108" s="1" t="s">
        <v>342</v>
      </c>
      <c r="O108" s="270">
        <v>44475</v>
      </c>
      <c r="P108" s="1" t="s">
        <v>430</v>
      </c>
      <c r="Q108" s="1" t="s">
        <v>431</v>
      </c>
      <c r="R108" s="1" t="s">
        <v>578</v>
      </c>
      <c r="T108" s="1" t="s">
        <v>428</v>
      </c>
      <c r="U108" s="1" t="s">
        <v>579</v>
      </c>
      <c r="V108" s="1" t="s">
        <v>446</v>
      </c>
      <c r="W108" s="270">
        <v>44474</v>
      </c>
      <c r="X108" s="1" t="s">
        <v>433</v>
      </c>
    </row>
    <row r="109" spans="1:24" x14ac:dyDescent="0.25">
      <c r="A109" s="1" t="s">
        <v>158</v>
      </c>
      <c r="B109" s="1" t="s">
        <v>159</v>
      </c>
      <c r="C109" s="269">
        <v>-694.3</v>
      </c>
      <c r="D109" s="1" t="s">
        <v>425</v>
      </c>
      <c r="E109" s="1" t="s">
        <v>426</v>
      </c>
      <c r="F109" s="1" t="s">
        <v>258</v>
      </c>
      <c r="G109" s="1" t="s">
        <v>427</v>
      </c>
      <c r="H109" s="270">
        <v>44474</v>
      </c>
      <c r="I109" s="271">
        <v>-5</v>
      </c>
      <c r="J109" s="1" t="s">
        <v>428</v>
      </c>
      <c r="K109" s="1" t="s">
        <v>429</v>
      </c>
      <c r="N109" s="1" t="s">
        <v>342</v>
      </c>
      <c r="O109" s="270">
        <v>44475</v>
      </c>
      <c r="P109" s="1" t="s">
        <v>430</v>
      </c>
      <c r="Q109" s="1" t="s">
        <v>431</v>
      </c>
      <c r="R109" s="1" t="s">
        <v>580</v>
      </c>
      <c r="T109" s="1" t="s">
        <v>428</v>
      </c>
      <c r="U109" s="1" t="s">
        <v>581</v>
      </c>
      <c r="V109" s="1" t="s">
        <v>448</v>
      </c>
      <c r="W109" s="270">
        <v>44474</v>
      </c>
      <c r="X109" s="1" t="s">
        <v>433</v>
      </c>
    </row>
    <row r="110" spans="1:24" x14ac:dyDescent="0.25">
      <c r="A110" s="1" t="s">
        <v>158</v>
      </c>
      <c r="B110" s="1" t="s">
        <v>159</v>
      </c>
      <c r="C110" s="269">
        <v>-694.3</v>
      </c>
      <c r="D110" s="1" t="s">
        <v>425</v>
      </c>
      <c r="E110" s="1" t="s">
        <v>426</v>
      </c>
      <c r="F110" s="1" t="s">
        <v>258</v>
      </c>
      <c r="G110" s="1" t="s">
        <v>427</v>
      </c>
      <c r="H110" s="270">
        <v>44474</v>
      </c>
      <c r="I110" s="271">
        <v>-5</v>
      </c>
      <c r="J110" s="1" t="s">
        <v>428</v>
      </c>
      <c r="K110" s="1" t="s">
        <v>429</v>
      </c>
      <c r="N110" s="1" t="s">
        <v>342</v>
      </c>
      <c r="O110" s="270">
        <v>44475</v>
      </c>
      <c r="P110" s="1" t="s">
        <v>430</v>
      </c>
      <c r="Q110" s="1" t="s">
        <v>431</v>
      </c>
      <c r="R110" s="1" t="s">
        <v>582</v>
      </c>
      <c r="T110" s="1" t="s">
        <v>428</v>
      </c>
      <c r="U110" s="1" t="s">
        <v>583</v>
      </c>
      <c r="V110" s="1" t="s">
        <v>443</v>
      </c>
      <c r="W110" s="270">
        <v>44474</v>
      </c>
      <c r="X110" s="1" t="s">
        <v>433</v>
      </c>
    </row>
    <row r="111" spans="1:24" x14ac:dyDescent="0.25">
      <c r="A111" s="1" t="s">
        <v>17</v>
      </c>
      <c r="B111" s="1" t="s">
        <v>280</v>
      </c>
      <c r="C111" s="269">
        <v>-974.48</v>
      </c>
      <c r="D111" s="1" t="s">
        <v>425</v>
      </c>
      <c r="E111" s="1" t="s">
        <v>426</v>
      </c>
      <c r="F111" s="1" t="s">
        <v>258</v>
      </c>
      <c r="G111" s="1" t="s">
        <v>427</v>
      </c>
      <c r="H111" s="270">
        <v>44473</v>
      </c>
      <c r="I111" s="271">
        <v>-1</v>
      </c>
      <c r="J111" s="1" t="s">
        <v>428</v>
      </c>
      <c r="K111" s="1" t="s">
        <v>429</v>
      </c>
      <c r="N111" s="1" t="s">
        <v>317</v>
      </c>
      <c r="O111" s="270">
        <v>44474</v>
      </c>
      <c r="P111" s="1" t="s">
        <v>430</v>
      </c>
      <c r="Q111" s="1" t="s">
        <v>431</v>
      </c>
      <c r="R111" s="1" t="s">
        <v>584</v>
      </c>
      <c r="T111" s="1" t="s">
        <v>428</v>
      </c>
      <c r="U111" s="1" t="s">
        <v>585</v>
      </c>
      <c r="V111" s="1" t="s">
        <v>432</v>
      </c>
      <c r="W111" s="270">
        <v>44473</v>
      </c>
      <c r="X111" s="1" t="s">
        <v>433</v>
      </c>
    </row>
    <row r="112" spans="1:24" x14ac:dyDescent="0.25">
      <c r="A112" s="1" t="s">
        <v>18</v>
      </c>
      <c r="B112" s="1" t="s">
        <v>281</v>
      </c>
      <c r="C112" s="269">
        <v>-4900.6000000000004</v>
      </c>
      <c r="D112" s="1" t="s">
        <v>425</v>
      </c>
      <c r="E112" s="1" t="s">
        <v>426</v>
      </c>
      <c r="F112" s="1" t="s">
        <v>258</v>
      </c>
      <c r="G112" s="1" t="s">
        <v>427</v>
      </c>
      <c r="H112" s="270">
        <v>44474</v>
      </c>
      <c r="I112" s="271">
        <v>-5</v>
      </c>
      <c r="J112" s="1" t="s">
        <v>428</v>
      </c>
      <c r="K112" s="1" t="s">
        <v>429</v>
      </c>
      <c r="N112" s="1" t="s">
        <v>299</v>
      </c>
      <c r="O112" s="270">
        <v>44475</v>
      </c>
      <c r="P112" s="1" t="s">
        <v>430</v>
      </c>
      <c r="Q112" s="1" t="s">
        <v>431</v>
      </c>
      <c r="R112" s="1" t="s">
        <v>589</v>
      </c>
      <c r="T112" s="1" t="s">
        <v>428</v>
      </c>
      <c r="U112" s="1" t="s">
        <v>590</v>
      </c>
      <c r="V112" s="1" t="s">
        <v>438</v>
      </c>
      <c r="W112" s="270">
        <v>44474</v>
      </c>
      <c r="X112" s="1" t="s">
        <v>433</v>
      </c>
    </row>
    <row r="113" spans="1:24" x14ac:dyDescent="0.25">
      <c r="A113" s="1" t="s">
        <v>18</v>
      </c>
      <c r="B113" s="1" t="s">
        <v>281</v>
      </c>
      <c r="C113" s="269">
        <v>-11761.44</v>
      </c>
      <c r="D113" s="1" t="s">
        <v>425</v>
      </c>
      <c r="E113" s="1" t="s">
        <v>426</v>
      </c>
      <c r="F113" s="1" t="s">
        <v>258</v>
      </c>
      <c r="G113" s="1" t="s">
        <v>427</v>
      </c>
      <c r="H113" s="270">
        <v>44474</v>
      </c>
      <c r="I113" s="271">
        <v>-12</v>
      </c>
      <c r="J113" s="1" t="s">
        <v>428</v>
      </c>
      <c r="K113" s="1" t="s">
        <v>429</v>
      </c>
      <c r="N113" s="1" t="s">
        <v>299</v>
      </c>
      <c r="O113" s="270">
        <v>44475</v>
      </c>
      <c r="P113" s="1" t="s">
        <v>430</v>
      </c>
      <c r="Q113" s="1" t="s">
        <v>431</v>
      </c>
      <c r="R113" s="1" t="s">
        <v>586</v>
      </c>
      <c r="T113" s="1" t="s">
        <v>428</v>
      </c>
      <c r="U113" s="1" t="s">
        <v>587</v>
      </c>
      <c r="V113" s="1" t="s">
        <v>588</v>
      </c>
      <c r="W113" s="270">
        <v>44474</v>
      </c>
      <c r="X113" s="1" t="s">
        <v>433</v>
      </c>
    </row>
    <row r="114" spans="1:24" x14ac:dyDescent="0.25">
      <c r="A114" s="1" t="s">
        <v>197</v>
      </c>
      <c r="B114" s="1" t="s">
        <v>198</v>
      </c>
      <c r="C114" s="269">
        <v>-148.94</v>
      </c>
      <c r="D114" s="1" t="s">
        <v>425</v>
      </c>
      <c r="E114" s="1" t="s">
        <v>426</v>
      </c>
      <c r="F114" s="1" t="s">
        <v>258</v>
      </c>
      <c r="G114" s="1" t="s">
        <v>427</v>
      </c>
      <c r="H114" s="270">
        <v>44480</v>
      </c>
      <c r="I114" s="271">
        <v>-2</v>
      </c>
      <c r="J114" s="1" t="s">
        <v>428</v>
      </c>
      <c r="K114" s="1" t="s">
        <v>429</v>
      </c>
      <c r="N114" s="1" t="s">
        <v>382</v>
      </c>
      <c r="O114" s="270">
        <v>44481</v>
      </c>
      <c r="P114" s="1" t="s">
        <v>430</v>
      </c>
      <c r="Q114" s="1" t="s">
        <v>431</v>
      </c>
      <c r="R114" s="1" t="s">
        <v>787</v>
      </c>
      <c r="T114" s="1" t="s">
        <v>428</v>
      </c>
      <c r="U114" s="1" t="s">
        <v>788</v>
      </c>
      <c r="V114" s="1" t="s">
        <v>765</v>
      </c>
      <c r="W114" s="270">
        <v>44477</v>
      </c>
      <c r="X114" s="1" t="s">
        <v>433</v>
      </c>
    </row>
    <row r="115" spans="1:24" x14ac:dyDescent="0.25">
      <c r="A115" s="1" t="s">
        <v>197</v>
      </c>
      <c r="B115" s="1" t="s">
        <v>198</v>
      </c>
      <c r="C115" s="269">
        <v>-14894</v>
      </c>
      <c r="D115" s="1" t="s">
        <v>425</v>
      </c>
      <c r="E115" s="1" t="s">
        <v>426</v>
      </c>
      <c r="F115" s="1" t="s">
        <v>258</v>
      </c>
      <c r="G115" s="1" t="s">
        <v>427</v>
      </c>
      <c r="H115" s="270">
        <v>44480</v>
      </c>
      <c r="I115" s="271">
        <v>-200</v>
      </c>
      <c r="J115" s="1" t="s">
        <v>428</v>
      </c>
      <c r="K115" s="1" t="s">
        <v>429</v>
      </c>
      <c r="N115" s="1" t="s">
        <v>382</v>
      </c>
      <c r="O115" s="270">
        <v>44481</v>
      </c>
      <c r="P115" s="1" t="s">
        <v>430</v>
      </c>
      <c r="Q115" s="1" t="s">
        <v>431</v>
      </c>
      <c r="R115" s="1" t="s">
        <v>789</v>
      </c>
      <c r="T115" s="1" t="s">
        <v>428</v>
      </c>
      <c r="U115" s="1" t="s">
        <v>790</v>
      </c>
      <c r="V115" s="1" t="s">
        <v>442</v>
      </c>
      <c r="W115" s="270">
        <v>44477</v>
      </c>
      <c r="X115" s="1" t="s">
        <v>433</v>
      </c>
    </row>
    <row r="116" spans="1:24" x14ac:dyDescent="0.25">
      <c r="A116" s="1" t="s">
        <v>197</v>
      </c>
      <c r="B116" s="1" t="s">
        <v>198</v>
      </c>
      <c r="C116" s="269">
        <v>-744.7</v>
      </c>
      <c r="D116" s="1" t="s">
        <v>425</v>
      </c>
      <c r="E116" s="1" t="s">
        <v>426</v>
      </c>
      <c r="F116" s="1" t="s">
        <v>258</v>
      </c>
      <c r="G116" s="1" t="s">
        <v>427</v>
      </c>
      <c r="H116" s="270">
        <v>44476</v>
      </c>
      <c r="I116" s="271">
        <v>-10</v>
      </c>
      <c r="J116" s="1" t="s">
        <v>428</v>
      </c>
      <c r="K116" s="1" t="s">
        <v>429</v>
      </c>
      <c r="N116" s="1" t="s">
        <v>382</v>
      </c>
      <c r="O116" s="270">
        <v>44477</v>
      </c>
      <c r="P116" s="1" t="s">
        <v>430</v>
      </c>
      <c r="Q116" s="1" t="s">
        <v>431</v>
      </c>
      <c r="R116" s="1" t="s">
        <v>791</v>
      </c>
      <c r="T116" s="1" t="s">
        <v>428</v>
      </c>
      <c r="U116" s="1" t="s">
        <v>792</v>
      </c>
      <c r="V116" s="1" t="s">
        <v>754</v>
      </c>
      <c r="W116" s="270">
        <v>44475</v>
      </c>
      <c r="X116" s="1" t="s">
        <v>433</v>
      </c>
    </row>
    <row r="117" spans="1:24" x14ac:dyDescent="0.25">
      <c r="A117" s="1" t="s">
        <v>197</v>
      </c>
      <c r="B117" s="1" t="s">
        <v>198</v>
      </c>
      <c r="C117" s="269">
        <v>-372.35</v>
      </c>
      <c r="D117" s="1" t="s">
        <v>425</v>
      </c>
      <c r="E117" s="1" t="s">
        <v>426</v>
      </c>
      <c r="F117" s="1" t="s">
        <v>258</v>
      </c>
      <c r="G117" s="1" t="s">
        <v>427</v>
      </c>
      <c r="H117" s="270">
        <v>44476</v>
      </c>
      <c r="I117" s="271">
        <v>-5</v>
      </c>
      <c r="J117" s="1" t="s">
        <v>428</v>
      </c>
      <c r="K117" s="1" t="s">
        <v>429</v>
      </c>
      <c r="N117" s="1" t="s">
        <v>382</v>
      </c>
      <c r="O117" s="270">
        <v>44477</v>
      </c>
      <c r="P117" s="1" t="s">
        <v>430</v>
      </c>
      <c r="Q117" s="1" t="s">
        <v>431</v>
      </c>
      <c r="R117" s="1" t="s">
        <v>793</v>
      </c>
      <c r="T117" s="1" t="s">
        <v>428</v>
      </c>
      <c r="U117" s="1" t="s">
        <v>794</v>
      </c>
      <c r="V117" s="1" t="s">
        <v>729</v>
      </c>
      <c r="W117" s="270">
        <v>44475</v>
      </c>
      <c r="X117" s="1" t="s">
        <v>433</v>
      </c>
    </row>
    <row r="118" spans="1:24" x14ac:dyDescent="0.25">
      <c r="A118" s="1" t="s">
        <v>197</v>
      </c>
      <c r="B118" s="1" t="s">
        <v>198</v>
      </c>
      <c r="C118" s="269">
        <v>-13106.72</v>
      </c>
      <c r="D118" s="1" t="s">
        <v>425</v>
      </c>
      <c r="E118" s="1" t="s">
        <v>426</v>
      </c>
      <c r="F118" s="1" t="s">
        <v>258</v>
      </c>
      <c r="G118" s="1" t="s">
        <v>427</v>
      </c>
      <c r="H118" s="270">
        <v>44474</v>
      </c>
      <c r="I118" s="271">
        <v>-176</v>
      </c>
      <c r="J118" s="1" t="s">
        <v>428</v>
      </c>
      <c r="K118" s="1" t="s">
        <v>429</v>
      </c>
      <c r="N118" s="1" t="s">
        <v>382</v>
      </c>
      <c r="O118" s="270">
        <v>44475</v>
      </c>
      <c r="P118" s="1" t="s">
        <v>430</v>
      </c>
      <c r="Q118" s="1" t="s">
        <v>431</v>
      </c>
      <c r="R118" s="1" t="s">
        <v>591</v>
      </c>
      <c r="T118" s="1" t="s">
        <v>428</v>
      </c>
      <c r="U118" s="1" t="s">
        <v>592</v>
      </c>
      <c r="V118" s="1" t="s">
        <v>450</v>
      </c>
      <c r="W118" s="270">
        <v>44474</v>
      </c>
      <c r="X118" s="1" t="s">
        <v>433</v>
      </c>
    </row>
    <row r="119" spans="1:24" x14ac:dyDescent="0.25">
      <c r="A119" s="1" t="s">
        <v>197</v>
      </c>
      <c r="B119" s="1" t="s">
        <v>198</v>
      </c>
      <c r="C119" s="269">
        <v>-1638.34</v>
      </c>
      <c r="D119" s="1" t="s">
        <v>425</v>
      </c>
      <c r="E119" s="1" t="s">
        <v>426</v>
      </c>
      <c r="F119" s="1" t="s">
        <v>258</v>
      </c>
      <c r="G119" s="1" t="s">
        <v>427</v>
      </c>
      <c r="H119" s="270">
        <v>44474</v>
      </c>
      <c r="I119" s="271">
        <v>-22</v>
      </c>
      <c r="J119" s="1" t="s">
        <v>428</v>
      </c>
      <c r="K119" s="1" t="s">
        <v>429</v>
      </c>
      <c r="N119" s="1" t="s">
        <v>382</v>
      </c>
      <c r="O119" s="270">
        <v>44475</v>
      </c>
      <c r="P119" s="1" t="s">
        <v>430</v>
      </c>
      <c r="Q119" s="1" t="s">
        <v>431</v>
      </c>
      <c r="R119" s="1" t="s">
        <v>593</v>
      </c>
      <c r="T119" s="1" t="s">
        <v>428</v>
      </c>
      <c r="U119" s="1" t="s">
        <v>594</v>
      </c>
      <c r="V119" s="1" t="s">
        <v>450</v>
      </c>
      <c r="W119" s="270">
        <v>44474</v>
      </c>
      <c r="X119" s="1" t="s">
        <v>433</v>
      </c>
    </row>
    <row r="120" spans="1:24" x14ac:dyDescent="0.25">
      <c r="A120" s="1" t="s">
        <v>197</v>
      </c>
      <c r="B120" s="1" t="s">
        <v>198</v>
      </c>
      <c r="C120" s="269">
        <v>-1489.4</v>
      </c>
      <c r="D120" s="1" t="s">
        <v>425</v>
      </c>
      <c r="E120" s="1" t="s">
        <v>426</v>
      </c>
      <c r="F120" s="1" t="s">
        <v>258</v>
      </c>
      <c r="G120" s="1" t="s">
        <v>427</v>
      </c>
      <c r="H120" s="270">
        <v>44474</v>
      </c>
      <c r="I120" s="271">
        <v>-20</v>
      </c>
      <c r="J120" s="1" t="s">
        <v>428</v>
      </c>
      <c r="K120" s="1" t="s">
        <v>429</v>
      </c>
      <c r="N120" s="1" t="s">
        <v>382</v>
      </c>
      <c r="O120" s="270">
        <v>44475</v>
      </c>
      <c r="P120" s="1" t="s">
        <v>430</v>
      </c>
      <c r="Q120" s="1" t="s">
        <v>431</v>
      </c>
      <c r="R120" s="1" t="s">
        <v>595</v>
      </c>
      <c r="T120" s="1" t="s">
        <v>428</v>
      </c>
      <c r="U120" s="1" t="s">
        <v>596</v>
      </c>
      <c r="V120" s="1" t="s">
        <v>448</v>
      </c>
      <c r="W120" s="270">
        <v>44474</v>
      </c>
      <c r="X120" s="1" t="s">
        <v>433</v>
      </c>
    </row>
    <row r="121" spans="1:24" x14ac:dyDescent="0.25">
      <c r="A121" s="1" t="s">
        <v>197</v>
      </c>
      <c r="B121" s="1" t="s">
        <v>198</v>
      </c>
      <c r="C121" s="269">
        <v>-4542.67</v>
      </c>
      <c r="D121" s="1" t="s">
        <v>425</v>
      </c>
      <c r="E121" s="1" t="s">
        <v>426</v>
      </c>
      <c r="F121" s="1" t="s">
        <v>258</v>
      </c>
      <c r="G121" s="1" t="s">
        <v>427</v>
      </c>
      <c r="H121" s="270">
        <v>44474</v>
      </c>
      <c r="I121" s="271">
        <v>-61</v>
      </c>
      <c r="J121" s="1" t="s">
        <v>428</v>
      </c>
      <c r="K121" s="1" t="s">
        <v>429</v>
      </c>
      <c r="N121" s="1" t="s">
        <v>382</v>
      </c>
      <c r="O121" s="270">
        <v>44475</v>
      </c>
      <c r="P121" s="1" t="s">
        <v>430</v>
      </c>
      <c r="Q121" s="1" t="s">
        <v>431</v>
      </c>
      <c r="R121" s="1" t="s">
        <v>597</v>
      </c>
      <c r="T121" s="1" t="s">
        <v>428</v>
      </c>
      <c r="U121" s="1" t="s">
        <v>598</v>
      </c>
      <c r="V121" s="1" t="s">
        <v>450</v>
      </c>
      <c r="W121" s="270">
        <v>44474</v>
      </c>
      <c r="X121" s="1" t="s">
        <v>433</v>
      </c>
    </row>
    <row r="122" spans="1:24" x14ac:dyDescent="0.25">
      <c r="A122" s="1" t="s">
        <v>197</v>
      </c>
      <c r="B122" s="1" t="s">
        <v>198</v>
      </c>
      <c r="C122" s="269">
        <v>-3723.5</v>
      </c>
      <c r="D122" s="1" t="s">
        <v>425</v>
      </c>
      <c r="E122" s="1" t="s">
        <v>426</v>
      </c>
      <c r="F122" s="1" t="s">
        <v>258</v>
      </c>
      <c r="G122" s="1" t="s">
        <v>427</v>
      </c>
      <c r="H122" s="270">
        <v>44474</v>
      </c>
      <c r="I122" s="271">
        <v>-50</v>
      </c>
      <c r="J122" s="1" t="s">
        <v>428</v>
      </c>
      <c r="K122" s="1" t="s">
        <v>429</v>
      </c>
      <c r="N122" s="1" t="s">
        <v>289</v>
      </c>
      <c r="O122" s="270">
        <v>44475</v>
      </c>
      <c r="P122" s="1" t="s">
        <v>430</v>
      </c>
      <c r="Q122" s="1" t="s">
        <v>431</v>
      </c>
      <c r="R122" s="1" t="s">
        <v>599</v>
      </c>
      <c r="T122" s="1" t="s">
        <v>428</v>
      </c>
      <c r="U122" s="1" t="s">
        <v>600</v>
      </c>
      <c r="V122" s="1" t="s">
        <v>447</v>
      </c>
      <c r="W122" s="270">
        <v>44474</v>
      </c>
      <c r="X122" s="1" t="s">
        <v>433</v>
      </c>
    </row>
    <row r="123" spans="1:24" x14ac:dyDescent="0.25">
      <c r="A123" s="1" t="s">
        <v>197</v>
      </c>
      <c r="B123" s="1" t="s">
        <v>198</v>
      </c>
      <c r="C123" s="269">
        <v>-744.7</v>
      </c>
      <c r="D123" s="1" t="s">
        <v>425</v>
      </c>
      <c r="E123" s="1" t="s">
        <v>426</v>
      </c>
      <c r="F123" s="1" t="s">
        <v>258</v>
      </c>
      <c r="G123" s="1" t="s">
        <v>427</v>
      </c>
      <c r="H123" s="270">
        <v>44474</v>
      </c>
      <c r="I123" s="271">
        <v>-10</v>
      </c>
      <c r="J123" s="1" t="s">
        <v>428</v>
      </c>
      <c r="K123" s="1" t="s">
        <v>429</v>
      </c>
      <c r="N123" s="1" t="s">
        <v>382</v>
      </c>
      <c r="O123" s="270">
        <v>44475</v>
      </c>
      <c r="P123" s="1" t="s">
        <v>430</v>
      </c>
      <c r="Q123" s="1" t="s">
        <v>431</v>
      </c>
      <c r="R123" s="1" t="s">
        <v>601</v>
      </c>
      <c r="T123" s="1" t="s">
        <v>428</v>
      </c>
      <c r="U123" s="1" t="s">
        <v>602</v>
      </c>
      <c r="V123" s="1" t="s">
        <v>438</v>
      </c>
      <c r="W123" s="270">
        <v>44474</v>
      </c>
      <c r="X123" s="1" t="s">
        <v>433</v>
      </c>
    </row>
    <row r="124" spans="1:24" x14ac:dyDescent="0.25">
      <c r="A124" s="1" t="s">
        <v>197</v>
      </c>
      <c r="B124" s="1" t="s">
        <v>198</v>
      </c>
      <c r="C124" s="269">
        <v>-4393.7299999999996</v>
      </c>
      <c r="D124" s="1" t="s">
        <v>425</v>
      </c>
      <c r="E124" s="1" t="s">
        <v>426</v>
      </c>
      <c r="F124" s="1" t="s">
        <v>258</v>
      </c>
      <c r="G124" s="1" t="s">
        <v>427</v>
      </c>
      <c r="H124" s="270">
        <v>44474</v>
      </c>
      <c r="I124" s="271">
        <v>-59</v>
      </c>
      <c r="J124" s="1" t="s">
        <v>428</v>
      </c>
      <c r="K124" s="1" t="s">
        <v>429</v>
      </c>
      <c r="N124" s="1" t="s">
        <v>382</v>
      </c>
      <c r="O124" s="270">
        <v>44475</v>
      </c>
      <c r="P124" s="1" t="s">
        <v>430</v>
      </c>
      <c r="Q124" s="1" t="s">
        <v>431</v>
      </c>
      <c r="R124" s="1" t="s">
        <v>603</v>
      </c>
      <c r="T124" s="1" t="s">
        <v>428</v>
      </c>
      <c r="U124" s="1" t="s">
        <v>604</v>
      </c>
      <c r="V124" s="1" t="s">
        <v>450</v>
      </c>
      <c r="W124" s="270">
        <v>44474</v>
      </c>
      <c r="X124" s="1" t="s">
        <v>433</v>
      </c>
    </row>
    <row r="125" spans="1:24" x14ac:dyDescent="0.25">
      <c r="A125" s="1" t="s">
        <v>197</v>
      </c>
      <c r="B125" s="1" t="s">
        <v>198</v>
      </c>
      <c r="C125" s="269">
        <v>-3723.5</v>
      </c>
      <c r="D125" s="1" t="s">
        <v>425</v>
      </c>
      <c r="E125" s="1" t="s">
        <v>426</v>
      </c>
      <c r="F125" s="1" t="s">
        <v>258</v>
      </c>
      <c r="G125" s="1" t="s">
        <v>427</v>
      </c>
      <c r="H125" s="270">
        <v>44474</v>
      </c>
      <c r="I125" s="271">
        <v>-50</v>
      </c>
      <c r="J125" s="1" t="s">
        <v>428</v>
      </c>
      <c r="K125" s="1" t="s">
        <v>429</v>
      </c>
      <c r="N125" s="1" t="s">
        <v>382</v>
      </c>
      <c r="O125" s="270">
        <v>44475</v>
      </c>
      <c r="P125" s="1" t="s">
        <v>430</v>
      </c>
      <c r="Q125" s="1" t="s">
        <v>431</v>
      </c>
      <c r="R125" s="1" t="s">
        <v>605</v>
      </c>
      <c r="T125" s="1" t="s">
        <v>428</v>
      </c>
      <c r="U125" s="1" t="s">
        <v>606</v>
      </c>
      <c r="V125" s="1" t="s">
        <v>442</v>
      </c>
      <c r="W125" s="270">
        <v>44474</v>
      </c>
      <c r="X125" s="1" t="s">
        <v>433</v>
      </c>
    </row>
    <row r="126" spans="1:24" x14ac:dyDescent="0.25">
      <c r="A126" s="1" t="s">
        <v>197</v>
      </c>
      <c r="B126" s="1" t="s">
        <v>198</v>
      </c>
      <c r="C126" s="269">
        <v>-12064.14</v>
      </c>
      <c r="D126" s="1" t="s">
        <v>425</v>
      </c>
      <c r="E126" s="1" t="s">
        <v>426</v>
      </c>
      <c r="F126" s="1" t="s">
        <v>258</v>
      </c>
      <c r="G126" s="1" t="s">
        <v>427</v>
      </c>
      <c r="H126" s="270">
        <v>44474</v>
      </c>
      <c r="I126" s="271">
        <v>-162</v>
      </c>
      <c r="J126" s="1" t="s">
        <v>428</v>
      </c>
      <c r="K126" s="1" t="s">
        <v>429</v>
      </c>
      <c r="N126" s="1" t="s">
        <v>289</v>
      </c>
      <c r="O126" s="270">
        <v>44475</v>
      </c>
      <c r="P126" s="1" t="s">
        <v>430</v>
      </c>
      <c r="Q126" s="1" t="s">
        <v>431</v>
      </c>
      <c r="R126" s="1" t="s">
        <v>607</v>
      </c>
      <c r="T126" s="1" t="s">
        <v>428</v>
      </c>
      <c r="U126" s="1" t="s">
        <v>608</v>
      </c>
      <c r="V126" s="1" t="s">
        <v>450</v>
      </c>
      <c r="W126" s="270">
        <v>44474</v>
      </c>
      <c r="X126" s="1" t="s">
        <v>433</v>
      </c>
    </row>
    <row r="127" spans="1:24" x14ac:dyDescent="0.25">
      <c r="A127" s="1" t="s">
        <v>197</v>
      </c>
      <c r="B127" s="1" t="s">
        <v>198</v>
      </c>
      <c r="C127" s="269">
        <v>-148.94</v>
      </c>
      <c r="D127" s="1" t="s">
        <v>425</v>
      </c>
      <c r="E127" s="1" t="s">
        <v>426</v>
      </c>
      <c r="F127" s="1" t="s">
        <v>258</v>
      </c>
      <c r="G127" s="1" t="s">
        <v>427</v>
      </c>
      <c r="H127" s="270">
        <v>44473</v>
      </c>
      <c r="I127" s="271">
        <v>-2</v>
      </c>
      <c r="J127" s="1" t="s">
        <v>428</v>
      </c>
      <c r="K127" s="1" t="s">
        <v>429</v>
      </c>
      <c r="N127" s="1" t="s">
        <v>289</v>
      </c>
      <c r="O127" s="270">
        <v>44474</v>
      </c>
      <c r="P127" s="1" t="s">
        <v>430</v>
      </c>
      <c r="Q127" s="1" t="s">
        <v>431</v>
      </c>
      <c r="R127" s="1" t="s">
        <v>609</v>
      </c>
      <c r="T127" s="1" t="s">
        <v>428</v>
      </c>
      <c r="U127" s="1" t="s">
        <v>610</v>
      </c>
      <c r="V127" s="1" t="s">
        <v>441</v>
      </c>
      <c r="W127" s="270">
        <v>44473</v>
      </c>
      <c r="X127" s="1" t="s">
        <v>433</v>
      </c>
    </row>
    <row r="128" spans="1:24" x14ac:dyDescent="0.25">
      <c r="A128" s="1" t="s">
        <v>133</v>
      </c>
      <c r="B128" s="1" t="s">
        <v>134</v>
      </c>
      <c r="C128" s="269">
        <v>-32676</v>
      </c>
      <c r="D128" s="1" t="s">
        <v>425</v>
      </c>
      <c r="E128" s="1" t="s">
        <v>426</v>
      </c>
      <c r="F128" s="1" t="s">
        <v>258</v>
      </c>
      <c r="G128" s="1" t="s">
        <v>427</v>
      </c>
      <c r="H128" s="270">
        <v>44477</v>
      </c>
      <c r="I128" s="271">
        <v>-200</v>
      </c>
      <c r="J128" s="1" t="s">
        <v>428</v>
      </c>
      <c r="K128" s="1" t="s">
        <v>429</v>
      </c>
      <c r="N128" s="1" t="s">
        <v>381</v>
      </c>
      <c r="O128" s="270">
        <v>44478</v>
      </c>
      <c r="P128" s="1" t="s">
        <v>430</v>
      </c>
      <c r="Q128" s="1" t="s">
        <v>431</v>
      </c>
      <c r="R128" s="1" t="s">
        <v>795</v>
      </c>
      <c r="T128" s="1" t="s">
        <v>428</v>
      </c>
      <c r="U128" s="1" t="s">
        <v>796</v>
      </c>
      <c r="V128" s="1" t="s">
        <v>442</v>
      </c>
      <c r="W128" s="270">
        <v>44477</v>
      </c>
      <c r="X128" s="1" t="s">
        <v>433</v>
      </c>
    </row>
    <row r="129" spans="1:24" x14ac:dyDescent="0.25">
      <c r="A129" s="1" t="s">
        <v>133</v>
      </c>
      <c r="B129" s="1" t="s">
        <v>134</v>
      </c>
      <c r="C129" s="269">
        <v>-8169</v>
      </c>
      <c r="D129" s="1" t="s">
        <v>425</v>
      </c>
      <c r="E129" s="1" t="s">
        <v>426</v>
      </c>
      <c r="F129" s="1" t="s">
        <v>258</v>
      </c>
      <c r="G129" s="1" t="s">
        <v>427</v>
      </c>
      <c r="H129" s="270">
        <v>44475</v>
      </c>
      <c r="I129" s="271">
        <v>-50</v>
      </c>
      <c r="J129" s="1" t="s">
        <v>428</v>
      </c>
      <c r="K129" s="1" t="s">
        <v>429</v>
      </c>
      <c r="N129" s="1" t="s">
        <v>381</v>
      </c>
      <c r="O129" s="270">
        <v>44476</v>
      </c>
      <c r="P129" s="1" t="s">
        <v>430</v>
      </c>
      <c r="Q129" s="1" t="s">
        <v>431</v>
      </c>
      <c r="R129" s="1" t="s">
        <v>797</v>
      </c>
      <c r="T129" s="1" t="s">
        <v>428</v>
      </c>
      <c r="U129" s="1" t="s">
        <v>798</v>
      </c>
      <c r="V129" s="1" t="s">
        <v>746</v>
      </c>
      <c r="W129" s="270">
        <v>44475</v>
      </c>
      <c r="X129" s="1" t="s">
        <v>433</v>
      </c>
    </row>
    <row r="130" spans="1:24" x14ac:dyDescent="0.25">
      <c r="A130" s="1" t="s">
        <v>133</v>
      </c>
      <c r="B130" s="1" t="s">
        <v>134</v>
      </c>
      <c r="C130" s="269">
        <v>-24507</v>
      </c>
      <c r="D130" s="1" t="s">
        <v>425</v>
      </c>
      <c r="E130" s="1" t="s">
        <v>426</v>
      </c>
      <c r="F130" s="1" t="s">
        <v>258</v>
      </c>
      <c r="G130" s="1" t="s">
        <v>427</v>
      </c>
      <c r="H130" s="270">
        <v>44475</v>
      </c>
      <c r="I130" s="271">
        <v>-150</v>
      </c>
      <c r="J130" s="1" t="s">
        <v>428</v>
      </c>
      <c r="K130" s="1" t="s">
        <v>429</v>
      </c>
      <c r="N130" s="1" t="s">
        <v>381</v>
      </c>
      <c r="O130" s="270">
        <v>44476</v>
      </c>
      <c r="P130" s="1" t="s">
        <v>430</v>
      </c>
      <c r="Q130" s="1" t="s">
        <v>431</v>
      </c>
      <c r="R130" s="1" t="s">
        <v>799</v>
      </c>
      <c r="T130" s="1" t="s">
        <v>428</v>
      </c>
      <c r="U130" s="1" t="s">
        <v>800</v>
      </c>
      <c r="V130" s="1" t="s">
        <v>759</v>
      </c>
      <c r="W130" s="270">
        <v>44475</v>
      </c>
      <c r="X130" s="1" t="s">
        <v>433</v>
      </c>
    </row>
    <row r="131" spans="1:24" x14ac:dyDescent="0.25">
      <c r="A131" s="1" t="s">
        <v>133</v>
      </c>
      <c r="B131" s="1" t="s">
        <v>134</v>
      </c>
      <c r="C131" s="269">
        <v>-4901.3999999999996</v>
      </c>
      <c r="D131" s="1" t="s">
        <v>425</v>
      </c>
      <c r="E131" s="1" t="s">
        <v>426</v>
      </c>
      <c r="F131" s="1" t="s">
        <v>258</v>
      </c>
      <c r="G131" s="1" t="s">
        <v>427</v>
      </c>
      <c r="H131" s="270">
        <v>44475</v>
      </c>
      <c r="I131" s="271">
        <v>-30</v>
      </c>
      <c r="J131" s="1" t="s">
        <v>428</v>
      </c>
      <c r="K131" s="1" t="s">
        <v>429</v>
      </c>
      <c r="N131" s="1" t="s">
        <v>381</v>
      </c>
      <c r="O131" s="270">
        <v>44476</v>
      </c>
      <c r="P131" s="1" t="s">
        <v>430</v>
      </c>
      <c r="Q131" s="1" t="s">
        <v>431</v>
      </c>
      <c r="R131" s="1" t="s">
        <v>801</v>
      </c>
      <c r="T131" s="1" t="s">
        <v>428</v>
      </c>
      <c r="U131" s="1" t="s">
        <v>802</v>
      </c>
      <c r="V131" s="1" t="s">
        <v>762</v>
      </c>
      <c r="W131" s="270">
        <v>44475</v>
      </c>
      <c r="X131" s="1" t="s">
        <v>433</v>
      </c>
    </row>
    <row r="132" spans="1:24" x14ac:dyDescent="0.25">
      <c r="A132" s="1" t="s">
        <v>133</v>
      </c>
      <c r="B132" s="1" t="s">
        <v>134</v>
      </c>
      <c r="C132" s="269">
        <v>-3267.6</v>
      </c>
      <c r="D132" s="1" t="s">
        <v>425</v>
      </c>
      <c r="E132" s="1" t="s">
        <v>426</v>
      </c>
      <c r="F132" s="1" t="s">
        <v>258</v>
      </c>
      <c r="G132" s="1" t="s">
        <v>427</v>
      </c>
      <c r="H132" s="270">
        <v>44475</v>
      </c>
      <c r="I132" s="271">
        <v>-20</v>
      </c>
      <c r="J132" s="1" t="s">
        <v>428</v>
      </c>
      <c r="K132" s="1" t="s">
        <v>429</v>
      </c>
      <c r="N132" s="1" t="s">
        <v>381</v>
      </c>
      <c r="O132" s="270">
        <v>44476</v>
      </c>
      <c r="P132" s="1" t="s">
        <v>430</v>
      </c>
      <c r="Q132" s="1" t="s">
        <v>431</v>
      </c>
      <c r="R132" s="1" t="s">
        <v>803</v>
      </c>
      <c r="T132" s="1" t="s">
        <v>428</v>
      </c>
      <c r="U132" s="1" t="s">
        <v>804</v>
      </c>
      <c r="V132" s="1" t="s">
        <v>437</v>
      </c>
      <c r="W132" s="270">
        <v>44475</v>
      </c>
      <c r="X132" s="1" t="s">
        <v>433</v>
      </c>
    </row>
    <row r="133" spans="1:24" x14ac:dyDescent="0.25">
      <c r="A133" s="1" t="s">
        <v>133</v>
      </c>
      <c r="B133" s="1" t="s">
        <v>134</v>
      </c>
      <c r="C133" s="269">
        <v>-2614.08</v>
      </c>
      <c r="D133" s="1" t="s">
        <v>425</v>
      </c>
      <c r="E133" s="1" t="s">
        <v>426</v>
      </c>
      <c r="F133" s="1" t="s">
        <v>258</v>
      </c>
      <c r="G133" s="1" t="s">
        <v>427</v>
      </c>
      <c r="H133" s="270">
        <v>44475</v>
      </c>
      <c r="I133" s="271">
        <v>-16</v>
      </c>
      <c r="J133" s="1" t="s">
        <v>428</v>
      </c>
      <c r="K133" s="1" t="s">
        <v>429</v>
      </c>
      <c r="N133" s="1" t="s">
        <v>381</v>
      </c>
      <c r="O133" s="270">
        <v>44476</v>
      </c>
      <c r="P133" s="1" t="s">
        <v>430</v>
      </c>
      <c r="Q133" s="1" t="s">
        <v>431</v>
      </c>
      <c r="R133" s="1" t="s">
        <v>805</v>
      </c>
      <c r="T133" s="1" t="s">
        <v>428</v>
      </c>
      <c r="U133" s="1" t="s">
        <v>806</v>
      </c>
      <c r="V133" s="1" t="s">
        <v>729</v>
      </c>
      <c r="W133" s="270">
        <v>44475</v>
      </c>
      <c r="X133" s="1" t="s">
        <v>433</v>
      </c>
    </row>
    <row r="134" spans="1:24" x14ac:dyDescent="0.25">
      <c r="A134" s="1" t="s">
        <v>133</v>
      </c>
      <c r="B134" s="1" t="s">
        <v>134</v>
      </c>
      <c r="C134" s="269">
        <v>-8169</v>
      </c>
      <c r="D134" s="1" t="s">
        <v>425</v>
      </c>
      <c r="E134" s="1" t="s">
        <v>426</v>
      </c>
      <c r="F134" s="1" t="s">
        <v>258</v>
      </c>
      <c r="G134" s="1" t="s">
        <v>427</v>
      </c>
      <c r="H134" s="270">
        <v>44475</v>
      </c>
      <c r="I134" s="271">
        <v>-50</v>
      </c>
      <c r="J134" s="1" t="s">
        <v>428</v>
      </c>
      <c r="K134" s="1" t="s">
        <v>429</v>
      </c>
      <c r="N134" s="1" t="s">
        <v>381</v>
      </c>
      <c r="O134" s="270">
        <v>44476</v>
      </c>
      <c r="P134" s="1" t="s">
        <v>430</v>
      </c>
      <c r="Q134" s="1" t="s">
        <v>431</v>
      </c>
      <c r="R134" s="1" t="s">
        <v>807</v>
      </c>
      <c r="T134" s="1" t="s">
        <v>428</v>
      </c>
      <c r="U134" s="1" t="s">
        <v>808</v>
      </c>
      <c r="V134" s="1" t="s">
        <v>754</v>
      </c>
      <c r="W134" s="270">
        <v>44475</v>
      </c>
      <c r="X134" s="1" t="s">
        <v>433</v>
      </c>
    </row>
    <row r="135" spans="1:24" x14ac:dyDescent="0.25">
      <c r="A135" s="1" t="s">
        <v>133</v>
      </c>
      <c r="B135" s="1" t="s">
        <v>134</v>
      </c>
      <c r="C135" s="269">
        <v>-1143.6600000000001</v>
      </c>
      <c r="D135" s="1" t="s">
        <v>425</v>
      </c>
      <c r="E135" s="1" t="s">
        <v>426</v>
      </c>
      <c r="F135" s="1" t="s">
        <v>258</v>
      </c>
      <c r="G135" s="1" t="s">
        <v>427</v>
      </c>
      <c r="H135" s="270">
        <v>44474</v>
      </c>
      <c r="I135" s="271">
        <v>-7</v>
      </c>
      <c r="J135" s="1" t="s">
        <v>428</v>
      </c>
      <c r="K135" s="1" t="s">
        <v>429</v>
      </c>
      <c r="N135" s="1" t="s">
        <v>381</v>
      </c>
      <c r="O135" s="270">
        <v>44475</v>
      </c>
      <c r="P135" s="1" t="s">
        <v>430</v>
      </c>
      <c r="Q135" s="1" t="s">
        <v>431</v>
      </c>
      <c r="R135" s="1" t="s">
        <v>635</v>
      </c>
      <c r="T135" s="1" t="s">
        <v>428</v>
      </c>
      <c r="U135" s="1" t="s">
        <v>636</v>
      </c>
      <c r="V135" s="1" t="s">
        <v>446</v>
      </c>
      <c r="W135" s="270">
        <v>44474</v>
      </c>
      <c r="X135" s="1" t="s">
        <v>433</v>
      </c>
    </row>
    <row r="136" spans="1:24" x14ac:dyDescent="0.25">
      <c r="A136" s="1" t="s">
        <v>133</v>
      </c>
      <c r="B136" s="1" t="s">
        <v>134</v>
      </c>
      <c r="C136" s="269">
        <v>-5881.68</v>
      </c>
      <c r="D136" s="1" t="s">
        <v>425</v>
      </c>
      <c r="E136" s="1" t="s">
        <v>426</v>
      </c>
      <c r="F136" s="1" t="s">
        <v>258</v>
      </c>
      <c r="G136" s="1" t="s">
        <v>427</v>
      </c>
      <c r="H136" s="270">
        <v>44474</v>
      </c>
      <c r="I136" s="271">
        <v>-36</v>
      </c>
      <c r="J136" s="1" t="s">
        <v>428</v>
      </c>
      <c r="K136" s="1" t="s">
        <v>429</v>
      </c>
      <c r="N136" s="1" t="s">
        <v>381</v>
      </c>
      <c r="O136" s="270">
        <v>44475</v>
      </c>
      <c r="P136" s="1" t="s">
        <v>430</v>
      </c>
      <c r="Q136" s="1" t="s">
        <v>431</v>
      </c>
      <c r="R136" s="1" t="s">
        <v>633</v>
      </c>
      <c r="T136" s="1" t="s">
        <v>428</v>
      </c>
      <c r="U136" s="1" t="s">
        <v>634</v>
      </c>
      <c r="V136" s="1" t="s">
        <v>446</v>
      </c>
      <c r="W136" s="270">
        <v>44474</v>
      </c>
      <c r="X136" s="1" t="s">
        <v>433</v>
      </c>
    </row>
    <row r="137" spans="1:24" x14ac:dyDescent="0.25">
      <c r="A137" s="1" t="s">
        <v>133</v>
      </c>
      <c r="B137" s="1" t="s">
        <v>134</v>
      </c>
      <c r="C137" s="269">
        <v>-1633.8</v>
      </c>
      <c r="D137" s="1" t="s">
        <v>425</v>
      </c>
      <c r="E137" s="1" t="s">
        <v>426</v>
      </c>
      <c r="F137" s="1" t="s">
        <v>258</v>
      </c>
      <c r="G137" s="1" t="s">
        <v>427</v>
      </c>
      <c r="H137" s="270">
        <v>44474</v>
      </c>
      <c r="I137" s="271">
        <v>-10</v>
      </c>
      <c r="J137" s="1" t="s">
        <v>428</v>
      </c>
      <c r="K137" s="1" t="s">
        <v>429</v>
      </c>
      <c r="N137" s="1" t="s">
        <v>381</v>
      </c>
      <c r="O137" s="270">
        <v>44475</v>
      </c>
      <c r="P137" s="1" t="s">
        <v>430</v>
      </c>
      <c r="Q137" s="1" t="s">
        <v>431</v>
      </c>
      <c r="R137" s="1" t="s">
        <v>631</v>
      </c>
      <c r="T137" s="1" t="s">
        <v>428</v>
      </c>
      <c r="U137" s="1" t="s">
        <v>632</v>
      </c>
      <c r="V137" s="1" t="s">
        <v>446</v>
      </c>
      <c r="W137" s="270">
        <v>44474</v>
      </c>
      <c r="X137" s="1" t="s">
        <v>433</v>
      </c>
    </row>
    <row r="138" spans="1:24" x14ac:dyDescent="0.25">
      <c r="A138" s="1" t="s">
        <v>133</v>
      </c>
      <c r="B138" s="1" t="s">
        <v>134</v>
      </c>
      <c r="C138" s="269">
        <v>-8169</v>
      </c>
      <c r="D138" s="1" t="s">
        <v>425</v>
      </c>
      <c r="E138" s="1" t="s">
        <v>426</v>
      </c>
      <c r="F138" s="1" t="s">
        <v>258</v>
      </c>
      <c r="G138" s="1" t="s">
        <v>427</v>
      </c>
      <c r="H138" s="270">
        <v>44474</v>
      </c>
      <c r="I138" s="271">
        <v>-50</v>
      </c>
      <c r="J138" s="1" t="s">
        <v>428</v>
      </c>
      <c r="K138" s="1" t="s">
        <v>429</v>
      </c>
      <c r="N138" s="1" t="s">
        <v>381</v>
      </c>
      <c r="O138" s="270">
        <v>44475</v>
      </c>
      <c r="P138" s="1" t="s">
        <v>430</v>
      </c>
      <c r="Q138" s="1" t="s">
        <v>431</v>
      </c>
      <c r="R138" s="1" t="s">
        <v>629</v>
      </c>
      <c r="T138" s="1" t="s">
        <v>428</v>
      </c>
      <c r="U138" s="1" t="s">
        <v>630</v>
      </c>
      <c r="V138" s="1" t="s">
        <v>438</v>
      </c>
      <c r="W138" s="270">
        <v>44474</v>
      </c>
      <c r="X138" s="1" t="s">
        <v>433</v>
      </c>
    </row>
    <row r="139" spans="1:24" x14ac:dyDescent="0.25">
      <c r="A139" s="1" t="s">
        <v>133</v>
      </c>
      <c r="B139" s="1" t="s">
        <v>134</v>
      </c>
      <c r="C139" s="269">
        <v>-12090.12</v>
      </c>
      <c r="D139" s="1" t="s">
        <v>425</v>
      </c>
      <c r="E139" s="1" t="s">
        <v>426</v>
      </c>
      <c r="F139" s="1" t="s">
        <v>258</v>
      </c>
      <c r="G139" s="1" t="s">
        <v>427</v>
      </c>
      <c r="H139" s="270">
        <v>44474</v>
      </c>
      <c r="I139" s="271">
        <v>-74</v>
      </c>
      <c r="J139" s="1" t="s">
        <v>428</v>
      </c>
      <c r="K139" s="1" t="s">
        <v>429</v>
      </c>
      <c r="N139" s="1" t="s">
        <v>381</v>
      </c>
      <c r="O139" s="270">
        <v>44475</v>
      </c>
      <c r="P139" s="1" t="s">
        <v>430</v>
      </c>
      <c r="Q139" s="1" t="s">
        <v>431</v>
      </c>
      <c r="R139" s="1" t="s">
        <v>627</v>
      </c>
      <c r="T139" s="1" t="s">
        <v>428</v>
      </c>
      <c r="U139" s="1" t="s">
        <v>628</v>
      </c>
      <c r="V139" s="1" t="s">
        <v>450</v>
      </c>
      <c r="W139" s="270">
        <v>44474</v>
      </c>
      <c r="X139" s="1" t="s">
        <v>433</v>
      </c>
    </row>
    <row r="140" spans="1:24" x14ac:dyDescent="0.25">
      <c r="A140" s="1" t="s">
        <v>133</v>
      </c>
      <c r="B140" s="1" t="s">
        <v>134</v>
      </c>
      <c r="C140" s="269">
        <v>-49014</v>
      </c>
      <c r="D140" s="1" t="s">
        <v>425</v>
      </c>
      <c r="E140" s="1" t="s">
        <v>426</v>
      </c>
      <c r="F140" s="1" t="s">
        <v>258</v>
      </c>
      <c r="G140" s="1" t="s">
        <v>427</v>
      </c>
      <c r="H140" s="270">
        <v>44474</v>
      </c>
      <c r="I140" s="271">
        <v>-300</v>
      </c>
      <c r="J140" s="1" t="s">
        <v>428</v>
      </c>
      <c r="K140" s="1" t="s">
        <v>429</v>
      </c>
      <c r="N140" s="1" t="s">
        <v>381</v>
      </c>
      <c r="O140" s="270">
        <v>44475</v>
      </c>
      <c r="P140" s="1" t="s">
        <v>430</v>
      </c>
      <c r="Q140" s="1" t="s">
        <v>431</v>
      </c>
      <c r="R140" s="1" t="s">
        <v>625</v>
      </c>
      <c r="T140" s="1" t="s">
        <v>428</v>
      </c>
      <c r="U140" s="1" t="s">
        <v>626</v>
      </c>
      <c r="V140" s="1" t="s">
        <v>447</v>
      </c>
      <c r="W140" s="270">
        <v>44474</v>
      </c>
      <c r="X140" s="1" t="s">
        <v>433</v>
      </c>
    </row>
    <row r="141" spans="1:24" x14ac:dyDescent="0.25">
      <c r="A141" s="1" t="s">
        <v>133</v>
      </c>
      <c r="B141" s="1" t="s">
        <v>134</v>
      </c>
      <c r="C141" s="269">
        <v>-24507</v>
      </c>
      <c r="D141" s="1" t="s">
        <v>425</v>
      </c>
      <c r="E141" s="1" t="s">
        <v>426</v>
      </c>
      <c r="F141" s="1" t="s">
        <v>258</v>
      </c>
      <c r="G141" s="1" t="s">
        <v>427</v>
      </c>
      <c r="H141" s="270">
        <v>44474</v>
      </c>
      <c r="I141" s="271">
        <v>-150</v>
      </c>
      <c r="J141" s="1" t="s">
        <v>428</v>
      </c>
      <c r="K141" s="1" t="s">
        <v>429</v>
      </c>
      <c r="N141" s="1" t="s">
        <v>381</v>
      </c>
      <c r="O141" s="270">
        <v>44475</v>
      </c>
      <c r="P141" s="1" t="s">
        <v>430</v>
      </c>
      <c r="Q141" s="1" t="s">
        <v>431</v>
      </c>
      <c r="R141" s="1" t="s">
        <v>611</v>
      </c>
      <c r="T141" s="1" t="s">
        <v>428</v>
      </c>
      <c r="U141" s="1" t="s">
        <v>612</v>
      </c>
      <c r="V141" s="1" t="s">
        <v>448</v>
      </c>
      <c r="W141" s="270">
        <v>44474</v>
      </c>
      <c r="X141" s="1" t="s">
        <v>433</v>
      </c>
    </row>
    <row r="142" spans="1:24" x14ac:dyDescent="0.25">
      <c r="A142" s="1" t="s">
        <v>133</v>
      </c>
      <c r="B142" s="1" t="s">
        <v>134</v>
      </c>
      <c r="C142" s="269">
        <v>-90349.14</v>
      </c>
      <c r="D142" s="1" t="s">
        <v>425</v>
      </c>
      <c r="E142" s="1" t="s">
        <v>426</v>
      </c>
      <c r="F142" s="1" t="s">
        <v>258</v>
      </c>
      <c r="G142" s="1" t="s">
        <v>427</v>
      </c>
      <c r="H142" s="270">
        <v>44474</v>
      </c>
      <c r="I142" s="271">
        <v>-553</v>
      </c>
      <c r="J142" s="1" t="s">
        <v>428</v>
      </c>
      <c r="K142" s="1" t="s">
        <v>429</v>
      </c>
      <c r="N142" s="1" t="s">
        <v>381</v>
      </c>
      <c r="O142" s="270">
        <v>44475</v>
      </c>
      <c r="P142" s="1" t="s">
        <v>430</v>
      </c>
      <c r="Q142" s="1" t="s">
        <v>431</v>
      </c>
      <c r="R142" s="1" t="s">
        <v>623</v>
      </c>
      <c r="T142" s="1" t="s">
        <v>428</v>
      </c>
      <c r="U142" s="1" t="s">
        <v>624</v>
      </c>
      <c r="V142" s="1" t="s">
        <v>443</v>
      </c>
      <c r="W142" s="270">
        <v>44474</v>
      </c>
      <c r="X142" s="1" t="s">
        <v>433</v>
      </c>
    </row>
    <row r="143" spans="1:24" x14ac:dyDescent="0.25">
      <c r="A143" s="1" t="s">
        <v>133</v>
      </c>
      <c r="B143" s="1" t="s">
        <v>134</v>
      </c>
      <c r="C143" s="269">
        <v>-58816.800000000003</v>
      </c>
      <c r="D143" s="1" t="s">
        <v>425</v>
      </c>
      <c r="E143" s="1" t="s">
        <v>426</v>
      </c>
      <c r="F143" s="1" t="s">
        <v>258</v>
      </c>
      <c r="G143" s="1" t="s">
        <v>427</v>
      </c>
      <c r="H143" s="270">
        <v>44474</v>
      </c>
      <c r="I143" s="271">
        <v>-360</v>
      </c>
      <c r="J143" s="1" t="s">
        <v>428</v>
      </c>
      <c r="K143" s="1" t="s">
        <v>429</v>
      </c>
      <c r="N143" s="1" t="s">
        <v>381</v>
      </c>
      <c r="O143" s="270">
        <v>44475</v>
      </c>
      <c r="P143" s="1" t="s">
        <v>430</v>
      </c>
      <c r="Q143" s="1" t="s">
        <v>431</v>
      </c>
      <c r="R143" s="1" t="s">
        <v>621</v>
      </c>
      <c r="T143" s="1" t="s">
        <v>428</v>
      </c>
      <c r="U143" s="1" t="s">
        <v>622</v>
      </c>
      <c r="V143" s="1" t="s">
        <v>443</v>
      </c>
      <c r="W143" s="270">
        <v>44474</v>
      </c>
      <c r="X143" s="1" t="s">
        <v>433</v>
      </c>
    </row>
    <row r="144" spans="1:24" x14ac:dyDescent="0.25">
      <c r="A144" s="1" t="s">
        <v>133</v>
      </c>
      <c r="B144" s="1" t="s">
        <v>134</v>
      </c>
      <c r="C144" s="269">
        <v>-27447.84</v>
      </c>
      <c r="D144" s="1" t="s">
        <v>425</v>
      </c>
      <c r="E144" s="1" t="s">
        <v>426</v>
      </c>
      <c r="F144" s="1" t="s">
        <v>258</v>
      </c>
      <c r="G144" s="1" t="s">
        <v>427</v>
      </c>
      <c r="H144" s="270">
        <v>44474</v>
      </c>
      <c r="I144" s="271">
        <v>-168</v>
      </c>
      <c r="J144" s="1" t="s">
        <v>428</v>
      </c>
      <c r="K144" s="1" t="s">
        <v>429</v>
      </c>
      <c r="N144" s="1" t="s">
        <v>381</v>
      </c>
      <c r="O144" s="270">
        <v>44475</v>
      </c>
      <c r="P144" s="1" t="s">
        <v>430</v>
      </c>
      <c r="Q144" s="1" t="s">
        <v>431</v>
      </c>
      <c r="R144" s="1" t="s">
        <v>619</v>
      </c>
      <c r="T144" s="1" t="s">
        <v>428</v>
      </c>
      <c r="U144" s="1" t="s">
        <v>620</v>
      </c>
      <c r="V144" s="1" t="s">
        <v>443</v>
      </c>
      <c r="W144" s="270">
        <v>44474</v>
      </c>
      <c r="X144" s="1" t="s">
        <v>433</v>
      </c>
    </row>
    <row r="145" spans="1:24" x14ac:dyDescent="0.25">
      <c r="A145" s="1" t="s">
        <v>133</v>
      </c>
      <c r="B145" s="1" t="s">
        <v>134</v>
      </c>
      <c r="C145" s="269">
        <v>-816.9</v>
      </c>
      <c r="D145" s="1" t="s">
        <v>425</v>
      </c>
      <c r="E145" s="1" t="s">
        <v>426</v>
      </c>
      <c r="F145" s="1" t="s">
        <v>258</v>
      </c>
      <c r="G145" s="1" t="s">
        <v>427</v>
      </c>
      <c r="H145" s="270">
        <v>44474</v>
      </c>
      <c r="I145" s="271">
        <v>-5</v>
      </c>
      <c r="J145" s="1" t="s">
        <v>428</v>
      </c>
      <c r="K145" s="1" t="s">
        <v>429</v>
      </c>
      <c r="N145" s="1" t="s">
        <v>381</v>
      </c>
      <c r="O145" s="270">
        <v>44475</v>
      </c>
      <c r="P145" s="1" t="s">
        <v>430</v>
      </c>
      <c r="Q145" s="1" t="s">
        <v>431</v>
      </c>
      <c r="R145" s="1" t="s">
        <v>617</v>
      </c>
      <c r="T145" s="1" t="s">
        <v>428</v>
      </c>
      <c r="U145" s="1" t="s">
        <v>618</v>
      </c>
      <c r="V145" s="1" t="s">
        <v>443</v>
      </c>
      <c r="W145" s="270">
        <v>44474</v>
      </c>
      <c r="X145" s="1" t="s">
        <v>433</v>
      </c>
    </row>
    <row r="146" spans="1:24" x14ac:dyDescent="0.25">
      <c r="A146" s="1" t="s">
        <v>133</v>
      </c>
      <c r="B146" s="1" t="s">
        <v>134</v>
      </c>
      <c r="C146" s="269">
        <v>-57019.62</v>
      </c>
      <c r="D146" s="1" t="s">
        <v>425</v>
      </c>
      <c r="E146" s="1" t="s">
        <v>426</v>
      </c>
      <c r="F146" s="1" t="s">
        <v>258</v>
      </c>
      <c r="G146" s="1" t="s">
        <v>427</v>
      </c>
      <c r="H146" s="270">
        <v>44474</v>
      </c>
      <c r="I146" s="271">
        <v>-349</v>
      </c>
      <c r="J146" s="1" t="s">
        <v>428</v>
      </c>
      <c r="K146" s="1" t="s">
        <v>429</v>
      </c>
      <c r="N146" s="1" t="s">
        <v>381</v>
      </c>
      <c r="O146" s="270">
        <v>44475</v>
      </c>
      <c r="P146" s="1" t="s">
        <v>430</v>
      </c>
      <c r="Q146" s="1" t="s">
        <v>431</v>
      </c>
      <c r="R146" s="1" t="s">
        <v>615</v>
      </c>
      <c r="T146" s="1" t="s">
        <v>428</v>
      </c>
      <c r="U146" s="1" t="s">
        <v>616</v>
      </c>
      <c r="V146" s="1" t="s">
        <v>443</v>
      </c>
      <c r="W146" s="270">
        <v>44474</v>
      </c>
      <c r="X146" s="1" t="s">
        <v>433</v>
      </c>
    </row>
    <row r="147" spans="1:24" x14ac:dyDescent="0.25">
      <c r="A147" s="1" t="s">
        <v>133</v>
      </c>
      <c r="B147" s="1" t="s">
        <v>134</v>
      </c>
      <c r="C147" s="269">
        <v>-16501.38</v>
      </c>
      <c r="D147" s="1" t="s">
        <v>425</v>
      </c>
      <c r="E147" s="1" t="s">
        <v>426</v>
      </c>
      <c r="F147" s="1" t="s">
        <v>258</v>
      </c>
      <c r="G147" s="1" t="s">
        <v>427</v>
      </c>
      <c r="H147" s="270">
        <v>44474</v>
      </c>
      <c r="I147" s="271">
        <v>-101</v>
      </c>
      <c r="J147" s="1" t="s">
        <v>428</v>
      </c>
      <c r="K147" s="1" t="s">
        <v>429</v>
      </c>
      <c r="N147" s="1" t="s">
        <v>381</v>
      </c>
      <c r="O147" s="270">
        <v>44475</v>
      </c>
      <c r="P147" s="1" t="s">
        <v>430</v>
      </c>
      <c r="Q147" s="1" t="s">
        <v>431</v>
      </c>
      <c r="R147" s="1" t="s">
        <v>613</v>
      </c>
      <c r="T147" s="1" t="s">
        <v>428</v>
      </c>
      <c r="U147" s="1" t="s">
        <v>614</v>
      </c>
      <c r="V147" s="1" t="s">
        <v>443</v>
      </c>
      <c r="W147" s="270">
        <v>44474</v>
      </c>
      <c r="X147" s="1" t="s">
        <v>433</v>
      </c>
    </row>
    <row r="148" spans="1:24" x14ac:dyDescent="0.25">
      <c r="A148" s="1" t="s">
        <v>133</v>
      </c>
      <c r="B148" s="1" t="s">
        <v>134</v>
      </c>
      <c r="C148" s="269">
        <v>-7678.86</v>
      </c>
      <c r="D148" s="1" t="s">
        <v>425</v>
      </c>
      <c r="E148" s="1" t="s">
        <v>426</v>
      </c>
      <c r="F148" s="1" t="s">
        <v>258</v>
      </c>
      <c r="G148" s="1" t="s">
        <v>427</v>
      </c>
      <c r="H148" s="270">
        <v>44473</v>
      </c>
      <c r="I148" s="271">
        <v>-47</v>
      </c>
      <c r="J148" s="1" t="s">
        <v>428</v>
      </c>
      <c r="K148" s="1" t="s">
        <v>429</v>
      </c>
      <c r="N148" s="1" t="s">
        <v>381</v>
      </c>
      <c r="O148" s="270">
        <v>44474</v>
      </c>
      <c r="P148" s="1" t="s">
        <v>430</v>
      </c>
      <c r="Q148" s="1" t="s">
        <v>431</v>
      </c>
      <c r="R148" s="1" t="s">
        <v>637</v>
      </c>
      <c r="T148" s="1" t="s">
        <v>428</v>
      </c>
      <c r="U148" s="1" t="s">
        <v>638</v>
      </c>
      <c r="V148" s="1" t="s">
        <v>441</v>
      </c>
      <c r="W148" s="270">
        <v>44473</v>
      </c>
      <c r="X148" s="1" t="s">
        <v>433</v>
      </c>
    </row>
    <row r="149" spans="1:24" x14ac:dyDescent="0.25">
      <c r="A149" s="1" t="s">
        <v>133</v>
      </c>
      <c r="B149" s="1" t="s">
        <v>134</v>
      </c>
      <c r="C149" s="269">
        <v>-1470.42</v>
      </c>
      <c r="D149" s="1" t="s">
        <v>425</v>
      </c>
      <c r="E149" s="1" t="s">
        <v>426</v>
      </c>
      <c r="F149" s="1" t="s">
        <v>258</v>
      </c>
      <c r="G149" s="1" t="s">
        <v>427</v>
      </c>
      <c r="H149" s="270">
        <v>44473</v>
      </c>
      <c r="I149" s="271">
        <v>-9</v>
      </c>
      <c r="J149" s="1" t="s">
        <v>428</v>
      </c>
      <c r="K149" s="1" t="s">
        <v>429</v>
      </c>
      <c r="N149" s="1" t="s">
        <v>381</v>
      </c>
      <c r="O149" s="270">
        <v>44474</v>
      </c>
      <c r="P149" s="1" t="s">
        <v>430</v>
      </c>
      <c r="Q149" s="1" t="s">
        <v>431</v>
      </c>
      <c r="R149" s="1" t="s">
        <v>639</v>
      </c>
      <c r="T149" s="1" t="s">
        <v>428</v>
      </c>
      <c r="U149" s="1" t="s">
        <v>640</v>
      </c>
      <c r="V149" s="1" t="s">
        <v>441</v>
      </c>
      <c r="W149" s="270">
        <v>44473</v>
      </c>
      <c r="X149" s="1" t="s">
        <v>433</v>
      </c>
    </row>
    <row r="150" spans="1:24" x14ac:dyDescent="0.25">
      <c r="A150" s="1" t="s">
        <v>205</v>
      </c>
      <c r="B150" s="1" t="s">
        <v>206</v>
      </c>
      <c r="C150" s="269">
        <v>-2450.75</v>
      </c>
      <c r="D150" s="1" t="s">
        <v>425</v>
      </c>
      <c r="E150" s="1" t="s">
        <v>426</v>
      </c>
      <c r="F150" s="1" t="s">
        <v>258</v>
      </c>
      <c r="G150" s="1" t="s">
        <v>427</v>
      </c>
      <c r="H150" s="270">
        <v>44475</v>
      </c>
      <c r="I150" s="271">
        <v>-5</v>
      </c>
      <c r="J150" s="1" t="s">
        <v>428</v>
      </c>
      <c r="K150" s="1" t="s">
        <v>429</v>
      </c>
      <c r="N150" s="1" t="s">
        <v>294</v>
      </c>
      <c r="O150" s="270">
        <v>44476</v>
      </c>
      <c r="P150" s="1" t="s">
        <v>430</v>
      </c>
      <c r="Q150" s="1" t="s">
        <v>431</v>
      </c>
      <c r="R150" s="1" t="s">
        <v>803</v>
      </c>
      <c r="T150" s="1" t="s">
        <v>428</v>
      </c>
      <c r="U150" s="1" t="s">
        <v>804</v>
      </c>
      <c r="V150" s="1" t="s">
        <v>437</v>
      </c>
      <c r="W150" s="270">
        <v>44475</v>
      </c>
      <c r="X150" s="1" t="s">
        <v>433</v>
      </c>
    </row>
    <row r="151" spans="1:24" x14ac:dyDescent="0.25">
      <c r="A151" s="1" t="s">
        <v>205</v>
      </c>
      <c r="B151" s="1" t="s">
        <v>206</v>
      </c>
      <c r="C151" s="269">
        <v>-980.3</v>
      </c>
      <c r="D151" s="1" t="s">
        <v>425</v>
      </c>
      <c r="E151" s="1" t="s">
        <v>426</v>
      </c>
      <c r="F151" s="1" t="s">
        <v>258</v>
      </c>
      <c r="G151" s="1" t="s">
        <v>427</v>
      </c>
      <c r="H151" s="270">
        <v>44475</v>
      </c>
      <c r="I151" s="271">
        <v>-2</v>
      </c>
      <c r="J151" s="1" t="s">
        <v>428</v>
      </c>
      <c r="K151" s="1" t="s">
        <v>429</v>
      </c>
      <c r="N151" s="1" t="s">
        <v>294</v>
      </c>
      <c r="O151" s="270">
        <v>44476</v>
      </c>
      <c r="P151" s="1" t="s">
        <v>430</v>
      </c>
      <c r="Q151" s="1" t="s">
        <v>431</v>
      </c>
      <c r="R151" s="1" t="s">
        <v>809</v>
      </c>
      <c r="T151" s="1" t="s">
        <v>428</v>
      </c>
      <c r="U151" s="1" t="s">
        <v>810</v>
      </c>
      <c r="V151" s="1" t="s">
        <v>811</v>
      </c>
      <c r="W151" s="270">
        <v>44475</v>
      </c>
      <c r="X151" s="1" t="s">
        <v>433</v>
      </c>
    </row>
    <row r="152" spans="1:24" x14ac:dyDescent="0.25">
      <c r="A152" s="1" t="s">
        <v>205</v>
      </c>
      <c r="B152" s="1" t="s">
        <v>206</v>
      </c>
      <c r="C152" s="269">
        <v>-7352.25</v>
      </c>
      <c r="D152" s="1" t="s">
        <v>425</v>
      </c>
      <c r="E152" s="1" t="s">
        <v>426</v>
      </c>
      <c r="F152" s="1" t="s">
        <v>258</v>
      </c>
      <c r="G152" s="1" t="s">
        <v>427</v>
      </c>
      <c r="H152" s="270">
        <v>44474</v>
      </c>
      <c r="I152" s="271">
        <v>-15</v>
      </c>
      <c r="J152" s="1" t="s">
        <v>428</v>
      </c>
      <c r="K152" s="1" t="s">
        <v>429</v>
      </c>
      <c r="N152" s="1" t="s">
        <v>294</v>
      </c>
      <c r="O152" s="270">
        <v>44475</v>
      </c>
      <c r="P152" s="1" t="s">
        <v>430</v>
      </c>
      <c r="Q152" s="1" t="s">
        <v>431</v>
      </c>
      <c r="R152" s="1" t="s">
        <v>645</v>
      </c>
      <c r="T152" s="1" t="s">
        <v>428</v>
      </c>
      <c r="U152" s="1" t="s">
        <v>646</v>
      </c>
      <c r="V152" s="1" t="s">
        <v>447</v>
      </c>
      <c r="W152" s="270">
        <v>44474</v>
      </c>
      <c r="X152" s="1" t="s">
        <v>433</v>
      </c>
    </row>
    <row r="153" spans="1:24" x14ac:dyDescent="0.25">
      <c r="A153" s="1" t="s">
        <v>205</v>
      </c>
      <c r="B153" s="1" t="s">
        <v>206</v>
      </c>
      <c r="C153" s="269">
        <v>-4901.5</v>
      </c>
      <c r="D153" s="1" t="s">
        <v>425</v>
      </c>
      <c r="E153" s="1" t="s">
        <v>426</v>
      </c>
      <c r="F153" s="1" t="s">
        <v>258</v>
      </c>
      <c r="G153" s="1" t="s">
        <v>427</v>
      </c>
      <c r="H153" s="270">
        <v>44474</v>
      </c>
      <c r="I153" s="271">
        <v>-10</v>
      </c>
      <c r="J153" s="1" t="s">
        <v>428</v>
      </c>
      <c r="K153" s="1" t="s">
        <v>429</v>
      </c>
      <c r="N153" s="1" t="s">
        <v>294</v>
      </c>
      <c r="O153" s="270">
        <v>44475</v>
      </c>
      <c r="P153" s="1" t="s">
        <v>430</v>
      </c>
      <c r="Q153" s="1" t="s">
        <v>431</v>
      </c>
      <c r="R153" s="1" t="s">
        <v>643</v>
      </c>
      <c r="T153" s="1" t="s">
        <v>428</v>
      </c>
      <c r="U153" s="1" t="s">
        <v>644</v>
      </c>
      <c r="V153" s="1" t="s">
        <v>448</v>
      </c>
      <c r="W153" s="270">
        <v>44474</v>
      </c>
      <c r="X153" s="1" t="s">
        <v>433</v>
      </c>
    </row>
    <row r="154" spans="1:24" x14ac:dyDescent="0.25">
      <c r="A154" s="1" t="s">
        <v>205</v>
      </c>
      <c r="B154" s="1" t="s">
        <v>206</v>
      </c>
      <c r="C154" s="269">
        <v>-980.3</v>
      </c>
      <c r="D154" s="1" t="s">
        <v>425</v>
      </c>
      <c r="E154" s="1" t="s">
        <v>426</v>
      </c>
      <c r="F154" s="1" t="s">
        <v>258</v>
      </c>
      <c r="G154" s="1" t="s">
        <v>427</v>
      </c>
      <c r="H154" s="270">
        <v>44474</v>
      </c>
      <c r="I154" s="271">
        <v>-2</v>
      </c>
      <c r="J154" s="1" t="s">
        <v>428</v>
      </c>
      <c r="K154" s="1" t="s">
        <v>429</v>
      </c>
      <c r="N154" s="1" t="s">
        <v>294</v>
      </c>
      <c r="O154" s="270">
        <v>44475</v>
      </c>
      <c r="P154" s="1" t="s">
        <v>430</v>
      </c>
      <c r="Q154" s="1" t="s">
        <v>431</v>
      </c>
      <c r="R154" s="1" t="s">
        <v>641</v>
      </c>
      <c r="T154" s="1" t="s">
        <v>428</v>
      </c>
      <c r="U154" s="1" t="s">
        <v>642</v>
      </c>
      <c r="V154" s="1" t="s">
        <v>447</v>
      </c>
      <c r="W154" s="270">
        <v>44474</v>
      </c>
      <c r="X154" s="1" t="s">
        <v>433</v>
      </c>
    </row>
    <row r="155" spans="1:24" x14ac:dyDescent="0.25">
      <c r="A155" s="1" t="s">
        <v>207</v>
      </c>
      <c r="B155" s="1" t="s">
        <v>208</v>
      </c>
      <c r="C155" s="269">
        <v>-1715.49</v>
      </c>
      <c r="D155" s="1" t="s">
        <v>425</v>
      </c>
      <c r="E155" s="1" t="s">
        <v>426</v>
      </c>
      <c r="F155" s="1" t="s">
        <v>258</v>
      </c>
      <c r="G155" s="1" t="s">
        <v>427</v>
      </c>
      <c r="H155" s="270">
        <v>44475</v>
      </c>
      <c r="I155" s="271">
        <v>-7</v>
      </c>
      <c r="J155" s="1" t="s">
        <v>428</v>
      </c>
      <c r="K155" s="1" t="s">
        <v>429</v>
      </c>
      <c r="N155" s="1" t="s">
        <v>345</v>
      </c>
      <c r="O155" s="270">
        <v>44476</v>
      </c>
      <c r="P155" s="1" t="s">
        <v>430</v>
      </c>
      <c r="Q155" s="1" t="s">
        <v>431</v>
      </c>
      <c r="R155" s="1" t="s">
        <v>801</v>
      </c>
      <c r="T155" s="1" t="s">
        <v>428</v>
      </c>
      <c r="U155" s="1" t="s">
        <v>802</v>
      </c>
      <c r="V155" s="1" t="s">
        <v>762</v>
      </c>
      <c r="W155" s="270">
        <v>44475</v>
      </c>
      <c r="X155" s="1" t="s">
        <v>433</v>
      </c>
    </row>
    <row r="156" spans="1:24" x14ac:dyDescent="0.25">
      <c r="A156" s="1" t="s">
        <v>207</v>
      </c>
      <c r="B156" s="1" t="s">
        <v>208</v>
      </c>
      <c r="C156" s="269">
        <v>-245.07</v>
      </c>
      <c r="D156" s="1" t="s">
        <v>425</v>
      </c>
      <c r="E156" s="1" t="s">
        <v>426</v>
      </c>
      <c r="F156" s="1" t="s">
        <v>258</v>
      </c>
      <c r="G156" s="1" t="s">
        <v>427</v>
      </c>
      <c r="H156" s="270">
        <v>44474</v>
      </c>
      <c r="I156" s="271">
        <v>-1</v>
      </c>
      <c r="J156" s="1" t="s">
        <v>428</v>
      </c>
      <c r="K156" s="1" t="s">
        <v>429</v>
      </c>
      <c r="N156" s="1" t="s">
        <v>345</v>
      </c>
      <c r="O156" s="270">
        <v>44475</v>
      </c>
      <c r="P156" s="1" t="s">
        <v>430</v>
      </c>
      <c r="Q156" s="1" t="s">
        <v>431</v>
      </c>
      <c r="R156" s="1" t="s">
        <v>647</v>
      </c>
      <c r="T156" s="1" t="s">
        <v>428</v>
      </c>
      <c r="U156" s="1" t="s">
        <v>648</v>
      </c>
      <c r="V156" s="1" t="s">
        <v>450</v>
      </c>
      <c r="W156" s="270">
        <v>44474</v>
      </c>
      <c r="X156" s="1" t="s">
        <v>433</v>
      </c>
    </row>
    <row r="157" spans="1:24" x14ac:dyDescent="0.25">
      <c r="A157" s="1" t="s">
        <v>207</v>
      </c>
      <c r="B157" s="1" t="s">
        <v>208</v>
      </c>
      <c r="C157" s="269">
        <v>-1225.3499999999999</v>
      </c>
      <c r="D157" s="1" t="s">
        <v>425</v>
      </c>
      <c r="E157" s="1" t="s">
        <v>426</v>
      </c>
      <c r="F157" s="1" t="s">
        <v>258</v>
      </c>
      <c r="G157" s="1" t="s">
        <v>427</v>
      </c>
      <c r="H157" s="270">
        <v>44474</v>
      </c>
      <c r="I157" s="271">
        <v>-5</v>
      </c>
      <c r="J157" s="1" t="s">
        <v>428</v>
      </c>
      <c r="K157" s="1" t="s">
        <v>429</v>
      </c>
      <c r="N157" s="1" t="s">
        <v>345</v>
      </c>
      <c r="O157" s="270">
        <v>44475</v>
      </c>
      <c r="P157" s="1" t="s">
        <v>430</v>
      </c>
      <c r="Q157" s="1" t="s">
        <v>431</v>
      </c>
      <c r="R157" s="1" t="s">
        <v>649</v>
      </c>
      <c r="T157" s="1" t="s">
        <v>428</v>
      </c>
      <c r="U157" s="1" t="s">
        <v>650</v>
      </c>
      <c r="V157" s="1" t="s">
        <v>450</v>
      </c>
      <c r="W157" s="270">
        <v>44474</v>
      </c>
      <c r="X157" s="1" t="s">
        <v>433</v>
      </c>
    </row>
    <row r="158" spans="1:24" x14ac:dyDescent="0.25">
      <c r="A158" s="1" t="s">
        <v>207</v>
      </c>
      <c r="B158" s="1" t="s">
        <v>208</v>
      </c>
      <c r="C158" s="269">
        <v>-13233.78</v>
      </c>
      <c r="D158" s="1" t="s">
        <v>425</v>
      </c>
      <c r="E158" s="1" t="s">
        <v>426</v>
      </c>
      <c r="F158" s="1" t="s">
        <v>258</v>
      </c>
      <c r="G158" s="1" t="s">
        <v>427</v>
      </c>
      <c r="H158" s="270">
        <v>44474</v>
      </c>
      <c r="I158" s="271">
        <v>-54</v>
      </c>
      <c r="J158" s="1" t="s">
        <v>428</v>
      </c>
      <c r="K158" s="1" t="s">
        <v>429</v>
      </c>
      <c r="N158" s="1" t="s">
        <v>345</v>
      </c>
      <c r="O158" s="270">
        <v>44475</v>
      </c>
      <c r="P158" s="1" t="s">
        <v>430</v>
      </c>
      <c r="Q158" s="1" t="s">
        <v>431</v>
      </c>
      <c r="R158" s="1" t="s">
        <v>651</v>
      </c>
      <c r="T158" s="1" t="s">
        <v>428</v>
      </c>
      <c r="U158" s="1" t="s">
        <v>652</v>
      </c>
      <c r="V158" s="1" t="s">
        <v>450</v>
      </c>
      <c r="W158" s="270">
        <v>44474</v>
      </c>
      <c r="X158" s="1" t="s">
        <v>433</v>
      </c>
    </row>
    <row r="159" spans="1:24" x14ac:dyDescent="0.25">
      <c r="A159" s="1" t="s">
        <v>207</v>
      </c>
      <c r="B159" s="1" t="s">
        <v>208</v>
      </c>
      <c r="C159" s="269">
        <v>-14949.27</v>
      </c>
      <c r="D159" s="1" t="s">
        <v>425</v>
      </c>
      <c r="E159" s="1" t="s">
        <v>426</v>
      </c>
      <c r="F159" s="1" t="s">
        <v>258</v>
      </c>
      <c r="G159" s="1" t="s">
        <v>427</v>
      </c>
      <c r="H159" s="270">
        <v>44474</v>
      </c>
      <c r="I159" s="271">
        <v>-61</v>
      </c>
      <c r="J159" s="1" t="s">
        <v>428</v>
      </c>
      <c r="K159" s="1" t="s">
        <v>429</v>
      </c>
      <c r="N159" s="1" t="s">
        <v>345</v>
      </c>
      <c r="O159" s="270">
        <v>44475</v>
      </c>
      <c r="P159" s="1" t="s">
        <v>430</v>
      </c>
      <c r="Q159" s="1" t="s">
        <v>431</v>
      </c>
      <c r="R159" s="1" t="s">
        <v>653</v>
      </c>
      <c r="T159" s="1" t="s">
        <v>428</v>
      </c>
      <c r="U159" s="1" t="s">
        <v>654</v>
      </c>
      <c r="V159" s="1" t="s">
        <v>450</v>
      </c>
      <c r="W159" s="270">
        <v>44474</v>
      </c>
      <c r="X159" s="1" t="s">
        <v>433</v>
      </c>
    </row>
    <row r="160" spans="1:24" x14ac:dyDescent="0.25">
      <c r="A160" s="1" t="s">
        <v>207</v>
      </c>
      <c r="B160" s="1" t="s">
        <v>208</v>
      </c>
      <c r="C160" s="269">
        <v>-2450.6999999999998</v>
      </c>
      <c r="D160" s="1" t="s">
        <v>425</v>
      </c>
      <c r="E160" s="1" t="s">
        <v>426</v>
      </c>
      <c r="F160" s="1" t="s">
        <v>258</v>
      </c>
      <c r="G160" s="1" t="s">
        <v>427</v>
      </c>
      <c r="H160" s="270">
        <v>44474</v>
      </c>
      <c r="I160" s="271">
        <v>-10</v>
      </c>
      <c r="J160" s="1" t="s">
        <v>428</v>
      </c>
      <c r="K160" s="1" t="s">
        <v>429</v>
      </c>
      <c r="N160" s="1" t="s">
        <v>345</v>
      </c>
      <c r="O160" s="270">
        <v>44475</v>
      </c>
      <c r="P160" s="1" t="s">
        <v>430</v>
      </c>
      <c r="Q160" s="1" t="s">
        <v>431</v>
      </c>
      <c r="R160" s="1" t="s">
        <v>611</v>
      </c>
      <c r="T160" s="1" t="s">
        <v>428</v>
      </c>
      <c r="U160" s="1" t="s">
        <v>612</v>
      </c>
      <c r="V160" s="1" t="s">
        <v>448</v>
      </c>
      <c r="W160" s="270">
        <v>44474</v>
      </c>
      <c r="X160" s="1" t="s">
        <v>433</v>
      </c>
    </row>
    <row r="161" spans="1:24" x14ac:dyDescent="0.25">
      <c r="A161" s="1" t="s">
        <v>207</v>
      </c>
      <c r="B161" s="1" t="s">
        <v>208</v>
      </c>
      <c r="C161" s="269">
        <v>-24016.86</v>
      </c>
      <c r="D161" s="1" t="s">
        <v>425</v>
      </c>
      <c r="E161" s="1" t="s">
        <v>426</v>
      </c>
      <c r="F161" s="1" t="s">
        <v>258</v>
      </c>
      <c r="G161" s="1" t="s">
        <v>427</v>
      </c>
      <c r="H161" s="270">
        <v>44474</v>
      </c>
      <c r="I161" s="271">
        <v>-98</v>
      </c>
      <c r="J161" s="1" t="s">
        <v>428</v>
      </c>
      <c r="K161" s="1" t="s">
        <v>429</v>
      </c>
      <c r="N161" s="1" t="s">
        <v>345</v>
      </c>
      <c r="O161" s="270">
        <v>44475</v>
      </c>
      <c r="P161" s="1" t="s">
        <v>430</v>
      </c>
      <c r="Q161" s="1" t="s">
        <v>431</v>
      </c>
      <c r="R161" s="1" t="s">
        <v>625</v>
      </c>
      <c r="T161" s="1" t="s">
        <v>428</v>
      </c>
      <c r="U161" s="1" t="s">
        <v>626</v>
      </c>
      <c r="V161" s="1" t="s">
        <v>447</v>
      </c>
      <c r="W161" s="270">
        <v>44474</v>
      </c>
      <c r="X161" s="1" t="s">
        <v>433</v>
      </c>
    </row>
    <row r="162" spans="1:24" x14ac:dyDescent="0.25">
      <c r="A162" s="1" t="s">
        <v>207</v>
      </c>
      <c r="B162" s="1" t="s">
        <v>208</v>
      </c>
      <c r="C162" s="269">
        <v>-3676.05</v>
      </c>
      <c r="D162" s="1" t="s">
        <v>425</v>
      </c>
      <c r="E162" s="1" t="s">
        <v>426</v>
      </c>
      <c r="F162" s="1" t="s">
        <v>258</v>
      </c>
      <c r="G162" s="1" t="s">
        <v>427</v>
      </c>
      <c r="H162" s="270">
        <v>44474</v>
      </c>
      <c r="I162" s="271">
        <v>-15</v>
      </c>
      <c r="J162" s="1" t="s">
        <v>428</v>
      </c>
      <c r="K162" s="1" t="s">
        <v>429</v>
      </c>
      <c r="N162" s="1" t="s">
        <v>345</v>
      </c>
      <c r="O162" s="270">
        <v>44475</v>
      </c>
      <c r="P162" s="1" t="s">
        <v>430</v>
      </c>
      <c r="Q162" s="1" t="s">
        <v>431</v>
      </c>
      <c r="R162" s="1" t="s">
        <v>655</v>
      </c>
      <c r="T162" s="1" t="s">
        <v>428</v>
      </c>
      <c r="U162" s="1" t="s">
        <v>656</v>
      </c>
      <c r="V162" s="1" t="s">
        <v>443</v>
      </c>
      <c r="W162" s="270">
        <v>44474</v>
      </c>
      <c r="X162" s="1" t="s">
        <v>433</v>
      </c>
    </row>
    <row r="163" spans="1:24" x14ac:dyDescent="0.25">
      <c r="A163" s="1" t="s">
        <v>207</v>
      </c>
      <c r="B163" s="1" t="s">
        <v>208</v>
      </c>
      <c r="C163" s="269">
        <v>-13233.78</v>
      </c>
      <c r="D163" s="1" t="s">
        <v>425</v>
      </c>
      <c r="E163" s="1" t="s">
        <v>426</v>
      </c>
      <c r="F163" s="1" t="s">
        <v>258</v>
      </c>
      <c r="G163" s="1" t="s">
        <v>427</v>
      </c>
      <c r="H163" s="270">
        <v>44474</v>
      </c>
      <c r="I163" s="271">
        <v>-54</v>
      </c>
      <c r="J163" s="1" t="s">
        <v>428</v>
      </c>
      <c r="K163" s="1" t="s">
        <v>429</v>
      </c>
      <c r="N163" s="1" t="s">
        <v>345</v>
      </c>
      <c r="O163" s="270">
        <v>44475</v>
      </c>
      <c r="P163" s="1" t="s">
        <v>430</v>
      </c>
      <c r="Q163" s="1" t="s">
        <v>431</v>
      </c>
      <c r="R163" s="1" t="s">
        <v>657</v>
      </c>
      <c r="T163" s="1" t="s">
        <v>428</v>
      </c>
      <c r="U163" s="1" t="s">
        <v>658</v>
      </c>
      <c r="V163" s="1" t="s">
        <v>450</v>
      </c>
      <c r="W163" s="270">
        <v>44474</v>
      </c>
      <c r="X163" s="1" t="s">
        <v>433</v>
      </c>
    </row>
    <row r="164" spans="1:24" x14ac:dyDescent="0.25">
      <c r="A164" s="1" t="s">
        <v>207</v>
      </c>
      <c r="B164" s="1" t="s">
        <v>208</v>
      </c>
      <c r="C164" s="269">
        <v>-2940.84</v>
      </c>
      <c r="D164" s="1" t="s">
        <v>425</v>
      </c>
      <c r="E164" s="1" t="s">
        <v>426</v>
      </c>
      <c r="F164" s="1" t="s">
        <v>258</v>
      </c>
      <c r="G164" s="1" t="s">
        <v>427</v>
      </c>
      <c r="H164" s="270">
        <v>44473</v>
      </c>
      <c r="I164" s="271">
        <v>-12</v>
      </c>
      <c r="J164" s="1" t="s">
        <v>428</v>
      </c>
      <c r="K164" s="1" t="s">
        <v>429</v>
      </c>
      <c r="N164" s="1" t="s">
        <v>345</v>
      </c>
      <c r="O164" s="270">
        <v>44474</v>
      </c>
      <c r="P164" s="1" t="s">
        <v>430</v>
      </c>
      <c r="Q164" s="1" t="s">
        <v>431</v>
      </c>
      <c r="R164" s="1" t="s">
        <v>659</v>
      </c>
      <c r="T164" s="1" t="s">
        <v>428</v>
      </c>
      <c r="U164" s="1" t="s">
        <v>660</v>
      </c>
      <c r="V164" s="1" t="s">
        <v>441</v>
      </c>
      <c r="W164" s="270">
        <v>44473</v>
      </c>
      <c r="X164" s="1" t="s">
        <v>433</v>
      </c>
    </row>
    <row r="165" spans="1:24" x14ac:dyDescent="0.25">
      <c r="A165" s="1" t="s">
        <v>122</v>
      </c>
      <c r="B165" s="1" t="s">
        <v>123</v>
      </c>
      <c r="C165" s="269">
        <v>-54292.5</v>
      </c>
      <c r="D165" s="1" t="s">
        <v>425</v>
      </c>
      <c r="E165" s="1" t="s">
        <v>426</v>
      </c>
      <c r="F165" s="1" t="s">
        <v>258</v>
      </c>
      <c r="G165" s="1" t="s">
        <v>427</v>
      </c>
      <c r="H165" s="270">
        <v>44476</v>
      </c>
      <c r="I165" s="271">
        <v>-15</v>
      </c>
      <c r="J165" s="1" t="s">
        <v>428</v>
      </c>
      <c r="K165" s="1" t="s">
        <v>429</v>
      </c>
      <c r="N165" s="1" t="s">
        <v>300</v>
      </c>
      <c r="O165" s="270">
        <v>44477</v>
      </c>
      <c r="P165" s="1" t="s">
        <v>430</v>
      </c>
      <c r="Q165" s="1" t="s">
        <v>431</v>
      </c>
      <c r="R165" s="1" t="s">
        <v>812</v>
      </c>
      <c r="T165" s="1" t="s">
        <v>428</v>
      </c>
      <c r="U165" s="1" t="s">
        <v>813</v>
      </c>
      <c r="V165" s="1" t="s">
        <v>432</v>
      </c>
      <c r="W165" s="270">
        <v>44476</v>
      </c>
      <c r="X165" s="1" t="s">
        <v>433</v>
      </c>
    </row>
    <row r="166" spans="1:24" x14ac:dyDescent="0.25">
      <c r="A166" s="1" t="s">
        <v>122</v>
      </c>
      <c r="B166" s="1" t="s">
        <v>123</v>
      </c>
      <c r="C166" s="269">
        <v>-7239</v>
      </c>
      <c r="D166" s="1" t="s">
        <v>425</v>
      </c>
      <c r="E166" s="1" t="s">
        <v>426</v>
      </c>
      <c r="F166" s="1" t="s">
        <v>258</v>
      </c>
      <c r="G166" s="1" t="s">
        <v>427</v>
      </c>
      <c r="H166" s="270">
        <v>44474</v>
      </c>
      <c r="I166" s="271">
        <v>-2</v>
      </c>
      <c r="J166" s="1" t="s">
        <v>428</v>
      </c>
      <c r="K166" s="1" t="s">
        <v>429</v>
      </c>
      <c r="N166" s="1" t="s">
        <v>300</v>
      </c>
      <c r="O166" s="270">
        <v>44475</v>
      </c>
      <c r="P166" s="1" t="s">
        <v>430</v>
      </c>
      <c r="Q166" s="1" t="s">
        <v>431</v>
      </c>
      <c r="R166" s="1" t="s">
        <v>540</v>
      </c>
      <c r="T166" s="1" t="s">
        <v>428</v>
      </c>
      <c r="U166" s="1" t="s">
        <v>541</v>
      </c>
      <c r="V166" s="1" t="s">
        <v>448</v>
      </c>
      <c r="W166" s="270">
        <v>44474</v>
      </c>
      <c r="X166" s="1" t="s">
        <v>433</v>
      </c>
    </row>
    <row r="167" spans="1:24" x14ac:dyDescent="0.25">
      <c r="A167" s="1" t="s">
        <v>137</v>
      </c>
      <c r="B167" s="1" t="s">
        <v>138</v>
      </c>
      <c r="C167" s="269">
        <v>-1591.2</v>
      </c>
      <c r="D167" s="1" t="s">
        <v>425</v>
      </c>
      <c r="E167" s="1" t="s">
        <v>426</v>
      </c>
      <c r="F167" s="1" t="s">
        <v>258</v>
      </c>
      <c r="G167" s="1" t="s">
        <v>427</v>
      </c>
      <c r="H167" s="270">
        <v>44477</v>
      </c>
      <c r="I167" s="271">
        <v>-6</v>
      </c>
      <c r="J167" s="1" t="s">
        <v>428</v>
      </c>
      <c r="K167" s="1" t="s">
        <v>429</v>
      </c>
      <c r="N167" s="1" t="s">
        <v>296</v>
      </c>
      <c r="O167" s="270">
        <v>44478</v>
      </c>
      <c r="P167" s="1" t="s">
        <v>430</v>
      </c>
      <c r="Q167" s="1" t="s">
        <v>431</v>
      </c>
      <c r="R167" s="1" t="s">
        <v>814</v>
      </c>
      <c r="T167" s="1" t="s">
        <v>428</v>
      </c>
      <c r="U167" s="1" t="s">
        <v>815</v>
      </c>
      <c r="V167" s="1" t="s">
        <v>816</v>
      </c>
      <c r="W167" s="270">
        <v>44476</v>
      </c>
      <c r="X167" s="1" t="s">
        <v>433</v>
      </c>
    </row>
    <row r="168" spans="1:24" x14ac:dyDescent="0.25">
      <c r="A168" s="1" t="s">
        <v>137</v>
      </c>
      <c r="B168" s="1" t="s">
        <v>138</v>
      </c>
      <c r="C168" s="269">
        <v>-795.6</v>
      </c>
      <c r="D168" s="1" t="s">
        <v>425</v>
      </c>
      <c r="E168" s="1" t="s">
        <v>426</v>
      </c>
      <c r="F168" s="1" t="s">
        <v>258</v>
      </c>
      <c r="G168" s="1" t="s">
        <v>427</v>
      </c>
      <c r="H168" s="270">
        <v>44477</v>
      </c>
      <c r="I168" s="271">
        <v>-3</v>
      </c>
      <c r="J168" s="1" t="s">
        <v>428</v>
      </c>
      <c r="K168" s="1" t="s">
        <v>429</v>
      </c>
      <c r="N168" s="1" t="s">
        <v>296</v>
      </c>
      <c r="O168" s="270">
        <v>44478</v>
      </c>
      <c r="P168" s="1" t="s">
        <v>430</v>
      </c>
      <c r="Q168" s="1" t="s">
        <v>431</v>
      </c>
      <c r="R168" s="1" t="s">
        <v>817</v>
      </c>
      <c r="T168" s="1" t="s">
        <v>428</v>
      </c>
      <c r="U168" s="1" t="s">
        <v>818</v>
      </c>
      <c r="V168" s="1" t="s">
        <v>819</v>
      </c>
      <c r="W168" s="270">
        <v>44477</v>
      </c>
      <c r="X168" s="1" t="s">
        <v>433</v>
      </c>
    </row>
    <row r="169" spans="1:24" x14ac:dyDescent="0.25">
      <c r="A169" s="1" t="s">
        <v>137</v>
      </c>
      <c r="B169" s="1" t="s">
        <v>138</v>
      </c>
      <c r="C169" s="269">
        <v>-1591.2</v>
      </c>
      <c r="D169" s="1" t="s">
        <v>425</v>
      </c>
      <c r="E169" s="1" t="s">
        <v>426</v>
      </c>
      <c r="F169" s="1" t="s">
        <v>258</v>
      </c>
      <c r="G169" s="1" t="s">
        <v>427</v>
      </c>
      <c r="H169" s="270">
        <v>44477</v>
      </c>
      <c r="I169" s="271">
        <v>-6</v>
      </c>
      <c r="J169" s="1" t="s">
        <v>428</v>
      </c>
      <c r="K169" s="1" t="s">
        <v>429</v>
      </c>
      <c r="N169" s="1" t="s">
        <v>296</v>
      </c>
      <c r="O169" s="270">
        <v>44478</v>
      </c>
      <c r="P169" s="1" t="s">
        <v>430</v>
      </c>
      <c r="Q169" s="1" t="s">
        <v>431</v>
      </c>
      <c r="R169" s="1" t="s">
        <v>820</v>
      </c>
      <c r="T169" s="1" t="s">
        <v>428</v>
      </c>
      <c r="U169" s="1" t="s">
        <v>821</v>
      </c>
      <c r="V169" s="1" t="s">
        <v>439</v>
      </c>
      <c r="W169" s="270">
        <v>44477</v>
      </c>
      <c r="X169" s="1" t="s">
        <v>433</v>
      </c>
    </row>
    <row r="170" spans="1:24" x14ac:dyDescent="0.25">
      <c r="A170" s="1" t="s">
        <v>137</v>
      </c>
      <c r="B170" s="1" t="s">
        <v>138</v>
      </c>
      <c r="C170" s="269">
        <v>-3182.4</v>
      </c>
      <c r="D170" s="1" t="s">
        <v>425</v>
      </c>
      <c r="E170" s="1" t="s">
        <v>426</v>
      </c>
      <c r="F170" s="1" t="s">
        <v>258</v>
      </c>
      <c r="G170" s="1" t="s">
        <v>427</v>
      </c>
      <c r="H170" s="270">
        <v>44477</v>
      </c>
      <c r="I170" s="271">
        <v>-12</v>
      </c>
      <c r="J170" s="1" t="s">
        <v>428</v>
      </c>
      <c r="K170" s="1" t="s">
        <v>429</v>
      </c>
      <c r="N170" s="1" t="s">
        <v>296</v>
      </c>
      <c r="O170" s="270">
        <v>44478</v>
      </c>
      <c r="P170" s="1" t="s">
        <v>430</v>
      </c>
      <c r="Q170" s="1" t="s">
        <v>431</v>
      </c>
      <c r="R170" s="1" t="s">
        <v>822</v>
      </c>
      <c r="T170" s="1" t="s">
        <v>428</v>
      </c>
      <c r="U170" s="1" t="s">
        <v>823</v>
      </c>
      <c r="V170" s="1" t="s">
        <v>824</v>
      </c>
      <c r="W170" s="270">
        <v>44477</v>
      </c>
      <c r="X170" s="1" t="s">
        <v>433</v>
      </c>
    </row>
    <row r="171" spans="1:24" x14ac:dyDescent="0.25">
      <c r="A171" s="1" t="s">
        <v>137</v>
      </c>
      <c r="B171" s="1" t="s">
        <v>138</v>
      </c>
      <c r="C171" s="269">
        <v>-4243.2</v>
      </c>
      <c r="D171" s="1" t="s">
        <v>425</v>
      </c>
      <c r="E171" s="1" t="s">
        <v>426</v>
      </c>
      <c r="F171" s="1" t="s">
        <v>258</v>
      </c>
      <c r="G171" s="1" t="s">
        <v>427</v>
      </c>
      <c r="H171" s="270">
        <v>44477</v>
      </c>
      <c r="I171" s="271">
        <v>-16</v>
      </c>
      <c r="J171" s="1" t="s">
        <v>428</v>
      </c>
      <c r="K171" s="1" t="s">
        <v>429</v>
      </c>
      <c r="N171" s="1" t="s">
        <v>296</v>
      </c>
      <c r="O171" s="270">
        <v>44478</v>
      </c>
      <c r="P171" s="1" t="s">
        <v>430</v>
      </c>
      <c r="Q171" s="1" t="s">
        <v>431</v>
      </c>
      <c r="R171" s="1" t="s">
        <v>825</v>
      </c>
      <c r="T171" s="1" t="s">
        <v>428</v>
      </c>
      <c r="U171" s="1" t="s">
        <v>826</v>
      </c>
      <c r="V171" s="1" t="s">
        <v>456</v>
      </c>
      <c r="W171" s="270">
        <v>44477</v>
      </c>
      <c r="X171" s="1" t="s">
        <v>433</v>
      </c>
    </row>
    <row r="172" spans="1:24" x14ac:dyDescent="0.25">
      <c r="A172" s="1" t="s">
        <v>137</v>
      </c>
      <c r="B172" s="1" t="s">
        <v>138</v>
      </c>
      <c r="C172" s="269">
        <v>-1591.2</v>
      </c>
      <c r="D172" s="1" t="s">
        <v>425</v>
      </c>
      <c r="E172" s="1" t="s">
        <v>426</v>
      </c>
      <c r="F172" s="1" t="s">
        <v>258</v>
      </c>
      <c r="G172" s="1" t="s">
        <v>427</v>
      </c>
      <c r="H172" s="270">
        <v>44477</v>
      </c>
      <c r="I172" s="271">
        <v>-6</v>
      </c>
      <c r="J172" s="1" t="s">
        <v>428</v>
      </c>
      <c r="K172" s="1" t="s">
        <v>429</v>
      </c>
      <c r="N172" s="1" t="s">
        <v>296</v>
      </c>
      <c r="O172" s="270">
        <v>44478</v>
      </c>
      <c r="P172" s="1" t="s">
        <v>430</v>
      </c>
      <c r="Q172" s="1" t="s">
        <v>431</v>
      </c>
      <c r="R172" s="1" t="s">
        <v>827</v>
      </c>
      <c r="T172" s="1" t="s">
        <v>428</v>
      </c>
      <c r="U172" s="1" t="s">
        <v>828</v>
      </c>
      <c r="V172" s="1" t="s">
        <v>829</v>
      </c>
      <c r="W172" s="270">
        <v>44477</v>
      </c>
      <c r="X172" s="1" t="s">
        <v>433</v>
      </c>
    </row>
    <row r="173" spans="1:24" x14ac:dyDescent="0.25">
      <c r="A173" s="1" t="s">
        <v>137</v>
      </c>
      <c r="B173" s="1" t="s">
        <v>138</v>
      </c>
      <c r="C173" s="269">
        <v>-3182.4</v>
      </c>
      <c r="D173" s="1" t="s">
        <v>425</v>
      </c>
      <c r="E173" s="1" t="s">
        <v>426</v>
      </c>
      <c r="F173" s="1" t="s">
        <v>258</v>
      </c>
      <c r="G173" s="1" t="s">
        <v>427</v>
      </c>
      <c r="H173" s="270">
        <v>44476</v>
      </c>
      <c r="I173" s="271">
        <v>-12</v>
      </c>
      <c r="J173" s="1" t="s">
        <v>428</v>
      </c>
      <c r="K173" s="1" t="s">
        <v>429</v>
      </c>
      <c r="N173" s="1" t="s">
        <v>296</v>
      </c>
      <c r="O173" s="270">
        <v>44477</v>
      </c>
      <c r="P173" s="1" t="s">
        <v>430</v>
      </c>
      <c r="Q173" s="1" t="s">
        <v>431</v>
      </c>
      <c r="R173" s="1" t="s">
        <v>830</v>
      </c>
      <c r="T173" s="1" t="s">
        <v>428</v>
      </c>
      <c r="U173" s="1" t="s">
        <v>831</v>
      </c>
      <c r="V173" s="1" t="s">
        <v>832</v>
      </c>
      <c r="W173" s="270">
        <v>44475</v>
      </c>
      <c r="X173" s="1" t="s">
        <v>433</v>
      </c>
    </row>
    <row r="174" spans="1:24" x14ac:dyDescent="0.25">
      <c r="A174" s="1" t="s">
        <v>137</v>
      </c>
      <c r="B174" s="1" t="s">
        <v>138</v>
      </c>
      <c r="C174" s="269">
        <v>-8221.2000000000007</v>
      </c>
      <c r="D174" s="1" t="s">
        <v>425</v>
      </c>
      <c r="E174" s="1" t="s">
        <v>426</v>
      </c>
      <c r="F174" s="1" t="s">
        <v>258</v>
      </c>
      <c r="G174" s="1" t="s">
        <v>427</v>
      </c>
      <c r="H174" s="270">
        <v>44476</v>
      </c>
      <c r="I174" s="271">
        <v>-31</v>
      </c>
      <c r="J174" s="1" t="s">
        <v>428</v>
      </c>
      <c r="K174" s="1" t="s">
        <v>429</v>
      </c>
      <c r="N174" s="1" t="s">
        <v>296</v>
      </c>
      <c r="O174" s="270">
        <v>44477</v>
      </c>
      <c r="P174" s="1" t="s">
        <v>430</v>
      </c>
      <c r="Q174" s="1" t="s">
        <v>431</v>
      </c>
      <c r="R174" s="1" t="s">
        <v>833</v>
      </c>
      <c r="T174" s="1" t="s">
        <v>428</v>
      </c>
      <c r="U174" s="1" t="s">
        <v>834</v>
      </c>
      <c r="V174" s="1" t="s">
        <v>434</v>
      </c>
      <c r="W174" s="270">
        <v>44476</v>
      </c>
      <c r="X174" s="1" t="s">
        <v>433</v>
      </c>
    </row>
    <row r="175" spans="1:24" x14ac:dyDescent="0.25">
      <c r="A175" s="1" t="s">
        <v>137</v>
      </c>
      <c r="B175" s="1" t="s">
        <v>138</v>
      </c>
      <c r="C175" s="269">
        <v>-19359.599999999999</v>
      </c>
      <c r="D175" s="1" t="s">
        <v>425</v>
      </c>
      <c r="E175" s="1" t="s">
        <v>426</v>
      </c>
      <c r="F175" s="1" t="s">
        <v>258</v>
      </c>
      <c r="G175" s="1" t="s">
        <v>427</v>
      </c>
      <c r="H175" s="270">
        <v>44476</v>
      </c>
      <c r="I175" s="271">
        <v>-73</v>
      </c>
      <c r="J175" s="1" t="s">
        <v>428</v>
      </c>
      <c r="K175" s="1" t="s">
        <v>429</v>
      </c>
      <c r="N175" s="1" t="s">
        <v>296</v>
      </c>
      <c r="O175" s="270">
        <v>44477</v>
      </c>
      <c r="P175" s="1" t="s">
        <v>430</v>
      </c>
      <c r="Q175" s="1" t="s">
        <v>431</v>
      </c>
      <c r="R175" s="1" t="s">
        <v>835</v>
      </c>
      <c r="T175" s="1" t="s">
        <v>428</v>
      </c>
      <c r="U175" s="1" t="s">
        <v>836</v>
      </c>
      <c r="V175" s="1" t="s">
        <v>459</v>
      </c>
      <c r="W175" s="270">
        <v>44476</v>
      </c>
      <c r="X175" s="1" t="s">
        <v>433</v>
      </c>
    </row>
    <row r="176" spans="1:24" x14ac:dyDescent="0.25">
      <c r="A176" s="1" t="s">
        <v>137</v>
      </c>
      <c r="B176" s="1" t="s">
        <v>138</v>
      </c>
      <c r="C176" s="269">
        <v>-12464.4</v>
      </c>
      <c r="D176" s="1" t="s">
        <v>425</v>
      </c>
      <c r="E176" s="1" t="s">
        <v>426</v>
      </c>
      <c r="F176" s="1" t="s">
        <v>258</v>
      </c>
      <c r="G176" s="1" t="s">
        <v>427</v>
      </c>
      <c r="H176" s="270">
        <v>44476</v>
      </c>
      <c r="I176" s="271">
        <v>-47</v>
      </c>
      <c r="J176" s="1" t="s">
        <v>428</v>
      </c>
      <c r="K176" s="1" t="s">
        <v>429</v>
      </c>
      <c r="N176" s="1" t="s">
        <v>296</v>
      </c>
      <c r="O176" s="270">
        <v>44477</v>
      </c>
      <c r="P176" s="1" t="s">
        <v>430</v>
      </c>
      <c r="Q176" s="1" t="s">
        <v>431</v>
      </c>
      <c r="R176" s="1" t="s">
        <v>837</v>
      </c>
      <c r="T176" s="1" t="s">
        <v>428</v>
      </c>
      <c r="U176" s="1" t="s">
        <v>838</v>
      </c>
      <c r="V176" s="1" t="s">
        <v>839</v>
      </c>
      <c r="W176" s="270">
        <v>44476</v>
      </c>
      <c r="X176" s="1" t="s">
        <v>433</v>
      </c>
    </row>
    <row r="177" spans="1:24" x14ac:dyDescent="0.25">
      <c r="A177" s="1" t="s">
        <v>137</v>
      </c>
      <c r="B177" s="1" t="s">
        <v>138</v>
      </c>
      <c r="C177" s="269">
        <v>-202347.6</v>
      </c>
      <c r="D177" s="1" t="s">
        <v>425</v>
      </c>
      <c r="E177" s="1" t="s">
        <v>426</v>
      </c>
      <c r="F177" s="1" t="s">
        <v>258</v>
      </c>
      <c r="G177" s="1" t="s">
        <v>427</v>
      </c>
      <c r="H177" s="270">
        <v>44476</v>
      </c>
      <c r="I177" s="271">
        <v>-763</v>
      </c>
      <c r="J177" s="1" t="s">
        <v>428</v>
      </c>
      <c r="K177" s="1" t="s">
        <v>429</v>
      </c>
      <c r="N177" s="1" t="s">
        <v>296</v>
      </c>
      <c r="O177" s="270">
        <v>44477</v>
      </c>
      <c r="P177" s="1" t="s">
        <v>430</v>
      </c>
      <c r="Q177" s="1" t="s">
        <v>431</v>
      </c>
      <c r="R177" s="1" t="s">
        <v>840</v>
      </c>
      <c r="T177" s="1" t="s">
        <v>428</v>
      </c>
      <c r="U177" s="1" t="s">
        <v>841</v>
      </c>
      <c r="V177" s="1" t="s">
        <v>839</v>
      </c>
      <c r="W177" s="270">
        <v>44476</v>
      </c>
      <c r="X177" s="1" t="s">
        <v>433</v>
      </c>
    </row>
    <row r="178" spans="1:24" x14ac:dyDescent="0.25">
      <c r="A178" s="1" t="s">
        <v>137</v>
      </c>
      <c r="B178" s="1" t="s">
        <v>138</v>
      </c>
      <c r="C178" s="269">
        <v>-12729.6</v>
      </c>
      <c r="D178" s="1" t="s">
        <v>425</v>
      </c>
      <c r="E178" s="1" t="s">
        <v>426</v>
      </c>
      <c r="F178" s="1" t="s">
        <v>258</v>
      </c>
      <c r="G178" s="1" t="s">
        <v>427</v>
      </c>
      <c r="H178" s="270">
        <v>44475</v>
      </c>
      <c r="I178" s="271">
        <v>-48</v>
      </c>
      <c r="J178" s="1" t="s">
        <v>428</v>
      </c>
      <c r="K178" s="1" t="s">
        <v>429</v>
      </c>
      <c r="N178" s="1" t="s">
        <v>296</v>
      </c>
      <c r="O178" s="270">
        <v>44476</v>
      </c>
      <c r="P178" s="1" t="s">
        <v>430</v>
      </c>
      <c r="Q178" s="1" t="s">
        <v>431</v>
      </c>
      <c r="R178" s="1" t="s">
        <v>842</v>
      </c>
      <c r="T178" s="1" t="s">
        <v>428</v>
      </c>
      <c r="U178" s="1" t="s">
        <v>843</v>
      </c>
      <c r="V178" s="1" t="s">
        <v>449</v>
      </c>
      <c r="W178" s="270">
        <v>44475</v>
      </c>
      <c r="X178" s="1" t="s">
        <v>433</v>
      </c>
    </row>
    <row r="179" spans="1:24" x14ac:dyDescent="0.25">
      <c r="A179" s="1" t="s">
        <v>137</v>
      </c>
      <c r="B179" s="1" t="s">
        <v>138</v>
      </c>
      <c r="C179" s="269">
        <v>-2652</v>
      </c>
      <c r="D179" s="1" t="s">
        <v>425</v>
      </c>
      <c r="E179" s="1" t="s">
        <v>426</v>
      </c>
      <c r="F179" s="1" t="s">
        <v>258</v>
      </c>
      <c r="G179" s="1" t="s">
        <v>427</v>
      </c>
      <c r="H179" s="270">
        <v>44475</v>
      </c>
      <c r="I179" s="271">
        <v>-10</v>
      </c>
      <c r="J179" s="1" t="s">
        <v>428</v>
      </c>
      <c r="K179" s="1" t="s">
        <v>429</v>
      </c>
      <c r="N179" s="1" t="s">
        <v>296</v>
      </c>
      <c r="O179" s="270">
        <v>44476</v>
      </c>
      <c r="P179" s="1" t="s">
        <v>430</v>
      </c>
      <c r="Q179" s="1" t="s">
        <v>431</v>
      </c>
      <c r="R179" s="1" t="s">
        <v>844</v>
      </c>
      <c r="T179" s="1" t="s">
        <v>428</v>
      </c>
      <c r="U179" s="1" t="s">
        <v>845</v>
      </c>
      <c r="V179" s="1" t="s">
        <v>846</v>
      </c>
      <c r="W179" s="270">
        <v>44475</v>
      </c>
      <c r="X179" s="1" t="s">
        <v>433</v>
      </c>
    </row>
    <row r="180" spans="1:24" x14ac:dyDescent="0.25">
      <c r="A180" s="1" t="s">
        <v>137</v>
      </c>
      <c r="B180" s="1" t="s">
        <v>138</v>
      </c>
      <c r="C180" s="269">
        <v>-7956</v>
      </c>
      <c r="D180" s="1" t="s">
        <v>425</v>
      </c>
      <c r="E180" s="1" t="s">
        <v>426</v>
      </c>
      <c r="F180" s="1" t="s">
        <v>258</v>
      </c>
      <c r="G180" s="1" t="s">
        <v>427</v>
      </c>
      <c r="H180" s="270">
        <v>44474</v>
      </c>
      <c r="I180" s="271">
        <v>-30</v>
      </c>
      <c r="J180" s="1" t="s">
        <v>428</v>
      </c>
      <c r="K180" s="1" t="s">
        <v>429</v>
      </c>
      <c r="N180" s="1" t="s">
        <v>292</v>
      </c>
      <c r="O180" s="270">
        <v>44475</v>
      </c>
      <c r="P180" s="1" t="s">
        <v>430</v>
      </c>
      <c r="Q180" s="1" t="s">
        <v>431</v>
      </c>
      <c r="R180" s="1" t="s">
        <v>691</v>
      </c>
      <c r="T180" s="1" t="s">
        <v>428</v>
      </c>
      <c r="U180" s="1" t="s">
        <v>692</v>
      </c>
      <c r="V180" s="1" t="s">
        <v>455</v>
      </c>
      <c r="W180" s="270">
        <v>44473</v>
      </c>
      <c r="X180" s="1" t="s">
        <v>433</v>
      </c>
    </row>
    <row r="181" spans="1:24" x14ac:dyDescent="0.25">
      <c r="A181" s="1" t="s">
        <v>137</v>
      </c>
      <c r="B181" s="1" t="s">
        <v>138</v>
      </c>
      <c r="C181" s="269">
        <v>-5304</v>
      </c>
      <c r="D181" s="1" t="s">
        <v>425</v>
      </c>
      <c r="E181" s="1" t="s">
        <v>426</v>
      </c>
      <c r="F181" s="1" t="s">
        <v>258</v>
      </c>
      <c r="G181" s="1" t="s">
        <v>427</v>
      </c>
      <c r="H181" s="270">
        <v>44474</v>
      </c>
      <c r="I181" s="271">
        <v>-20</v>
      </c>
      <c r="J181" s="1" t="s">
        <v>428</v>
      </c>
      <c r="K181" s="1" t="s">
        <v>429</v>
      </c>
      <c r="N181" s="1" t="s">
        <v>292</v>
      </c>
      <c r="O181" s="270">
        <v>44475</v>
      </c>
      <c r="P181" s="1" t="s">
        <v>430</v>
      </c>
      <c r="Q181" s="1" t="s">
        <v>431</v>
      </c>
      <c r="R181" s="1" t="s">
        <v>689</v>
      </c>
      <c r="T181" s="1" t="s">
        <v>428</v>
      </c>
      <c r="U181" s="1" t="s">
        <v>690</v>
      </c>
      <c r="V181" s="1" t="s">
        <v>459</v>
      </c>
      <c r="W181" s="270">
        <v>44474</v>
      </c>
      <c r="X181" s="1" t="s">
        <v>433</v>
      </c>
    </row>
    <row r="182" spans="1:24" x14ac:dyDescent="0.25">
      <c r="A182" s="1" t="s">
        <v>137</v>
      </c>
      <c r="B182" s="1" t="s">
        <v>138</v>
      </c>
      <c r="C182" s="269">
        <v>-4243.2</v>
      </c>
      <c r="D182" s="1" t="s">
        <v>425</v>
      </c>
      <c r="E182" s="1" t="s">
        <v>426</v>
      </c>
      <c r="F182" s="1" t="s">
        <v>258</v>
      </c>
      <c r="G182" s="1" t="s">
        <v>427</v>
      </c>
      <c r="H182" s="270">
        <v>44474</v>
      </c>
      <c r="I182" s="271">
        <v>-16</v>
      </c>
      <c r="J182" s="1" t="s">
        <v>428</v>
      </c>
      <c r="K182" s="1" t="s">
        <v>429</v>
      </c>
      <c r="N182" s="1" t="s">
        <v>296</v>
      </c>
      <c r="O182" s="270">
        <v>44475</v>
      </c>
      <c r="P182" s="1" t="s">
        <v>430</v>
      </c>
      <c r="Q182" s="1" t="s">
        <v>431</v>
      </c>
      <c r="R182" s="1" t="s">
        <v>687</v>
      </c>
      <c r="T182" s="1" t="s">
        <v>428</v>
      </c>
      <c r="U182" s="1" t="s">
        <v>688</v>
      </c>
      <c r="V182" s="1" t="s">
        <v>460</v>
      </c>
      <c r="W182" s="270">
        <v>44474</v>
      </c>
      <c r="X182" s="1" t="s">
        <v>433</v>
      </c>
    </row>
    <row r="183" spans="1:24" x14ac:dyDescent="0.25">
      <c r="A183" s="1" t="s">
        <v>137</v>
      </c>
      <c r="B183" s="1" t="s">
        <v>138</v>
      </c>
      <c r="C183" s="269">
        <v>-1591.2</v>
      </c>
      <c r="D183" s="1" t="s">
        <v>425</v>
      </c>
      <c r="E183" s="1" t="s">
        <v>426</v>
      </c>
      <c r="F183" s="1" t="s">
        <v>258</v>
      </c>
      <c r="G183" s="1" t="s">
        <v>427</v>
      </c>
      <c r="H183" s="270">
        <v>44474</v>
      </c>
      <c r="I183" s="271">
        <v>-6</v>
      </c>
      <c r="J183" s="1" t="s">
        <v>428</v>
      </c>
      <c r="K183" s="1" t="s">
        <v>429</v>
      </c>
      <c r="N183" s="1" t="s">
        <v>296</v>
      </c>
      <c r="O183" s="270">
        <v>44475</v>
      </c>
      <c r="P183" s="1" t="s">
        <v>430</v>
      </c>
      <c r="Q183" s="1" t="s">
        <v>431</v>
      </c>
      <c r="R183" s="1" t="s">
        <v>685</v>
      </c>
      <c r="T183" s="1" t="s">
        <v>428</v>
      </c>
      <c r="U183" s="1" t="s">
        <v>686</v>
      </c>
      <c r="V183" s="1" t="s">
        <v>462</v>
      </c>
      <c r="W183" s="270">
        <v>44474</v>
      </c>
      <c r="X183" s="1" t="s">
        <v>433</v>
      </c>
    </row>
    <row r="184" spans="1:24" x14ac:dyDescent="0.25">
      <c r="A184" s="1" t="s">
        <v>137</v>
      </c>
      <c r="B184" s="1" t="s">
        <v>138</v>
      </c>
      <c r="C184" s="269">
        <v>-37128</v>
      </c>
      <c r="D184" s="1" t="s">
        <v>425</v>
      </c>
      <c r="E184" s="1" t="s">
        <v>426</v>
      </c>
      <c r="F184" s="1" t="s">
        <v>258</v>
      </c>
      <c r="G184" s="1" t="s">
        <v>427</v>
      </c>
      <c r="H184" s="270">
        <v>44474</v>
      </c>
      <c r="I184" s="271">
        <v>-140</v>
      </c>
      <c r="J184" s="1" t="s">
        <v>428</v>
      </c>
      <c r="K184" s="1" t="s">
        <v>429</v>
      </c>
      <c r="N184" s="1" t="s">
        <v>296</v>
      </c>
      <c r="O184" s="270">
        <v>44475</v>
      </c>
      <c r="P184" s="1" t="s">
        <v>430</v>
      </c>
      <c r="Q184" s="1" t="s">
        <v>431</v>
      </c>
      <c r="R184" s="1" t="s">
        <v>672</v>
      </c>
      <c r="T184" s="1" t="s">
        <v>428</v>
      </c>
      <c r="U184" s="1" t="s">
        <v>673</v>
      </c>
      <c r="V184" s="1" t="s">
        <v>436</v>
      </c>
      <c r="W184" s="270">
        <v>44474</v>
      </c>
      <c r="X184" s="1" t="s">
        <v>433</v>
      </c>
    </row>
    <row r="185" spans="1:24" x14ac:dyDescent="0.25">
      <c r="A185" s="1" t="s">
        <v>137</v>
      </c>
      <c r="B185" s="1" t="s">
        <v>138</v>
      </c>
      <c r="C185" s="269">
        <v>-132600</v>
      </c>
      <c r="D185" s="1" t="s">
        <v>425</v>
      </c>
      <c r="E185" s="1" t="s">
        <v>426</v>
      </c>
      <c r="F185" s="1" t="s">
        <v>258</v>
      </c>
      <c r="G185" s="1" t="s">
        <v>427</v>
      </c>
      <c r="H185" s="270">
        <v>44474</v>
      </c>
      <c r="I185" s="271">
        <v>-500</v>
      </c>
      <c r="J185" s="1" t="s">
        <v>428</v>
      </c>
      <c r="K185" s="1" t="s">
        <v>429</v>
      </c>
      <c r="N185" s="1" t="s">
        <v>296</v>
      </c>
      <c r="O185" s="270">
        <v>44475</v>
      </c>
      <c r="P185" s="1" t="s">
        <v>430</v>
      </c>
      <c r="Q185" s="1" t="s">
        <v>431</v>
      </c>
      <c r="R185" s="1" t="s">
        <v>669</v>
      </c>
      <c r="T185" s="1" t="s">
        <v>428</v>
      </c>
      <c r="U185" s="1" t="s">
        <v>670</v>
      </c>
      <c r="V185" s="1" t="s">
        <v>671</v>
      </c>
      <c r="W185" s="270">
        <v>44474</v>
      </c>
      <c r="X185" s="1" t="s">
        <v>433</v>
      </c>
    </row>
    <row r="186" spans="1:24" x14ac:dyDescent="0.25">
      <c r="A186" s="1" t="s">
        <v>137</v>
      </c>
      <c r="B186" s="1" t="s">
        <v>138</v>
      </c>
      <c r="C186" s="269">
        <v>-5304</v>
      </c>
      <c r="D186" s="1" t="s">
        <v>425</v>
      </c>
      <c r="E186" s="1" t="s">
        <v>426</v>
      </c>
      <c r="F186" s="1" t="s">
        <v>258</v>
      </c>
      <c r="G186" s="1" t="s">
        <v>427</v>
      </c>
      <c r="H186" s="270">
        <v>44474</v>
      </c>
      <c r="I186" s="271">
        <v>-20</v>
      </c>
      <c r="J186" s="1" t="s">
        <v>428</v>
      </c>
      <c r="K186" s="1" t="s">
        <v>429</v>
      </c>
      <c r="N186" s="1" t="s">
        <v>296</v>
      </c>
      <c r="O186" s="270">
        <v>44475</v>
      </c>
      <c r="P186" s="1" t="s">
        <v>430</v>
      </c>
      <c r="Q186" s="1" t="s">
        <v>431</v>
      </c>
      <c r="R186" s="1" t="s">
        <v>667</v>
      </c>
      <c r="T186" s="1" t="s">
        <v>428</v>
      </c>
      <c r="U186" s="1" t="s">
        <v>668</v>
      </c>
      <c r="V186" s="1" t="s">
        <v>438</v>
      </c>
      <c r="W186" s="270">
        <v>44474</v>
      </c>
      <c r="X186" s="1" t="s">
        <v>433</v>
      </c>
    </row>
    <row r="187" spans="1:24" x14ac:dyDescent="0.25">
      <c r="A187" s="1" t="s">
        <v>137</v>
      </c>
      <c r="B187" s="1" t="s">
        <v>138</v>
      </c>
      <c r="C187" s="269">
        <v>-15912</v>
      </c>
      <c r="D187" s="1" t="s">
        <v>425</v>
      </c>
      <c r="E187" s="1" t="s">
        <v>426</v>
      </c>
      <c r="F187" s="1" t="s">
        <v>258</v>
      </c>
      <c r="G187" s="1" t="s">
        <v>427</v>
      </c>
      <c r="H187" s="270">
        <v>44474</v>
      </c>
      <c r="I187" s="271">
        <v>-60</v>
      </c>
      <c r="J187" s="1" t="s">
        <v>428</v>
      </c>
      <c r="K187" s="1" t="s">
        <v>429</v>
      </c>
      <c r="N187" s="1" t="s">
        <v>292</v>
      </c>
      <c r="O187" s="270">
        <v>44475</v>
      </c>
      <c r="P187" s="1" t="s">
        <v>430</v>
      </c>
      <c r="Q187" s="1" t="s">
        <v>431</v>
      </c>
      <c r="R187" s="1" t="s">
        <v>683</v>
      </c>
      <c r="T187" s="1" t="s">
        <v>428</v>
      </c>
      <c r="U187" s="1" t="s">
        <v>684</v>
      </c>
      <c r="V187" s="1" t="s">
        <v>449</v>
      </c>
      <c r="W187" s="270">
        <v>44474</v>
      </c>
      <c r="X187" s="1" t="s">
        <v>433</v>
      </c>
    </row>
    <row r="188" spans="1:24" x14ac:dyDescent="0.25">
      <c r="A188" s="1" t="s">
        <v>137</v>
      </c>
      <c r="B188" s="1" t="s">
        <v>138</v>
      </c>
      <c r="C188" s="269">
        <v>-1591.2</v>
      </c>
      <c r="D188" s="1" t="s">
        <v>425</v>
      </c>
      <c r="E188" s="1" t="s">
        <v>426</v>
      </c>
      <c r="F188" s="1" t="s">
        <v>258</v>
      </c>
      <c r="G188" s="1" t="s">
        <v>427</v>
      </c>
      <c r="H188" s="270">
        <v>44474</v>
      </c>
      <c r="I188" s="271">
        <v>-6</v>
      </c>
      <c r="J188" s="1" t="s">
        <v>428</v>
      </c>
      <c r="K188" s="1" t="s">
        <v>429</v>
      </c>
      <c r="N188" s="1" t="s">
        <v>296</v>
      </c>
      <c r="O188" s="270">
        <v>44475</v>
      </c>
      <c r="P188" s="1" t="s">
        <v>430</v>
      </c>
      <c r="Q188" s="1" t="s">
        <v>431</v>
      </c>
      <c r="R188" s="1" t="s">
        <v>680</v>
      </c>
      <c r="T188" s="1" t="s">
        <v>428</v>
      </c>
      <c r="U188" s="1" t="s">
        <v>681</v>
      </c>
      <c r="V188" s="1" t="s">
        <v>682</v>
      </c>
      <c r="W188" s="270">
        <v>44474</v>
      </c>
      <c r="X188" s="1" t="s">
        <v>433</v>
      </c>
    </row>
    <row r="189" spans="1:24" x14ac:dyDescent="0.25">
      <c r="A189" s="1" t="s">
        <v>137</v>
      </c>
      <c r="B189" s="1" t="s">
        <v>138</v>
      </c>
      <c r="C189" s="269">
        <v>-7956</v>
      </c>
      <c r="D189" s="1" t="s">
        <v>425</v>
      </c>
      <c r="E189" s="1" t="s">
        <v>426</v>
      </c>
      <c r="F189" s="1" t="s">
        <v>258</v>
      </c>
      <c r="G189" s="1" t="s">
        <v>427</v>
      </c>
      <c r="H189" s="270">
        <v>44474</v>
      </c>
      <c r="I189" s="271">
        <v>-30</v>
      </c>
      <c r="J189" s="1" t="s">
        <v>428</v>
      </c>
      <c r="K189" s="1" t="s">
        <v>429</v>
      </c>
      <c r="N189" s="1" t="s">
        <v>296</v>
      </c>
      <c r="O189" s="270">
        <v>44475</v>
      </c>
      <c r="P189" s="1" t="s">
        <v>430</v>
      </c>
      <c r="Q189" s="1" t="s">
        <v>431</v>
      </c>
      <c r="R189" s="1" t="s">
        <v>678</v>
      </c>
      <c r="T189" s="1" t="s">
        <v>428</v>
      </c>
      <c r="U189" s="1" t="s">
        <v>679</v>
      </c>
      <c r="V189" s="1" t="s">
        <v>454</v>
      </c>
      <c r="W189" s="270">
        <v>44474</v>
      </c>
      <c r="X189" s="1" t="s">
        <v>433</v>
      </c>
    </row>
    <row r="190" spans="1:24" x14ac:dyDescent="0.25">
      <c r="A190" s="1" t="s">
        <v>137</v>
      </c>
      <c r="B190" s="1" t="s">
        <v>138</v>
      </c>
      <c r="C190" s="269">
        <v>-19890</v>
      </c>
      <c r="D190" s="1" t="s">
        <v>425</v>
      </c>
      <c r="E190" s="1" t="s">
        <v>426</v>
      </c>
      <c r="F190" s="1" t="s">
        <v>258</v>
      </c>
      <c r="G190" s="1" t="s">
        <v>427</v>
      </c>
      <c r="H190" s="270">
        <v>44474</v>
      </c>
      <c r="I190" s="271">
        <v>-75</v>
      </c>
      <c r="J190" s="1" t="s">
        <v>428</v>
      </c>
      <c r="K190" s="1" t="s">
        <v>429</v>
      </c>
      <c r="N190" s="1" t="s">
        <v>296</v>
      </c>
      <c r="O190" s="270">
        <v>44475</v>
      </c>
      <c r="P190" s="1" t="s">
        <v>430</v>
      </c>
      <c r="Q190" s="1" t="s">
        <v>431</v>
      </c>
      <c r="R190" s="1" t="s">
        <v>676</v>
      </c>
      <c r="T190" s="1" t="s">
        <v>428</v>
      </c>
      <c r="U190" s="1" t="s">
        <v>677</v>
      </c>
      <c r="V190" s="1" t="s">
        <v>457</v>
      </c>
      <c r="W190" s="270">
        <v>44474</v>
      </c>
      <c r="X190" s="1" t="s">
        <v>433</v>
      </c>
    </row>
    <row r="191" spans="1:24" x14ac:dyDescent="0.25">
      <c r="A191" s="1" t="s">
        <v>137</v>
      </c>
      <c r="B191" s="1" t="s">
        <v>138</v>
      </c>
      <c r="C191" s="269">
        <v>-10608</v>
      </c>
      <c r="D191" s="1" t="s">
        <v>425</v>
      </c>
      <c r="E191" s="1" t="s">
        <v>426</v>
      </c>
      <c r="F191" s="1" t="s">
        <v>258</v>
      </c>
      <c r="G191" s="1" t="s">
        <v>427</v>
      </c>
      <c r="H191" s="270">
        <v>44474</v>
      </c>
      <c r="I191" s="271">
        <v>-40</v>
      </c>
      <c r="J191" s="1" t="s">
        <v>428</v>
      </c>
      <c r="K191" s="1" t="s">
        <v>429</v>
      </c>
      <c r="N191" s="1" t="s">
        <v>296</v>
      </c>
      <c r="O191" s="270">
        <v>44475</v>
      </c>
      <c r="P191" s="1" t="s">
        <v>430</v>
      </c>
      <c r="Q191" s="1" t="s">
        <v>431</v>
      </c>
      <c r="R191" s="1" t="s">
        <v>674</v>
      </c>
      <c r="T191" s="1" t="s">
        <v>428</v>
      </c>
      <c r="U191" s="1" t="s">
        <v>675</v>
      </c>
      <c r="V191" s="1" t="s">
        <v>460</v>
      </c>
      <c r="W191" s="270">
        <v>44474</v>
      </c>
      <c r="X191" s="1" t="s">
        <v>433</v>
      </c>
    </row>
    <row r="192" spans="1:24" x14ac:dyDescent="0.25">
      <c r="A192" s="1" t="s">
        <v>137</v>
      </c>
      <c r="B192" s="1" t="s">
        <v>138</v>
      </c>
      <c r="C192" s="269">
        <v>-159120</v>
      </c>
      <c r="D192" s="1" t="s">
        <v>425</v>
      </c>
      <c r="E192" s="1" t="s">
        <v>426</v>
      </c>
      <c r="F192" s="1" t="s">
        <v>258</v>
      </c>
      <c r="G192" s="1" t="s">
        <v>427</v>
      </c>
      <c r="H192" s="270">
        <v>44474</v>
      </c>
      <c r="I192" s="271">
        <v>-600</v>
      </c>
      <c r="J192" s="1" t="s">
        <v>428</v>
      </c>
      <c r="K192" s="1" t="s">
        <v>429</v>
      </c>
      <c r="N192" s="1" t="s">
        <v>296</v>
      </c>
      <c r="O192" s="270">
        <v>44475</v>
      </c>
      <c r="P192" s="1" t="s">
        <v>430</v>
      </c>
      <c r="Q192" s="1" t="s">
        <v>431</v>
      </c>
      <c r="R192" s="1" t="s">
        <v>532</v>
      </c>
      <c r="T192" s="1" t="s">
        <v>428</v>
      </c>
      <c r="U192" s="1" t="s">
        <v>533</v>
      </c>
      <c r="V192" s="1" t="s">
        <v>447</v>
      </c>
      <c r="W192" s="270">
        <v>44474</v>
      </c>
      <c r="X192" s="1" t="s">
        <v>433</v>
      </c>
    </row>
    <row r="193" spans="1:24" x14ac:dyDescent="0.25">
      <c r="A193" s="1" t="s">
        <v>137</v>
      </c>
      <c r="B193" s="1" t="s">
        <v>138</v>
      </c>
      <c r="C193" s="269">
        <v>-40045.199999999997</v>
      </c>
      <c r="D193" s="1" t="s">
        <v>425</v>
      </c>
      <c r="E193" s="1" t="s">
        <v>426</v>
      </c>
      <c r="F193" s="1" t="s">
        <v>258</v>
      </c>
      <c r="G193" s="1" t="s">
        <v>427</v>
      </c>
      <c r="H193" s="270">
        <v>44474</v>
      </c>
      <c r="I193" s="271">
        <v>-151</v>
      </c>
      <c r="J193" s="1" t="s">
        <v>428</v>
      </c>
      <c r="K193" s="1" t="s">
        <v>429</v>
      </c>
      <c r="N193" s="1" t="s">
        <v>296</v>
      </c>
      <c r="O193" s="270">
        <v>44475</v>
      </c>
      <c r="P193" s="1" t="s">
        <v>430</v>
      </c>
      <c r="Q193" s="1" t="s">
        <v>431</v>
      </c>
      <c r="R193" s="1" t="s">
        <v>661</v>
      </c>
      <c r="T193" s="1" t="s">
        <v>428</v>
      </c>
      <c r="U193" s="1" t="s">
        <v>662</v>
      </c>
      <c r="V193" s="1" t="s">
        <v>438</v>
      </c>
      <c r="W193" s="270">
        <v>44474</v>
      </c>
      <c r="X193" s="1" t="s">
        <v>433</v>
      </c>
    </row>
    <row r="194" spans="1:24" x14ac:dyDescent="0.25">
      <c r="A194" s="1" t="s">
        <v>137</v>
      </c>
      <c r="B194" s="1" t="s">
        <v>138</v>
      </c>
      <c r="C194" s="269">
        <v>-101041.2</v>
      </c>
      <c r="D194" s="1" t="s">
        <v>425</v>
      </c>
      <c r="E194" s="1" t="s">
        <v>426</v>
      </c>
      <c r="F194" s="1" t="s">
        <v>258</v>
      </c>
      <c r="G194" s="1" t="s">
        <v>427</v>
      </c>
      <c r="H194" s="270">
        <v>44474</v>
      </c>
      <c r="I194" s="271">
        <v>-381</v>
      </c>
      <c r="J194" s="1" t="s">
        <v>428</v>
      </c>
      <c r="K194" s="1" t="s">
        <v>429</v>
      </c>
      <c r="N194" s="1" t="s">
        <v>292</v>
      </c>
      <c r="O194" s="270">
        <v>44475</v>
      </c>
      <c r="P194" s="1" t="s">
        <v>430</v>
      </c>
      <c r="Q194" s="1" t="s">
        <v>431</v>
      </c>
      <c r="R194" s="1" t="s">
        <v>502</v>
      </c>
      <c r="T194" s="1" t="s">
        <v>428</v>
      </c>
      <c r="U194" s="1" t="s">
        <v>503</v>
      </c>
      <c r="V194" s="1" t="s">
        <v>443</v>
      </c>
      <c r="W194" s="270">
        <v>44474</v>
      </c>
      <c r="X194" s="1" t="s">
        <v>433</v>
      </c>
    </row>
    <row r="195" spans="1:24" x14ac:dyDescent="0.25">
      <c r="A195" s="1" t="s">
        <v>137</v>
      </c>
      <c r="B195" s="1" t="s">
        <v>138</v>
      </c>
      <c r="C195" s="269">
        <v>-58078.8</v>
      </c>
      <c r="D195" s="1" t="s">
        <v>425</v>
      </c>
      <c r="E195" s="1" t="s">
        <v>426</v>
      </c>
      <c r="F195" s="1" t="s">
        <v>258</v>
      </c>
      <c r="G195" s="1" t="s">
        <v>427</v>
      </c>
      <c r="H195" s="270">
        <v>44474</v>
      </c>
      <c r="I195" s="271">
        <v>-219</v>
      </c>
      <c r="J195" s="1" t="s">
        <v>428</v>
      </c>
      <c r="K195" s="1" t="s">
        <v>429</v>
      </c>
      <c r="N195" s="1" t="s">
        <v>296</v>
      </c>
      <c r="O195" s="270">
        <v>44475</v>
      </c>
      <c r="P195" s="1" t="s">
        <v>430</v>
      </c>
      <c r="Q195" s="1" t="s">
        <v>431</v>
      </c>
      <c r="R195" s="1" t="s">
        <v>502</v>
      </c>
      <c r="T195" s="1" t="s">
        <v>428</v>
      </c>
      <c r="U195" s="1" t="s">
        <v>503</v>
      </c>
      <c r="V195" s="1" t="s">
        <v>443</v>
      </c>
      <c r="W195" s="270">
        <v>44474</v>
      </c>
      <c r="X195" s="1" t="s">
        <v>433</v>
      </c>
    </row>
    <row r="196" spans="1:24" x14ac:dyDescent="0.25">
      <c r="A196" s="1" t="s">
        <v>137</v>
      </c>
      <c r="B196" s="1" t="s">
        <v>138</v>
      </c>
      <c r="C196" s="269">
        <v>-5304</v>
      </c>
      <c r="D196" s="1" t="s">
        <v>425</v>
      </c>
      <c r="E196" s="1" t="s">
        <v>426</v>
      </c>
      <c r="F196" s="1" t="s">
        <v>258</v>
      </c>
      <c r="G196" s="1" t="s">
        <v>427</v>
      </c>
      <c r="H196" s="270">
        <v>44474</v>
      </c>
      <c r="I196" s="271">
        <v>-20</v>
      </c>
      <c r="J196" s="1" t="s">
        <v>428</v>
      </c>
      <c r="K196" s="1" t="s">
        <v>429</v>
      </c>
      <c r="N196" s="1" t="s">
        <v>296</v>
      </c>
      <c r="O196" s="270">
        <v>44475</v>
      </c>
      <c r="P196" s="1" t="s">
        <v>430</v>
      </c>
      <c r="Q196" s="1" t="s">
        <v>431</v>
      </c>
      <c r="R196" s="1" t="s">
        <v>540</v>
      </c>
      <c r="T196" s="1" t="s">
        <v>428</v>
      </c>
      <c r="U196" s="1" t="s">
        <v>541</v>
      </c>
      <c r="V196" s="1" t="s">
        <v>448</v>
      </c>
      <c r="W196" s="270">
        <v>44474</v>
      </c>
      <c r="X196" s="1" t="s">
        <v>433</v>
      </c>
    </row>
    <row r="197" spans="1:24" x14ac:dyDescent="0.25">
      <c r="A197" s="1" t="s">
        <v>137</v>
      </c>
      <c r="B197" s="1" t="s">
        <v>138</v>
      </c>
      <c r="C197" s="269">
        <v>-26520</v>
      </c>
      <c r="D197" s="1" t="s">
        <v>425</v>
      </c>
      <c r="E197" s="1" t="s">
        <v>426</v>
      </c>
      <c r="F197" s="1" t="s">
        <v>258</v>
      </c>
      <c r="G197" s="1" t="s">
        <v>427</v>
      </c>
      <c r="H197" s="270">
        <v>44474</v>
      </c>
      <c r="I197" s="271">
        <v>-100</v>
      </c>
      <c r="J197" s="1" t="s">
        <v>428</v>
      </c>
      <c r="K197" s="1" t="s">
        <v>429</v>
      </c>
      <c r="N197" s="1" t="s">
        <v>296</v>
      </c>
      <c r="O197" s="270">
        <v>44475</v>
      </c>
      <c r="P197" s="1" t="s">
        <v>430</v>
      </c>
      <c r="Q197" s="1" t="s">
        <v>431</v>
      </c>
      <c r="R197" s="1" t="s">
        <v>530</v>
      </c>
      <c r="T197" s="1" t="s">
        <v>428</v>
      </c>
      <c r="U197" s="1" t="s">
        <v>531</v>
      </c>
      <c r="V197" s="1" t="s">
        <v>438</v>
      </c>
      <c r="W197" s="270">
        <v>44474</v>
      </c>
      <c r="X197" s="1" t="s">
        <v>433</v>
      </c>
    </row>
    <row r="198" spans="1:24" x14ac:dyDescent="0.25">
      <c r="A198" s="1" t="s">
        <v>137</v>
      </c>
      <c r="B198" s="1" t="s">
        <v>138</v>
      </c>
      <c r="C198" s="269">
        <v>-32884.800000000003</v>
      </c>
      <c r="D198" s="1" t="s">
        <v>425</v>
      </c>
      <c r="E198" s="1" t="s">
        <v>426</v>
      </c>
      <c r="F198" s="1" t="s">
        <v>258</v>
      </c>
      <c r="G198" s="1" t="s">
        <v>427</v>
      </c>
      <c r="H198" s="270">
        <v>44474</v>
      </c>
      <c r="I198" s="271">
        <v>-124</v>
      </c>
      <c r="J198" s="1" t="s">
        <v>428</v>
      </c>
      <c r="K198" s="1" t="s">
        <v>429</v>
      </c>
      <c r="N198" s="1" t="s">
        <v>296</v>
      </c>
      <c r="O198" s="270">
        <v>44475</v>
      </c>
      <c r="P198" s="1" t="s">
        <v>430</v>
      </c>
      <c r="Q198" s="1" t="s">
        <v>431</v>
      </c>
      <c r="R198" s="1" t="s">
        <v>663</v>
      </c>
      <c r="T198" s="1" t="s">
        <v>428</v>
      </c>
      <c r="U198" s="1" t="s">
        <v>664</v>
      </c>
      <c r="V198" s="1" t="s">
        <v>464</v>
      </c>
      <c r="W198" s="270">
        <v>44474</v>
      </c>
      <c r="X198" s="1" t="s">
        <v>433</v>
      </c>
    </row>
    <row r="199" spans="1:24" x14ac:dyDescent="0.25">
      <c r="A199" s="1" t="s">
        <v>137</v>
      </c>
      <c r="B199" s="1" t="s">
        <v>138</v>
      </c>
      <c r="C199" s="269">
        <v>-53835.6</v>
      </c>
      <c r="D199" s="1" t="s">
        <v>425</v>
      </c>
      <c r="E199" s="1" t="s">
        <v>426</v>
      </c>
      <c r="F199" s="1" t="s">
        <v>258</v>
      </c>
      <c r="G199" s="1" t="s">
        <v>427</v>
      </c>
      <c r="H199" s="270">
        <v>44474</v>
      </c>
      <c r="I199" s="271">
        <v>-203</v>
      </c>
      <c r="J199" s="1" t="s">
        <v>428</v>
      </c>
      <c r="K199" s="1" t="s">
        <v>429</v>
      </c>
      <c r="N199" s="1" t="s">
        <v>296</v>
      </c>
      <c r="O199" s="270">
        <v>44475</v>
      </c>
      <c r="P199" s="1" t="s">
        <v>430</v>
      </c>
      <c r="Q199" s="1" t="s">
        <v>431</v>
      </c>
      <c r="R199" s="1" t="s">
        <v>665</v>
      </c>
      <c r="T199" s="1" t="s">
        <v>428</v>
      </c>
      <c r="U199" s="1" t="s">
        <v>666</v>
      </c>
      <c r="V199" s="1" t="s">
        <v>438</v>
      </c>
      <c r="W199" s="270">
        <v>44474</v>
      </c>
      <c r="X199" s="1" t="s">
        <v>433</v>
      </c>
    </row>
    <row r="200" spans="1:24" x14ac:dyDescent="0.25">
      <c r="A200" s="1" t="s">
        <v>137</v>
      </c>
      <c r="B200" s="1" t="s">
        <v>138</v>
      </c>
      <c r="C200" s="269">
        <v>-7956</v>
      </c>
      <c r="D200" s="1" t="s">
        <v>425</v>
      </c>
      <c r="E200" s="1" t="s">
        <v>426</v>
      </c>
      <c r="F200" s="1" t="s">
        <v>258</v>
      </c>
      <c r="G200" s="1" t="s">
        <v>427</v>
      </c>
      <c r="H200" s="270">
        <v>44473</v>
      </c>
      <c r="I200" s="271">
        <v>-30</v>
      </c>
      <c r="J200" s="1" t="s">
        <v>428</v>
      </c>
      <c r="K200" s="1" t="s">
        <v>429</v>
      </c>
      <c r="N200" s="1" t="s">
        <v>292</v>
      </c>
      <c r="O200" s="270">
        <v>44474</v>
      </c>
      <c r="P200" s="1" t="s">
        <v>430</v>
      </c>
      <c r="Q200" s="1" t="s">
        <v>431</v>
      </c>
      <c r="R200" s="1" t="s">
        <v>711</v>
      </c>
      <c r="T200" s="1" t="s">
        <v>428</v>
      </c>
      <c r="U200" s="1" t="s">
        <v>712</v>
      </c>
      <c r="V200" s="1" t="s">
        <v>463</v>
      </c>
      <c r="W200" s="270">
        <v>44473</v>
      </c>
      <c r="X200" s="1" t="s">
        <v>433</v>
      </c>
    </row>
    <row r="201" spans="1:24" x14ac:dyDescent="0.25">
      <c r="A201" s="1" t="s">
        <v>137</v>
      </c>
      <c r="B201" s="1" t="s">
        <v>138</v>
      </c>
      <c r="C201" s="269">
        <v>-9016.7999999999993</v>
      </c>
      <c r="D201" s="1" t="s">
        <v>425</v>
      </c>
      <c r="E201" s="1" t="s">
        <v>426</v>
      </c>
      <c r="F201" s="1" t="s">
        <v>258</v>
      </c>
      <c r="G201" s="1" t="s">
        <v>427</v>
      </c>
      <c r="H201" s="270">
        <v>44473</v>
      </c>
      <c r="I201" s="271">
        <v>-34</v>
      </c>
      <c r="J201" s="1" t="s">
        <v>428</v>
      </c>
      <c r="K201" s="1" t="s">
        <v>429</v>
      </c>
      <c r="N201" s="1" t="s">
        <v>292</v>
      </c>
      <c r="O201" s="270">
        <v>44474</v>
      </c>
      <c r="P201" s="1" t="s">
        <v>430</v>
      </c>
      <c r="Q201" s="1" t="s">
        <v>431</v>
      </c>
      <c r="R201" s="1" t="s">
        <v>709</v>
      </c>
      <c r="T201" s="1" t="s">
        <v>428</v>
      </c>
      <c r="U201" s="1" t="s">
        <v>710</v>
      </c>
      <c r="V201" s="1" t="s">
        <v>456</v>
      </c>
      <c r="W201" s="270">
        <v>44473</v>
      </c>
      <c r="X201" s="1" t="s">
        <v>433</v>
      </c>
    </row>
    <row r="202" spans="1:24" x14ac:dyDescent="0.25">
      <c r="A202" s="1" t="s">
        <v>137</v>
      </c>
      <c r="B202" s="1" t="s">
        <v>138</v>
      </c>
      <c r="C202" s="269">
        <v>-13260</v>
      </c>
      <c r="D202" s="1" t="s">
        <v>425</v>
      </c>
      <c r="E202" s="1" t="s">
        <v>426</v>
      </c>
      <c r="F202" s="1" t="s">
        <v>258</v>
      </c>
      <c r="G202" s="1" t="s">
        <v>427</v>
      </c>
      <c r="H202" s="270">
        <v>44473</v>
      </c>
      <c r="I202" s="271">
        <v>-50</v>
      </c>
      <c r="J202" s="1" t="s">
        <v>428</v>
      </c>
      <c r="K202" s="1" t="s">
        <v>429</v>
      </c>
      <c r="N202" s="1" t="s">
        <v>292</v>
      </c>
      <c r="O202" s="270">
        <v>44474</v>
      </c>
      <c r="P202" s="1" t="s">
        <v>430</v>
      </c>
      <c r="Q202" s="1" t="s">
        <v>431</v>
      </c>
      <c r="R202" s="1" t="s">
        <v>707</v>
      </c>
      <c r="T202" s="1" t="s">
        <v>428</v>
      </c>
      <c r="U202" s="1" t="s">
        <v>708</v>
      </c>
      <c r="V202" s="1" t="s">
        <v>466</v>
      </c>
      <c r="W202" s="270">
        <v>44473</v>
      </c>
      <c r="X202" s="1" t="s">
        <v>433</v>
      </c>
    </row>
    <row r="203" spans="1:24" x14ac:dyDescent="0.25">
      <c r="A203" s="1" t="s">
        <v>137</v>
      </c>
      <c r="B203" s="1" t="s">
        <v>138</v>
      </c>
      <c r="C203" s="269">
        <v>-2652</v>
      </c>
      <c r="D203" s="1" t="s">
        <v>425</v>
      </c>
      <c r="E203" s="1" t="s">
        <v>426</v>
      </c>
      <c r="F203" s="1" t="s">
        <v>258</v>
      </c>
      <c r="G203" s="1" t="s">
        <v>427</v>
      </c>
      <c r="H203" s="270">
        <v>44473</v>
      </c>
      <c r="I203" s="271">
        <v>-10</v>
      </c>
      <c r="J203" s="1" t="s">
        <v>428</v>
      </c>
      <c r="K203" s="1" t="s">
        <v>429</v>
      </c>
      <c r="N203" s="1" t="s">
        <v>292</v>
      </c>
      <c r="O203" s="270">
        <v>44474</v>
      </c>
      <c r="P203" s="1" t="s">
        <v>430</v>
      </c>
      <c r="Q203" s="1" t="s">
        <v>431</v>
      </c>
      <c r="R203" s="1" t="s">
        <v>705</v>
      </c>
      <c r="T203" s="1" t="s">
        <v>428</v>
      </c>
      <c r="U203" s="1" t="s">
        <v>706</v>
      </c>
      <c r="V203" s="1" t="s">
        <v>461</v>
      </c>
      <c r="W203" s="270">
        <v>44473</v>
      </c>
      <c r="X203" s="1" t="s">
        <v>433</v>
      </c>
    </row>
    <row r="204" spans="1:24" x14ac:dyDescent="0.25">
      <c r="A204" s="1" t="s">
        <v>137</v>
      </c>
      <c r="B204" s="1" t="s">
        <v>138</v>
      </c>
      <c r="C204" s="269">
        <v>-13260</v>
      </c>
      <c r="D204" s="1" t="s">
        <v>425</v>
      </c>
      <c r="E204" s="1" t="s">
        <v>426</v>
      </c>
      <c r="F204" s="1" t="s">
        <v>258</v>
      </c>
      <c r="G204" s="1" t="s">
        <v>427</v>
      </c>
      <c r="H204" s="270">
        <v>44473</v>
      </c>
      <c r="I204" s="271">
        <v>-50</v>
      </c>
      <c r="J204" s="1" t="s">
        <v>428</v>
      </c>
      <c r="K204" s="1" t="s">
        <v>429</v>
      </c>
      <c r="N204" s="1" t="s">
        <v>292</v>
      </c>
      <c r="O204" s="270">
        <v>44474</v>
      </c>
      <c r="P204" s="1" t="s">
        <v>430</v>
      </c>
      <c r="Q204" s="1" t="s">
        <v>431</v>
      </c>
      <c r="R204" s="1" t="s">
        <v>703</v>
      </c>
      <c r="T204" s="1" t="s">
        <v>428</v>
      </c>
      <c r="U204" s="1" t="s">
        <v>704</v>
      </c>
      <c r="V204" s="1" t="s">
        <v>465</v>
      </c>
      <c r="W204" s="270">
        <v>44473</v>
      </c>
      <c r="X204" s="1" t="s">
        <v>433</v>
      </c>
    </row>
    <row r="205" spans="1:24" x14ac:dyDescent="0.25">
      <c r="A205" s="1" t="s">
        <v>137</v>
      </c>
      <c r="B205" s="1" t="s">
        <v>138</v>
      </c>
      <c r="C205" s="269">
        <v>-2652</v>
      </c>
      <c r="D205" s="1" t="s">
        <v>425</v>
      </c>
      <c r="E205" s="1" t="s">
        <v>426</v>
      </c>
      <c r="F205" s="1" t="s">
        <v>258</v>
      </c>
      <c r="G205" s="1" t="s">
        <v>427</v>
      </c>
      <c r="H205" s="270">
        <v>44473</v>
      </c>
      <c r="I205" s="271">
        <v>-10</v>
      </c>
      <c r="J205" s="1" t="s">
        <v>428</v>
      </c>
      <c r="K205" s="1" t="s">
        <v>429</v>
      </c>
      <c r="N205" s="1" t="s">
        <v>292</v>
      </c>
      <c r="O205" s="270">
        <v>44474</v>
      </c>
      <c r="P205" s="1" t="s">
        <v>430</v>
      </c>
      <c r="Q205" s="1" t="s">
        <v>431</v>
      </c>
      <c r="R205" s="1" t="s">
        <v>701</v>
      </c>
      <c r="T205" s="1" t="s">
        <v>428</v>
      </c>
      <c r="U205" s="1" t="s">
        <v>702</v>
      </c>
      <c r="V205" s="1" t="s">
        <v>453</v>
      </c>
      <c r="W205" s="270">
        <v>44473</v>
      </c>
      <c r="X205" s="1" t="s">
        <v>433</v>
      </c>
    </row>
    <row r="206" spans="1:24" x14ac:dyDescent="0.25">
      <c r="A206" s="1" t="s">
        <v>137</v>
      </c>
      <c r="B206" s="1" t="s">
        <v>138</v>
      </c>
      <c r="C206" s="269">
        <v>-13260</v>
      </c>
      <c r="D206" s="1" t="s">
        <v>425</v>
      </c>
      <c r="E206" s="1" t="s">
        <v>426</v>
      </c>
      <c r="F206" s="1" t="s">
        <v>258</v>
      </c>
      <c r="G206" s="1" t="s">
        <v>427</v>
      </c>
      <c r="H206" s="270">
        <v>44473</v>
      </c>
      <c r="I206" s="271">
        <v>-50</v>
      </c>
      <c r="J206" s="1" t="s">
        <v>428</v>
      </c>
      <c r="K206" s="1" t="s">
        <v>429</v>
      </c>
      <c r="N206" s="1" t="s">
        <v>292</v>
      </c>
      <c r="O206" s="270">
        <v>44474</v>
      </c>
      <c r="P206" s="1" t="s">
        <v>430</v>
      </c>
      <c r="Q206" s="1" t="s">
        <v>431</v>
      </c>
      <c r="R206" s="1" t="s">
        <v>699</v>
      </c>
      <c r="T206" s="1" t="s">
        <v>428</v>
      </c>
      <c r="U206" s="1" t="s">
        <v>700</v>
      </c>
      <c r="V206" s="1" t="s">
        <v>465</v>
      </c>
      <c r="W206" s="270">
        <v>44473</v>
      </c>
      <c r="X206" s="1" t="s">
        <v>433</v>
      </c>
    </row>
    <row r="207" spans="1:24" x14ac:dyDescent="0.25">
      <c r="A207" s="1" t="s">
        <v>137</v>
      </c>
      <c r="B207" s="1" t="s">
        <v>138</v>
      </c>
      <c r="C207" s="269">
        <v>-5304</v>
      </c>
      <c r="D207" s="1" t="s">
        <v>425</v>
      </c>
      <c r="E207" s="1" t="s">
        <v>426</v>
      </c>
      <c r="F207" s="1" t="s">
        <v>258</v>
      </c>
      <c r="G207" s="1" t="s">
        <v>427</v>
      </c>
      <c r="H207" s="270">
        <v>44473</v>
      </c>
      <c r="I207" s="271">
        <v>-20</v>
      </c>
      <c r="J207" s="1" t="s">
        <v>428</v>
      </c>
      <c r="K207" s="1" t="s">
        <v>429</v>
      </c>
      <c r="N207" s="1" t="s">
        <v>292</v>
      </c>
      <c r="O207" s="270">
        <v>44474</v>
      </c>
      <c r="P207" s="1" t="s">
        <v>430</v>
      </c>
      <c r="Q207" s="1" t="s">
        <v>431</v>
      </c>
      <c r="R207" s="1" t="s">
        <v>697</v>
      </c>
      <c r="T207" s="1" t="s">
        <v>428</v>
      </c>
      <c r="U207" s="1" t="s">
        <v>698</v>
      </c>
      <c r="V207" s="1" t="s">
        <v>458</v>
      </c>
      <c r="W207" s="270">
        <v>44473</v>
      </c>
      <c r="X207" s="1" t="s">
        <v>433</v>
      </c>
    </row>
    <row r="208" spans="1:24" x14ac:dyDescent="0.25">
      <c r="A208" s="1" t="s">
        <v>137</v>
      </c>
      <c r="B208" s="1" t="s">
        <v>138</v>
      </c>
      <c r="C208" s="269">
        <v>-13260</v>
      </c>
      <c r="D208" s="1" t="s">
        <v>425</v>
      </c>
      <c r="E208" s="1" t="s">
        <v>426</v>
      </c>
      <c r="F208" s="1" t="s">
        <v>258</v>
      </c>
      <c r="G208" s="1" t="s">
        <v>427</v>
      </c>
      <c r="H208" s="270">
        <v>44473</v>
      </c>
      <c r="I208" s="271">
        <v>-50</v>
      </c>
      <c r="J208" s="1" t="s">
        <v>428</v>
      </c>
      <c r="K208" s="1" t="s">
        <v>429</v>
      </c>
      <c r="N208" s="1" t="s">
        <v>292</v>
      </c>
      <c r="O208" s="270">
        <v>44474</v>
      </c>
      <c r="P208" s="1" t="s">
        <v>430</v>
      </c>
      <c r="Q208" s="1" t="s">
        <v>431</v>
      </c>
      <c r="R208" s="1" t="s">
        <v>695</v>
      </c>
      <c r="T208" s="1" t="s">
        <v>428</v>
      </c>
      <c r="U208" s="1" t="s">
        <v>696</v>
      </c>
      <c r="V208" s="1" t="s">
        <v>435</v>
      </c>
      <c r="W208" s="270">
        <v>44473</v>
      </c>
      <c r="X208" s="1" t="s">
        <v>433</v>
      </c>
    </row>
    <row r="209" spans="1:24" x14ac:dyDescent="0.25">
      <c r="A209" s="1" t="s">
        <v>137</v>
      </c>
      <c r="B209" s="1" t="s">
        <v>138</v>
      </c>
      <c r="C209" s="269">
        <v>-1326</v>
      </c>
      <c r="D209" s="1" t="s">
        <v>425</v>
      </c>
      <c r="E209" s="1" t="s">
        <v>426</v>
      </c>
      <c r="F209" s="1" t="s">
        <v>258</v>
      </c>
      <c r="G209" s="1" t="s">
        <v>427</v>
      </c>
      <c r="H209" s="270">
        <v>44473</v>
      </c>
      <c r="I209" s="271">
        <v>-5</v>
      </c>
      <c r="J209" s="1" t="s">
        <v>428</v>
      </c>
      <c r="K209" s="1" t="s">
        <v>429</v>
      </c>
      <c r="N209" s="1" t="s">
        <v>292</v>
      </c>
      <c r="O209" s="270">
        <v>44474</v>
      </c>
      <c r="P209" s="1" t="s">
        <v>430</v>
      </c>
      <c r="Q209" s="1" t="s">
        <v>431</v>
      </c>
      <c r="R209" s="1" t="s">
        <v>693</v>
      </c>
      <c r="T209" s="1" t="s">
        <v>428</v>
      </c>
      <c r="U209" s="1" t="s">
        <v>694</v>
      </c>
      <c r="V209" s="1" t="s">
        <v>452</v>
      </c>
      <c r="W209" s="270">
        <v>44473</v>
      </c>
      <c r="X209" s="1" t="s">
        <v>433</v>
      </c>
    </row>
    <row r="210" spans="1:24" x14ac:dyDescent="0.25">
      <c r="A210" s="1" t="s">
        <v>141</v>
      </c>
      <c r="B210" s="1" t="s">
        <v>142</v>
      </c>
      <c r="C210" s="269">
        <v>-5576.36</v>
      </c>
      <c r="D210" s="1" t="s">
        <v>425</v>
      </c>
      <c r="E210" s="1" t="s">
        <v>426</v>
      </c>
      <c r="F210" s="1" t="s">
        <v>258</v>
      </c>
      <c r="G210" s="1" t="s">
        <v>427</v>
      </c>
      <c r="H210" s="270">
        <v>44477</v>
      </c>
      <c r="I210" s="271">
        <v>-4</v>
      </c>
      <c r="J210" s="1" t="s">
        <v>428</v>
      </c>
      <c r="K210" s="1" t="s">
        <v>429</v>
      </c>
      <c r="N210" s="1" t="s">
        <v>368</v>
      </c>
      <c r="O210" s="270">
        <v>44478</v>
      </c>
      <c r="P210" s="1" t="s">
        <v>430</v>
      </c>
      <c r="Q210" s="1" t="s">
        <v>431</v>
      </c>
      <c r="R210" s="1" t="s">
        <v>820</v>
      </c>
      <c r="T210" s="1" t="s">
        <v>428</v>
      </c>
      <c r="U210" s="1" t="s">
        <v>821</v>
      </c>
      <c r="V210" s="1" t="s">
        <v>439</v>
      </c>
      <c r="W210" s="270">
        <v>44477</v>
      </c>
      <c r="X210" s="1" t="s">
        <v>433</v>
      </c>
    </row>
    <row r="211" spans="1:24" x14ac:dyDescent="0.25">
      <c r="A211" s="1" t="s">
        <v>141</v>
      </c>
      <c r="B211" s="1" t="s">
        <v>142</v>
      </c>
      <c r="C211" s="269">
        <v>-1394.09</v>
      </c>
      <c r="D211" s="1" t="s">
        <v>425</v>
      </c>
      <c r="E211" s="1" t="s">
        <v>426</v>
      </c>
      <c r="F211" s="1" t="s">
        <v>258</v>
      </c>
      <c r="G211" s="1" t="s">
        <v>427</v>
      </c>
      <c r="H211" s="270">
        <v>44477</v>
      </c>
      <c r="I211" s="271">
        <v>-1</v>
      </c>
      <c r="J211" s="1" t="s">
        <v>428</v>
      </c>
      <c r="K211" s="1" t="s">
        <v>429</v>
      </c>
      <c r="N211" s="1" t="s">
        <v>368</v>
      </c>
      <c r="O211" s="270">
        <v>44478</v>
      </c>
      <c r="P211" s="1" t="s">
        <v>430</v>
      </c>
      <c r="Q211" s="1" t="s">
        <v>431</v>
      </c>
      <c r="R211" s="1" t="s">
        <v>817</v>
      </c>
      <c r="T211" s="1" t="s">
        <v>428</v>
      </c>
      <c r="U211" s="1" t="s">
        <v>818</v>
      </c>
      <c r="V211" s="1" t="s">
        <v>819</v>
      </c>
      <c r="W211" s="270">
        <v>44477</v>
      </c>
      <c r="X211" s="1" t="s">
        <v>433</v>
      </c>
    </row>
    <row r="212" spans="1:24" x14ac:dyDescent="0.25">
      <c r="A212" s="1" t="s">
        <v>141</v>
      </c>
      <c r="B212" s="1" t="s">
        <v>142</v>
      </c>
      <c r="C212" s="269">
        <v>-2788.18</v>
      </c>
      <c r="D212" s="1" t="s">
        <v>425</v>
      </c>
      <c r="E212" s="1" t="s">
        <v>426</v>
      </c>
      <c r="F212" s="1" t="s">
        <v>258</v>
      </c>
      <c r="G212" s="1" t="s">
        <v>427</v>
      </c>
      <c r="H212" s="270">
        <v>44477</v>
      </c>
      <c r="I212" s="271">
        <v>-2</v>
      </c>
      <c r="J212" s="1" t="s">
        <v>428</v>
      </c>
      <c r="K212" s="1" t="s">
        <v>429</v>
      </c>
      <c r="N212" s="1" t="s">
        <v>368</v>
      </c>
      <c r="O212" s="270">
        <v>44478</v>
      </c>
      <c r="P212" s="1" t="s">
        <v>430</v>
      </c>
      <c r="Q212" s="1" t="s">
        <v>431</v>
      </c>
      <c r="R212" s="1" t="s">
        <v>822</v>
      </c>
      <c r="T212" s="1" t="s">
        <v>428</v>
      </c>
      <c r="U212" s="1" t="s">
        <v>823</v>
      </c>
      <c r="V212" s="1" t="s">
        <v>824</v>
      </c>
      <c r="W212" s="270">
        <v>44477</v>
      </c>
      <c r="X212" s="1" t="s">
        <v>433</v>
      </c>
    </row>
    <row r="213" spans="1:24" x14ac:dyDescent="0.25">
      <c r="A213" s="1" t="s">
        <v>141</v>
      </c>
      <c r="B213" s="1" t="s">
        <v>142</v>
      </c>
      <c r="C213" s="269">
        <v>-89221.759999999995</v>
      </c>
      <c r="D213" s="1" t="s">
        <v>425</v>
      </c>
      <c r="E213" s="1" t="s">
        <v>426</v>
      </c>
      <c r="F213" s="1" t="s">
        <v>258</v>
      </c>
      <c r="G213" s="1" t="s">
        <v>427</v>
      </c>
      <c r="H213" s="270">
        <v>44477</v>
      </c>
      <c r="I213" s="271">
        <v>-64</v>
      </c>
      <c r="J213" s="1" t="s">
        <v>428</v>
      </c>
      <c r="K213" s="1" t="s">
        <v>429</v>
      </c>
      <c r="N213" s="1" t="s">
        <v>368</v>
      </c>
      <c r="O213" s="270">
        <v>44478</v>
      </c>
      <c r="P213" s="1" t="s">
        <v>430</v>
      </c>
      <c r="Q213" s="1" t="s">
        <v>431</v>
      </c>
      <c r="R213" s="1" t="s">
        <v>847</v>
      </c>
      <c r="T213" s="1" t="s">
        <v>428</v>
      </c>
      <c r="U213" s="1" t="s">
        <v>848</v>
      </c>
      <c r="V213" s="1" t="s">
        <v>849</v>
      </c>
      <c r="W213" s="270">
        <v>44476</v>
      </c>
      <c r="X213" s="1" t="s">
        <v>433</v>
      </c>
    </row>
    <row r="214" spans="1:24" x14ac:dyDescent="0.25">
      <c r="A214" s="1" t="s">
        <v>141</v>
      </c>
      <c r="B214" s="1" t="s">
        <v>142</v>
      </c>
      <c r="C214" s="269">
        <v>-34852.25</v>
      </c>
      <c r="D214" s="1" t="s">
        <v>425</v>
      </c>
      <c r="E214" s="1" t="s">
        <v>426</v>
      </c>
      <c r="F214" s="1" t="s">
        <v>258</v>
      </c>
      <c r="G214" s="1" t="s">
        <v>427</v>
      </c>
      <c r="H214" s="270">
        <v>44477</v>
      </c>
      <c r="I214" s="271">
        <v>-25</v>
      </c>
      <c r="J214" s="1" t="s">
        <v>428</v>
      </c>
      <c r="K214" s="1" t="s">
        <v>429</v>
      </c>
      <c r="N214" s="1" t="s">
        <v>368</v>
      </c>
      <c r="O214" s="270">
        <v>44478</v>
      </c>
      <c r="P214" s="1" t="s">
        <v>430</v>
      </c>
      <c r="Q214" s="1" t="s">
        <v>431</v>
      </c>
      <c r="R214" s="1" t="s">
        <v>850</v>
      </c>
      <c r="T214" s="1" t="s">
        <v>428</v>
      </c>
      <c r="U214" s="1" t="s">
        <v>851</v>
      </c>
      <c r="V214" s="1" t="s">
        <v>457</v>
      </c>
      <c r="W214" s="270">
        <v>44477</v>
      </c>
      <c r="X214" s="1" t="s">
        <v>433</v>
      </c>
    </row>
    <row r="215" spans="1:24" x14ac:dyDescent="0.25">
      <c r="A215" s="1" t="s">
        <v>141</v>
      </c>
      <c r="B215" s="1" t="s">
        <v>142</v>
      </c>
      <c r="C215" s="269">
        <v>-2788.18</v>
      </c>
      <c r="D215" s="1" t="s">
        <v>425</v>
      </c>
      <c r="E215" s="1" t="s">
        <v>426</v>
      </c>
      <c r="F215" s="1" t="s">
        <v>258</v>
      </c>
      <c r="G215" s="1" t="s">
        <v>427</v>
      </c>
      <c r="H215" s="270">
        <v>44477</v>
      </c>
      <c r="I215" s="271">
        <v>-2</v>
      </c>
      <c r="J215" s="1" t="s">
        <v>428</v>
      </c>
      <c r="K215" s="1" t="s">
        <v>429</v>
      </c>
      <c r="N215" s="1" t="s">
        <v>368</v>
      </c>
      <c r="O215" s="270">
        <v>44478</v>
      </c>
      <c r="P215" s="1" t="s">
        <v>430</v>
      </c>
      <c r="Q215" s="1" t="s">
        <v>431</v>
      </c>
      <c r="R215" s="1" t="s">
        <v>827</v>
      </c>
      <c r="T215" s="1" t="s">
        <v>428</v>
      </c>
      <c r="U215" s="1" t="s">
        <v>828</v>
      </c>
      <c r="V215" s="1" t="s">
        <v>829</v>
      </c>
      <c r="W215" s="270">
        <v>44477</v>
      </c>
      <c r="X215" s="1" t="s">
        <v>433</v>
      </c>
    </row>
    <row r="216" spans="1:24" x14ac:dyDescent="0.25">
      <c r="A216" s="1" t="s">
        <v>141</v>
      </c>
      <c r="B216" s="1" t="s">
        <v>142</v>
      </c>
      <c r="C216" s="269">
        <v>-94798.12</v>
      </c>
      <c r="D216" s="1" t="s">
        <v>425</v>
      </c>
      <c r="E216" s="1" t="s">
        <v>426</v>
      </c>
      <c r="F216" s="1" t="s">
        <v>258</v>
      </c>
      <c r="G216" s="1" t="s">
        <v>427</v>
      </c>
      <c r="H216" s="270">
        <v>44476</v>
      </c>
      <c r="I216" s="271">
        <v>-68</v>
      </c>
      <c r="J216" s="1" t="s">
        <v>428</v>
      </c>
      <c r="K216" s="1" t="s">
        <v>429</v>
      </c>
      <c r="N216" s="1" t="s">
        <v>713</v>
      </c>
      <c r="O216" s="270">
        <v>44477</v>
      </c>
      <c r="P216" s="1" t="s">
        <v>430</v>
      </c>
      <c r="Q216" s="1" t="s">
        <v>431</v>
      </c>
      <c r="R216" s="1" t="s">
        <v>840</v>
      </c>
      <c r="T216" s="1" t="s">
        <v>428</v>
      </c>
      <c r="U216" s="1" t="s">
        <v>841</v>
      </c>
      <c r="V216" s="1" t="s">
        <v>839</v>
      </c>
      <c r="W216" s="270">
        <v>44476</v>
      </c>
      <c r="X216" s="1" t="s">
        <v>433</v>
      </c>
    </row>
    <row r="217" spans="1:24" x14ac:dyDescent="0.25">
      <c r="A217" s="1" t="s">
        <v>141</v>
      </c>
      <c r="B217" s="1" t="s">
        <v>142</v>
      </c>
      <c r="C217" s="269">
        <v>-376404.3</v>
      </c>
      <c r="D217" s="1" t="s">
        <v>425</v>
      </c>
      <c r="E217" s="1" t="s">
        <v>426</v>
      </c>
      <c r="F217" s="1" t="s">
        <v>258</v>
      </c>
      <c r="G217" s="1" t="s">
        <v>427</v>
      </c>
      <c r="H217" s="270">
        <v>44476</v>
      </c>
      <c r="I217" s="271">
        <v>-270</v>
      </c>
      <c r="J217" s="1" t="s">
        <v>428</v>
      </c>
      <c r="K217" s="1" t="s">
        <v>429</v>
      </c>
      <c r="N217" s="1" t="s">
        <v>368</v>
      </c>
      <c r="O217" s="270">
        <v>44477</v>
      </c>
      <c r="P217" s="1" t="s">
        <v>430</v>
      </c>
      <c r="Q217" s="1" t="s">
        <v>431</v>
      </c>
      <c r="R217" s="1" t="s">
        <v>840</v>
      </c>
      <c r="T217" s="1" t="s">
        <v>428</v>
      </c>
      <c r="U217" s="1" t="s">
        <v>841</v>
      </c>
      <c r="V217" s="1" t="s">
        <v>839</v>
      </c>
      <c r="W217" s="270">
        <v>44476</v>
      </c>
      <c r="X217" s="1" t="s">
        <v>433</v>
      </c>
    </row>
    <row r="218" spans="1:24" x14ac:dyDescent="0.25">
      <c r="A218" s="1" t="s">
        <v>141</v>
      </c>
      <c r="B218" s="1" t="s">
        <v>142</v>
      </c>
      <c r="C218" s="269">
        <v>-9758.6299999999992</v>
      </c>
      <c r="D218" s="1" t="s">
        <v>425</v>
      </c>
      <c r="E218" s="1" t="s">
        <v>426</v>
      </c>
      <c r="F218" s="1" t="s">
        <v>258</v>
      </c>
      <c r="G218" s="1" t="s">
        <v>427</v>
      </c>
      <c r="H218" s="270">
        <v>44476</v>
      </c>
      <c r="I218" s="271">
        <v>-7</v>
      </c>
      <c r="J218" s="1" t="s">
        <v>428</v>
      </c>
      <c r="K218" s="1" t="s">
        <v>429</v>
      </c>
      <c r="N218" s="1" t="s">
        <v>713</v>
      </c>
      <c r="O218" s="270">
        <v>44477</v>
      </c>
      <c r="P218" s="1" t="s">
        <v>430</v>
      </c>
      <c r="Q218" s="1" t="s">
        <v>431</v>
      </c>
      <c r="R218" s="1" t="s">
        <v>837</v>
      </c>
      <c r="T218" s="1" t="s">
        <v>428</v>
      </c>
      <c r="U218" s="1" t="s">
        <v>838</v>
      </c>
      <c r="V218" s="1" t="s">
        <v>839</v>
      </c>
      <c r="W218" s="270">
        <v>44476</v>
      </c>
      <c r="X218" s="1" t="s">
        <v>433</v>
      </c>
    </row>
    <row r="219" spans="1:24" x14ac:dyDescent="0.25">
      <c r="A219" s="1" t="s">
        <v>141</v>
      </c>
      <c r="B219" s="1" t="s">
        <v>142</v>
      </c>
      <c r="C219" s="269">
        <v>-5576.36</v>
      </c>
      <c r="D219" s="1" t="s">
        <v>425</v>
      </c>
      <c r="E219" s="1" t="s">
        <v>426</v>
      </c>
      <c r="F219" s="1" t="s">
        <v>258</v>
      </c>
      <c r="G219" s="1" t="s">
        <v>427</v>
      </c>
      <c r="H219" s="270">
        <v>44474</v>
      </c>
      <c r="I219" s="271">
        <v>-4</v>
      </c>
      <c r="J219" s="1" t="s">
        <v>428</v>
      </c>
      <c r="K219" s="1" t="s">
        <v>429</v>
      </c>
      <c r="N219" s="1" t="s">
        <v>713</v>
      </c>
      <c r="O219" s="270">
        <v>44475</v>
      </c>
      <c r="P219" s="1" t="s">
        <v>430</v>
      </c>
      <c r="Q219" s="1" t="s">
        <v>431</v>
      </c>
      <c r="R219" s="1" t="s">
        <v>718</v>
      </c>
      <c r="T219" s="1" t="s">
        <v>428</v>
      </c>
      <c r="U219" s="1" t="s">
        <v>719</v>
      </c>
      <c r="V219" s="1" t="s">
        <v>468</v>
      </c>
      <c r="W219" s="270">
        <v>44473</v>
      </c>
      <c r="X219" s="1" t="s">
        <v>433</v>
      </c>
    </row>
    <row r="220" spans="1:24" x14ac:dyDescent="0.25">
      <c r="A220" s="1" t="s">
        <v>141</v>
      </c>
      <c r="B220" s="1" t="s">
        <v>142</v>
      </c>
      <c r="C220" s="269">
        <v>-13940.9</v>
      </c>
      <c r="D220" s="1" t="s">
        <v>425</v>
      </c>
      <c r="E220" s="1" t="s">
        <v>426</v>
      </c>
      <c r="F220" s="1" t="s">
        <v>258</v>
      </c>
      <c r="G220" s="1" t="s">
        <v>427</v>
      </c>
      <c r="H220" s="270">
        <v>44474</v>
      </c>
      <c r="I220" s="271">
        <v>-10</v>
      </c>
      <c r="J220" s="1" t="s">
        <v>428</v>
      </c>
      <c r="K220" s="1" t="s">
        <v>429</v>
      </c>
      <c r="N220" s="1" t="s">
        <v>713</v>
      </c>
      <c r="O220" s="270">
        <v>44475</v>
      </c>
      <c r="P220" s="1" t="s">
        <v>430</v>
      </c>
      <c r="Q220" s="1" t="s">
        <v>431</v>
      </c>
      <c r="R220" s="1" t="s">
        <v>685</v>
      </c>
      <c r="T220" s="1" t="s">
        <v>428</v>
      </c>
      <c r="U220" s="1" t="s">
        <v>686</v>
      </c>
      <c r="V220" s="1" t="s">
        <v>462</v>
      </c>
      <c r="W220" s="270">
        <v>44474</v>
      </c>
      <c r="X220" s="1" t="s">
        <v>433</v>
      </c>
    </row>
    <row r="221" spans="1:24" x14ac:dyDescent="0.25">
      <c r="A221" s="1" t="s">
        <v>141</v>
      </c>
      <c r="B221" s="1" t="s">
        <v>142</v>
      </c>
      <c r="C221" s="269">
        <v>-316458.43</v>
      </c>
      <c r="D221" s="1" t="s">
        <v>425</v>
      </c>
      <c r="E221" s="1" t="s">
        <v>426</v>
      </c>
      <c r="F221" s="1" t="s">
        <v>258</v>
      </c>
      <c r="G221" s="1" t="s">
        <v>427</v>
      </c>
      <c r="H221" s="270">
        <v>44474</v>
      </c>
      <c r="I221" s="271">
        <v>-227</v>
      </c>
      <c r="J221" s="1" t="s">
        <v>428</v>
      </c>
      <c r="K221" s="1" t="s">
        <v>429</v>
      </c>
      <c r="N221" s="1" t="s">
        <v>713</v>
      </c>
      <c r="O221" s="270">
        <v>44475</v>
      </c>
      <c r="P221" s="1" t="s">
        <v>430</v>
      </c>
      <c r="Q221" s="1" t="s">
        <v>431</v>
      </c>
      <c r="R221" s="1" t="s">
        <v>714</v>
      </c>
      <c r="T221" s="1" t="s">
        <v>428</v>
      </c>
      <c r="U221" s="1" t="s">
        <v>715</v>
      </c>
      <c r="V221" s="1" t="s">
        <v>443</v>
      </c>
      <c r="W221" s="270">
        <v>44474</v>
      </c>
      <c r="X221" s="1" t="s">
        <v>433</v>
      </c>
    </row>
    <row r="222" spans="1:24" x14ac:dyDescent="0.25">
      <c r="A222" s="1" t="s">
        <v>141</v>
      </c>
      <c r="B222" s="1" t="s">
        <v>142</v>
      </c>
      <c r="C222" s="269">
        <v>-57157.69</v>
      </c>
      <c r="D222" s="1" t="s">
        <v>425</v>
      </c>
      <c r="E222" s="1" t="s">
        <v>426</v>
      </c>
      <c r="F222" s="1" t="s">
        <v>258</v>
      </c>
      <c r="G222" s="1" t="s">
        <v>427</v>
      </c>
      <c r="H222" s="270">
        <v>44474</v>
      </c>
      <c r="I222" s="271">
        <v>-41</v>
      </c>
      <c r="J222" s="1" t="s">
        <v>428</v>
      </c>
      <c r="K222" s="1" t="s">
        <v>429</v>
      </c>
      <c r="N222" s="1" t="s">
        <v>713</v>
      </c>
      <c r="O222" s="270">
        <v>44475</v>
      </c>
      <c r="P222" s="1" t="s">
        <v>430</v>
      </c>
      <c r="Q222" s="1" t="s">
        <v>431</v>
      </c>
      <c r="R222" s="1" t="s">
        <v>663</v>
      </c>
      <c r="T222" s="1" t="s">
        <v>428</v>
      </c>
      <c r="U222" s="1" t="s">
        <v>664</v>
      </c>
      <c r="V222" s="1" t="s">
        <v>464</v>
      </c>
      <c r="W222" s="270">
        <v>44474</v>
      </c>
      <c r="X222" s="1" t="s">
        <v>433</v>
      </c>
    </row>
    <row r="223" spans="1:24" x14ac:dyDescent="0.25">
      <c r="A223" s="1" t="s">
        <v>141</v>
      </c>
      <c r="B223" s="1" t="s">
        <v>142</v>
      </c>
      <c r="C223" s="269">
        <v>-13940.9</v>
      </c>
      <c r="D223" s="1" t="s">
        <v>425</v>
      </c>
      <c r="E223" s="1" t="s">
        <v>426</v>
      </c>
      <c r="F223" s="1" t="s">
        <v>258</v>
      </c>
      <c r="G223" s="1" t="s">
        <v>427</v>
      </c>
      <c r="H223" s="270">
        <v>44474</v>
      </c>
      <c r="I223" s="271">
        <v>-10</v>
      </c>
      <c r="J223" s="1" t="s">
        <v>428</v>
      </c>
      <c r="K223" s="1" t="s">
        <v>429</v>
      </c>
      <c r="N223" s="1" t="s">
        <v>713</v>
      </c>
      <c r="O223" s="270">
        <v>44475</v>
      </c>
      <c r="P223" s="1" t="s">
        <v>430</v>
      </c>
      <c r="Q223" s="1" t="s">
        <v>431</v>
      </c>
      <c r="R223" s="1" t="s">
        <v>540</v>
      </c>
      <c r="T223" s="1" t="s">
        <v>428</v>
      </c>
      <c r="U223" s="1" t="s">
        <v>541</v>
      </c>
      <c r="V223" s="1" t="s">
        <v>448</v>
      </c>
      <c r="W223" s="270">
        <v>44474</v>
      </c>
      <c r="X223" s="1" t="s">
        <v>433</v>
      </c>
    </row>
    <row r="224" spans="1:24" x14ac:dyDescent="0.25">
      <c r="A224" s="1" t="s">
        <v>141</v>
      </c>
      <c r="B224" s="1" t="s">
        <v>142</v>
      </c>
      <c r="C224" s="269">
        <v>-209113.5</v>
      </c>
      <c r="D224" s="1" t="s">
        <v>425</v>
      </c>
      <c r="E224" s="1" t="s">
        <v>426</v>
      </c>
      <c r="F224" s="1" t="s">
        <v>258</v>
      </c>
      <c r="G224" s="1" t="s">
        <v>427</v>
      </c>
      <c r="H224" s="270">
        <v>44474</v>
      </c>
      <c r="I224" s="271">
        <v>-150</v>
      </c>
      <c r="J224" s="1" t="s">
        <v>428</v>
      </c>
      <c r="K224" s="1" t="s">
        <v>429</v>
      </c>
      <c r="N224" s="1" t="s">
        <v>713</v>
      </c>
      <c r="O224" s="270">
        <v>44475</v>
      </c>
      <c r="P224" s="1" t="s">
        <v>430</v>
      </c>
      <c r="Q224" s="1" t="s">
        <v>431</v>
      </c>
      <c r="R224" s="1" t="s">
        <v>530</v>
      </c>
      <c r="T224" s="1" t="s">
        <v>428</v>
      </c>
      <c r="U224" s="1" t="s">
        <v>531</v>
      </c>
      <c r="V224" s="1" t="s">
        <v>438</v>
      </c>
      <c r="W224" s="270">
        <v>44474</v>
      </c>
      <c r="X224" s="1" t="s">
        <v>433</v>
      </c>
    </row>
    <row r="225" spans="1:25" x14ac:dyDescent="0.25">
      <c r="A225" s="1" t="s">
        <v>141</v>
      </c>
      <c r="B225" s="1" t="s">
        <v>142</v>
      </c>
      <c r="C225" s="269">
        <v>-61339.96</v>
      </c>
      <c r="D225" s="1" t="s">
        <v>425</v>
      </c>
      <c r="E225" s="1" t="s">
        <v>426</v>
      </c>
      <c r="F225" s="1" t="s">
        <v>258</v>
      </c>
      <c r="G225" s="1" t="s">
        <v>427</v>
      </c>
      <c r="H225" s="270">
        <v>44474</v>
      </c>
      <c r="I225" s="271">
        <v>-44</v>
      </c>
      <c r="J225" s="1" t="s">
        <v>428</v>
      </c>
      <c r="K225" s="1" t="s">
        <v>429</v>
      </c>
      <c r="N225" s="1" t="s">
        <v>713</v>
      </c>
      <c r="O225" s="270">
        <v>44475</v>
      </c>
      <c r="P225" s="1" t="s">
        <v>430</v>
      </c>
      <c r="Q225" s="1" t="s">
        <v>431</v>
      </c>
      <c r="R225" s="1" t="s">
        <v>716</v>
      </c>
      <c r="T225" s="1" t="s">
        <v>428</v>
      </c>
      <c r="U225" s="1" t="s">
        <v>717</v>
      </c>
      <c r="V225" s="1" t="s">
        <v>443</v>
      </c>
      <c r="W225" s="270">
        <v>44474</v>
      </c>
      <c r="X225" s="1" t="s">
        <v>433</v>
      </c>
    </row>
    <row r="226" spans="1:25" x14ac:dyDescent="0.25">
      <c r="A226" s="1" t="s">
        <v>141</v>
      </c>
      <c r="B226" s="1" t="s">
        <v>142</v>
      </c>
      <c r="C226" s="269">
        <v>-139409</v>
      </c>
      <c r="D226" s="1" t="s">
        <v>425</v>
      </c>
      <c r="E226" s="1" t="s">
        <v>426</v>
      </c>
      <c r="F226" s="1" t="s">
        <v>258</v>
      </c>
      <c r="G226" s="1" t="s">
        <v>427</v>
      </c>
      <c r="H226" s="270">
        <v>44474</v>
      </c>
      <c r="I226" s="271">
        <v>-100</v>
      </c>
      <c r="J226" s="1" t="s">
        <v>428</v>
      </c>
      <c r="K226" s="1" t="s">
        <v>429</v>
      </c>
      <c r="N226" s="1" t="s">
        <v>713</v>
      </c>
      <c r="O226" s="270">
        <v>44475</v>
      </c>
      <c r="P226" s="1" t="s">
        <v>430</v>
      </c>
      <c r="Q226" s="1" t="s">
        <v>431</v>
      </c>
      <c r="R226" s="1" t="s">
        <v>532</v>
      </c>
      <c r="T226" s="1" t="s">
        <v>428</v>
      </c>
      <c r="U226" s="1" t="s">
        <v>533</v>
      </c>
      <c r="V226" s="1" t="s">
        <v>447</v>
      </c>
      <c r="W226" s="270">
        <v>44474</v>
      </c>
      <c r="X226" s="1" t="s">
        <v>433</v>
      </c>
    </row>
    <row r="227" spans="1:25" x14ac:dyDescent="0.25">
      <c r="A227" s="1" t="s">
        <v>141</v>
      </c>
      <c r="B227" s="1" t="s">
        <v>142</v>
      </c>
      <c r="C227" s="269">
        <v>-11152.72</v>
      </c>
      <c r="D227" s="1" t="s">
        <v>425</v>
      </c>
      <c r="E227" s="1" t="s">
        <v>426</v>
      </c>
      <c r="F227" s="1" t="s">
        <v>258</v>
      </c>
      <c r="G227" s="1" t="s">
        <v>427</v>
      </c>
      <c r="H227" s="270">
        <v>44474</v>
      </c>
      <c r="I227" s="271">
        <v>-8</v>
      </c>
      <c r="J227" s="1" t="s">
        <v>428</v>
      </c>
      <c r="K227" s="1" t="s">
        <v>429</v>
      </c>
      <c r="N227" s="1" t="s">
        <v>713</v>
      </c>
      <c r="O227" s="270">
        <v>44475</v>
      </c>
      <c r="P227" s="1" t="s">
        <v>430</v>
      </c>
      <c r="Q227" s="1" t="s">
        <v>431</v>
      </c>
      <c r="R227" s="1" t="s">
        <v>680</v>
      </c>
      <c r="T227" s="1" t="s">
        <v>428</v>
      </c>
      <c r="U227" s="1" t="s">
        <v>681</v>
      </c>
      <c r="V227" s="1" t="s">
        <v>682</v>
      </c>
      <c r="W227" s="270">
        <v>44474</v>
      </c>
      <c r="X227" s="1" t="s">
        <v>433</v>
      </c>
    </row>
    <row r="228" spans="1:25" x14ac:dyDescent="0.25">
      <c r="A228" s="1" t="s">
        <v>141</v>
      </c>
      <c r="B228" s="1" t="s">
        <v>142</v>
      </c>
      <c r="C228" s="269">
        <v>-2788.18</v>
      </c>
      <c r="D228" s="1" t="s">
        <v>425</v>
      </c>
      <c r="E228" s="1" t="s">
        <v>426</v>
      </c>
      <c r="F228" s="1" t="s">
        <v>258</v>
      </c>
      <c r="G228" s="1" t="s">
        <v>427</v>
      </c>
      <c r="H228" s="270">
        <v>44473</v>
      </c>
      <c r="I228" s="271">
        <v>-2</v>
      </c>
      <c r="J228" s="1" t="s">
        <v>428</v>
      </c>
      <c r="K228" s="1" t="s">
        <v>429</v>
      </c>
      <c r="N228" s="1" t="s">
        <v>713</v>
      </c>
      <c r="O228" s="270">
        <v>44474</v>
      </c>
      <c r="P228" s="1" t="s">
        <v>430</v>
      </c>
      <c r="Q228" s="1" t="s">
        <v>431</v>
      </c>
      <c r="R228" s="1" t="s">
        <v>697</v>
      </c>
      <c r="T228" s="1" t="s">
        <v>428</v>
      </c>
      <c r="U228" s="1" t="s">
        <v>698</v>
      </c>
      <c r="V228" s="1" t="s">
        <v>458</v>
      </c>
      <c r="W228" s="270">
        <v>44473</v>
      </c>
      <c r="X228" s="1" t="s">
        <v>433</v>
      </c>
    </row>
    <row r="229" spans="1:25" x14ac:dyDescent="0.25">
      <c r="A229" s="1" t="s">
        <v>141</v>
      </c>
      <c r="B229" s="1" t="s">
        <v>142</v>
      </c>
      <c r="C229" s="269">
        <v>-4182.2700000000004</v>
      </c>
      <c r="D229" s="1" t="s">
        <v>425</v>
      </c>
      <c r="E229" s="1" t="s">
        <v>426</v>
      </c>
      <c r="F229" s="1" t="s">
        <v>258</v>
      </c>
      <c r="G229" s="1" t="s">
        <v>427</v>
      </c>
      <c r="H229" s="270">
        <v>44473</v>
      </c>
      <c r="I229" s="271">
        <v>-3</v>
      </c>
      <c r="J229" s="1" t="s">
        <v>428</v>
      </c>
      <c r="K229" s="1" t="s">
        <v>429</v>
      </c>
      <c r="N229" s="1" t="s">
        <v>713</v>
      </c>
      <c r="O229" s="270">
        <v>44474</v>
      </c>
      <c r="P229" s="1" t="s">
        <v>430</v>
      </c>
      <c r="Q229" s="1" t="s">
        <v>431</v>
      </c>
      <c r="R229" s="1" t="s">
        <v>693</v>
      </c>
      <c r="T229" s="1" t="s">
        <v>428</v>
      </c>
      <c r="U229" s="1" t="s">
        <v>694</v>
      </c>
      <c r="V229" s="1" t="s">
        <v>452</v>
      </c>
      <c r="W229" s="270">
        <v>44473</v>
      </c>
      <c r="X229" s="1" t="s">
        <v>433</v>
      </c>
    </row>
    <row r="230" spans="1:25" x14ac:dyDescent="0.25">
      <c r="A230" s="1" t="s">
        <v>284</v>
      </c>
      <c r="B230" s="1" t="s">
        <v>282</v>
      </c>
      <c r="C230" s="269">
        <v>-40137.15</v>
      </c>
      <c r="D230" s="1" t="s">
        <v>425</v>
      </c>
      <c r="E230" s="1" t="s">
        <v>426</v>
      </c>
      <c r="F230" s="1" t="s">
        <v>258</v>
      </c>
      <c r="G230" s="1" t="s">
        <v>427</v>
      </c>
      <c r="H230" s="270">
        <v>44477</v>
      </c>
      <c r="I230" s="271">
        <v>-3</v>
      </c>
      <c r="J230" s="1" t="s">
        <v>428</v>
      </c>
      <c r="K230" s="1" t="s">
        <v>429</v>
      </c>
      <c r="N230" s="1" t="s">
        <v>721</v>
      </c>
      <c r="O230" s="270">
        <v>44478</v>
      </c>
      <c r="P230" s="1" t="s">
        <v>430</v>
      </c>
      <c r="Q230" s="1" t="s">
        <v>431</v>
      </c>
      <c r="R230" s="1" t="s">
        <v>852</v>
      </c>
      <c r="T230" s="1" t="s">
        <v>428</v>
      </c>
      <c r="U230" s="1" t="s">
        <v>853</v>
      </c>
      <c r="V230" s="1" t="s">
        <v>432</v>
      </c>
      <c r="W230" s="270">
        <v>44477</v>
      </c>
      <c r="X230" s="1" t="s">
        <v>433</v>
      </c>
    </row>
    <row r="231" spans="1:25" x14ac:dyDescent="0.25">
      <c r="A231" s="300"/>
      <c r="B231" s="300"/>
      <c r="C231" s="301">
        <v>-4670423.76</v>
      </c>
      <c r="D231" s="300" t="s">
        <v>425</v>
      </c>
      <c r="E231" s="300"/>
      <c r="F231" s="300"/>
      <c r="G231" s="300"/>
      <c r="H231" s="302"/>
      <c r="I231" s="303">
        <v>-14818</v>
      </c>
      <c r="J231" s="300"/>
      <c r="K231" s="300"/>
      <c r="L231" s="300"/>
      <c r="M231" s="300"/>
      <c r="N231" s="300"/>
      <c r="O231" s="302"/>
      <c r="P231" s="300"/>
      <c r="Q231" s="300"/>
      <c r="R231" s="300"/>
      <c r="S231" s="300"/>
      <c r="T231" s="300" t="s">
        <v>428</v>
      </c>
      <c r="U231" s="300"/>
      <c r="V231" s="300"/>
      <c r="W231" s="302"/>
      <c r="X231" s="300"/>
      <c r="Y231" s="300"/>
    </row>
  </sheetData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4">
    <tabColor rgb="FFFFC000"/>
  </sheetPr>
  <dimension ref="A1:AB27"/>
  <sheetViews>
    <sheetView showGridLines="0" zoomScale="90" zoomScaleNormal="9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D9" sqref="D9:K10"/>
    </sheetView>
  </sheetViews>
  <sheetFormatPr defaultColWidth="9.08984375" defaultRowHeight="12.5" x14ac:dyDescent="0.25"/>
  <cols>
    <col min="1" max="1" width="1.6328125" style="1" customWidth="1"/>
    <col min="2" max="2" width="11.453125" style="3" bestFit="1" customWidth="1"/>
    <col min="3" max="3" width="40.26953125" style="3" bestFit="1" customWidth="1"/>
    <col min="4" max="4" width="9.36328125" style="3" bestFit="1" customWidth="1"/>
    <col min="5" max="5" width="13.453125" style="3" bestFit="1" customWidth="1"/>
    <col min="6" max="6" width="10" style="3" bestFit="1" customWidth="1"/>
    <col min="7" max="7" width="6.6328125" style="3" bestFit="1" customWidth="1"/>
    <col min="8" max="8" width="6.6328125" style="2" bestFit="1" customWidth="1"/>
    <col min="9" max="9" width="10.90625" style="2" customWidth="1"/>
    <col min="10" max="10" width="5.26953125" style="2" bestFit="1" customWidth="1"/>
    <col min="11" max="11" width="5.81640625" style="2" bestFit="1" customWidth="1"/>
    <col min="12" max="12" width="8.54296875" style="2" bestFit="1" customWidth="1"/>
    <col min="13" max="13" width="15.1796875" style="2" bestFit="1" customWidth="1"/>
    <col min="14" max="14" width="17.7265625" style="2" bestFit="1" customWidth="1"/>
    <col min="15" max="15" width="11.54296875" style="2" customWidth="1"/>
    <col min="16" max="16" width="7.08984375" style="1" customWidth="1"/>
    <col min="17" max="17" width="15.1796875" style="1" bestFit="1" customWidth="1"/>
    <col min="18" max="18" width="9.08984375" style="1" hidden="1" customWidth="1"/>
    <col min="19" max="19" width="11" style="1" hidden="1" customWidth="1"/>
    <col min="20" max="20" width="13.6328125" style="1" hidden="1" customWidth="1"/>
    <col min="21" max="21" width="11" style="1" hidden="1" customWidth="1"/>
    <col min="22" max="24" width="11" style="1" bestFit="1" customWidth="1"/>
    <col min="25" max="25" width="9.08984375" style="1"/>
    <col min="26" max="26" width="6.54296875" style="1" bestFit="1" customWidth="1"/>
    <col min="27" max="27" width="7" style="1" bestFit="1" customWidth="1"/>
    <col min="28" max="28" width="6.90625" style="1" bestFit="1" customWidth="1"/>
    <col min="29" max="16384" width="9.08984375" style="1"/>
  </cols>
  <sheetData>
    <row r="1" spans="1:28" x14ac:dyDescent="0.25">
      <c r="A1" s="179" t="s">
        <v>309</v>
      </c>
    </row>
    <row r="2" spans="1:28" ht="17" x14ac:dyDescent="0.25">
      <c r="B2" s="222">
        <f ca="1">DATE(YEAR(TODAY()),MONTH(TODAY()),1)</f>
        <v>44470</v>
      </c>
      <c r="C2" s="49"/>
      <c r="E2" s="18"/>
    </row>
    <row r="3" spans="1:28" ht="14.5" x14ac:dyDescent="0.35">
      <c r="B3" s="304" t="s">
        <v>26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</row>
    <row r="4" spans="1:28" ht="13" thickBot="1" x14ac:dyDescent="0.3">
      <c r="E4" s="18"/>
      <c r="R4" s="19"/>
      <c r="S4" s="19"/>
      <c r="T4" s="19"/>
      <c r="U4" s="19"/>
      <c r="V4" s="19"/>
      <c r="W4" s="19"/>
      <c r="X4" s="19"/>
    </row>
    <row r="5" spans="1:28" ht="15" customHeight="1" thickBot="1" x14ac:dyDescent="0.3">
      <c r="B5" s="311" t="s">
        <v>4</v>
      </c>
      <c r="C5" s="313" t="s">
        <v>3</v>
      </c>
      <c r="D5" s="315" t="s">
        <v>2</v>
      </c>
      <c r="E5" s="307" t="s">
        <v>12</v>
      </c>
      <c r="F5" s="307" t="s">
        <v>13</v>
      </c>
      <c r="G5" s="307" t="s">
        <v>14</v>
      </c>
      <c r="H5" s="307" t="s">
        <v>15</v>
      </c>
      <c r="I5" s="307" t="s">
        <v>295</v>
      </c>
      <c r="J5" s="309" t="s">
        <v>240</v>
      </c>
      <c r="K5" s="309" t="s">
        <v>288</v>
      </c>
      <c r="L5" s="305" t="s">
        <v>308</v>
      </c>
      <c r="M5" s="309" t="s">
        <v>250</v>
      </c>
      <c r="N5" s="309" t="s">
        <v>251</v>
      </c>
      <c r="O5" s="305" t="s">
        <v>259</v>
      </c>
      <c r="R5" s="237"/>
      <c r="S5" s="163"/>
      <c r="U5" s="240"/>
      <c r="V5" s="237">
        <f>SUM(V9:AB9)-SUM(E7:E8)</f>
        <v>-19</v>
      </c>
      <c r="W5" s="163"/>
      <c r="X5" s="163"/>
    </row>
    <row r="6" spans="1:28" ht="15" customHeight="1" thickBot="1" x14ac:dyDescent="0.3">
      <c r="B6" s="312"/>
      <c r="C6" s="314"/>
      <c r="D6" s="316"/>
      <c r="E6" s="308"/>
      <c r="F6" s="308"/>
      <c r="G6" s="308" t="s">
        <v>1</v>
      </c>
      <c r="H6" s="308" t="s">
        <v>1</v>
      </c>
      <c r="I6" s="308"/>
      <c r="J6" s="310"/>
      <c r="K6" s="310"/>
      <c r="L6" s="322"/>
      <c r="M6" s="317"/>
      <c r="N6" s="317"/>
      <c r="O6" s="306"/>
      <c r="R6" s="164">
        <v>44348</v>
      </c>
      <c r="S6" s="165">
        <v>44378</v>
      </c>
      <c r="T6" s="165">
        <v>44409</v>
      </c>
      <c r="U6" s="165">
        <v>44440</v>
      </c>
      <c r="V6" s="165">
        <v>44470</v>
      </c>
      <c r="W6" s="165">
        <v>44501</v>
      </c>
      <c r="X6" s="166">
        <v>44531</v>
      </c>
      <c r="Y6" s="165">
        <v>44562</v>
      </c>
      <c r="Z6" s="166">
        <v>44593</v>
      </c>
      <c r="AA6" s="165">
        <v>44621</v>
      </c>
      <c r="AB6" s="166">
        <v>44652</v>
      </c>
    </row>
    <row r="7" spans="1:28" ht="13.5" thickBot="1" x14ac:dyDescent="0.3">
      <c r="B7" s="23" t="s">
        <v>107</v>
      </c>
      <c r="C7" s="31" t="s">
        <v>119</v>
      </c>
      <c r="D7" s="16" t="s">
        <v>249</v>
      </c>
      <c r="E7" s="6">
        <v>14</v>
      </c>
      <c r="F7" s="7">
        <v>44926</v>
      </c>
      <c r="G7" s="8">
        <f ca="1">TODAY()-F7</f>
        <v>-442</v>
      </c>
      <c r="H7" s="147">
        <f ca="1">G7/30</f>
        <v>-14.733333333333333</v>
      </c>
      <c r="I7" s="7">
        <f>F7-30*12</f>
        <v>44566</v>
      </c>
      <c r="J7" s="8">
        <v>0</v>
      </c>
      <c r="K7" s="160" t="s">
        <v>258</v>
      </c>
      <c r="L7" s="113"/>
      <c r="M7" s="6"/>
      <c r="N7" s="8"/>
      <c r="O7" s="22"/>
      <c r="Q7" s="172" t="s">
        <v>303</v>
      </c>
      <c r="R7" s="168">
        <v>570</v>
      </c>
      <c r="S7" s="169">
        <v>570</v>
      </c>
      <c r="T7" s="169">
        <v>439</v>
      </c>
      <c r="U7" s="169">
        <v>339</v>
      </c>
      <c r="V7" s="169">
        <v>39</v>
      </c>
      <c r="W7" s="169">
        <f t="shared" ref="W7:AB7" ca="1" si="0">V11</f>
        <v>274</v>
      </c>
      <c r="X7" s="169">
        <f t="shared" ca="1" si="0"/>
        <v>164</v>
      </c>
      <c r="Y7" s="169">
        <f t="shared" ca="1" si="0"/>
        <v>164</v>
      </c>
      <c r="Z7" s="169">
        <f t="shared" ca="1" si="0"/>
        <v>164</v>
      </c>
      <c r="AA7" s="169">
        <f t="shared" ca="1" si="0"/>
        <v>114</v>
      </c>
      <c r="AB7" s="169">
        <f t="shared" ca="1" si="0"/>
        <v>94</v>
      </c>
    </row>
    <row r="8" spans="1:28" ht="13.5" thickBot="1" x14ac:dyDescent="0.3">
      <c r="B8" s="20" t="s">
        <v>22</v>
      </c>
      <c r="C8" s="32">
        <f>SUMIF(Venda!$A:$A,$B7,Venda!$I:$I)*-1</f>
        <v>25</v>
      </c>
      <c r="D8" s="59" t="s">
        <v>337</v>
      </c>
      <c r="E8" s="126">
        <v>235</v>
      </c>
      <c r="F8" s="125">
        <v>45046</v>
      </c>
      <c r="G8" s="8">
        <f ca="1">TODAY()-F8</f>
        <v>-562</v>
      </c>
      <c r="H8" s="147">
        <f ca="1">G8/30</f>
        <v>-18.733333333333334</v>
      </c>
      <c r="I8" s="7">
        <f>F8-30*12</f>
        <v>44686</v>
      </c>
      <c r="J8" s="184">
        <v>0</v>
      </c>
      <c r="K8" s="184" t="s">
        <v>255</v>
      </c>
      <c r="L8" s="299"/>
      <c r="M8" s="319" t="s">
        <v>479</v>
      </c>
      <c r="N8" s="320"/>
      <c r="O8" s="321"/>
      <c r="Q8" s="172" t="s">
        <v>304</v>
      </c>
      <c r="R8" s="170">
        <f>R7/R9</f>
        <v>-43.846153846153847</v>
      </c>
      <c r="S8" s="170">
        <f>S7/S9</f>
        <v>4.384615384615385</v>
      </c>
      <c r="T8" s="170">
        <f>T7/T9</f>
        <v>4.3899999999999997</v>
      </c>
      <c r="U8" s="170">
        <f>IFERROR(U7/U9,0)</f>
        <v>1.1299999999999999</v>
      </c>
      <c r="V8" s="170">
        <f t="shared" ref="V8:AB8" si="1">IFERROR(V7/V9,0)</f>
        <v>0</v>
      </c>
      <c r="W8" s="170">
        <f t="shared" ca="1" si="1"/>
        <v>2.4909090909090907</v>
      </c>
      <c r="X8" s="170">
        <f t="shared" ca="1" si="1"/>
        <v>0</v>
      </c>
      <c r="Y8" s="170">
        <f t="shared" ca="1" si="1"/>
        <v>0</v>
      </c>
      <c r="Z8" s="170">
        <f t="shared" ca="1" si="1"/>
        <v>3.28</v>
      </c>
      <c r="AA8" s="170">
        <f t="shared" ca="1" si="1"/>
        <v>5.7</v>
      </c>
      <c r="AB8" s="170">
        <f t="shared" ca="1" si="1"/>
        <v>1.88</v>
      </c>
    </row>
    <row r="9" spans="1:28" ht="13.5" thickBot="1" x14ac:dyDescent="0.3">
      <c r="B9" s="20" t="s">
        <v>24</v>
      </c>
      <c r="C9" s="32">
        <f>C10-C8</f>
        <v>-25</v>
      </c>
      <c r="E9" s="18"/>
      <c r="F9" s="50"/>
      <c r="H9" s="51"/>
      <c r="I9" s="51"/>
      <c r="J9" s="51"/>
      <c r="K9" s="51"/>
      <c r="L9" s="30"/>
      <c r="M9" s="51"/>
      <c r="N9" s="51"/>
      <c r="O9" s="22"/>
      <c r="Q9" s="172" t="s">
        <v>302</v>
      </c>
      <c r="R9" s="167">
        <f>INDEX(Forecast!$E$3:$AB$25,MATCH($B7,Forecast!$A$3:$A$25,0),MATCH(R$6,Forecast!$E$2:$AB$2,0))</f>
        <v>-13</v>
      </c>
      <c r="S9" s="167">
        <f>INDEX(Forecast!$E$3:$AB$25,MATCH($B7,Forecast!$A$3:$A$25,0),MATCH(S$6,Forecast!$E$2:$AB$2,0))</f>
        <v>130</v>
      </c>
      <c r="T9" s="167">
        <f>INDEX(Forecast!$E$3:$AB$25,MATCH($B7,Forecast!$A$3:$A$25,0),MATCH(T$6,Forecast!$E$2:$AB$2,0))</f>
        <v>100</v>
      </c>
      <c r="U9" s="167">
        <f>INDEX(Forecast!$E$3:$AB$25,MATCH($B7,Forecast!$A$3:$A$25,0),MATCH(U$6,Forecast!$E$2:$AB$2,0))</f>
        <v>300</v>
      </c>
      <c r="V9" s="167">
        <f>INDEX(Forecast!$E$3:$AB$25,MATCH($B7,Forecast!$A$3:$A$25,0),MATCH(V$6,Forecast!$E$2:$AB$2,0))</f>
        <v>0</v>
      </c>
      <c r="W9" s="167">
        <f>INDEX(Forecast!$E$3:$AB$25,MATCH($B7,Forecast!$A$3:$A$25,0),MATCH(W$6,Forecast!$E$2:$AB$2,0))</f>
        <v>110</v>
      </c>
      <c r="X9" s="167">
        <f>INDEX(Forecast!$E$3:$AB$25,MATCH($B7,Forecast!$A$3:$A$25,0),MATCH(X$6,Forecast!$E$2:$AB$2,0))</f>
        <v>0</v>
      </c>
      <c r="Y9" s="167">
        <f>INDEX(Forecast!$E$3:$AB$25,MATCH($B7,Forecast!$A$3:$A$25,0),MATCH(Y$6,Forecast!$E$2:$AB$2,0))</f>
        <v>0</v>
      </c>
      <c r="Z9" s="167">
        <f>INDEX(Forecast!$E$3:$AB$25,MATCH($B7,Forecast!$A$3:$A$25,0),MATCH(Z$6,Forecast!$E$2:$AB$2,0))</f>
        <v>50</v>
      </c>
      <c r="AA9" s="167">
        <f>INDEX(Forecast!$E$3:$AB$25,MATCH($B7,Forecast!$A$3:$A$25,0),MATCH(AA$6,Forecast!$E$2:$AB$2,0))</f>
        <v>20</v>
      </c>
      <c r="AB9" s="167">
        <f>INDEX(Forecast!$E$3:$AB$25,MATCH($B7,Forecast!$A$3:$A$25,0),MATCH(AB$6,Forecast!$E$2:$AB$2,0))</f>
        <v>50</v>
      </c>
    </row>
    <row r="10" spans="1:28" ht="13.5" thickBot="1" x14ac:dyDescent="0.3">
      <c r="B10" s="20" t="s">
        <v>260</v>
      </c>
      <c r="C10" s="32"/>
      <c r="E10" s="18"/>
      <c r="F10" s="7"/>
      <c r="H10" s="51"/>
      <c r="I10" s="51"/>
      <c r="J10" s="51"/>
      <c r="K10" s="51"/>
      <c r="L10" s="30"/>
      <c r="M10" s="51"/>
      <c r="N10" s="51"/>
      <c r="O10" s="24"/>
      <c r="P10" s="14"/>
      <c r="Q10" s="172" t="s">
        <v>305</v>
      </c>
      <c r="R10" s="168"/>
      <c r="S10" s="168"/>
      <c r="T10" s="168">
        <v>0</v>
      </c>
      <c r="U10" s="168">
        <f>E8</f>
        <v>235</v>
      </c>
      <c r="V10" s="168">
        <v>235</v>
      </c>
      <c r="W10" s="168">
        <v>0</v>
      </c>
      <c r="X10" s="168">
        <v>0</v>
      </c>
      <c r="Y10" s="168">
        <v>0</v>
      </c>
      <c r="Z10" s="168">
        <v>0</v>
      </c>
      <c r="AA10" s="168">
        <v>0</v>
      </c>
      <c r="AB10" s="168">
        <v>0</v>
      </c>
    </row>
    <row r="11" spans="1:28" ht="13.5" thickBot="1" x14ac:dyDescent="0.35">
      <c r="B11" s="21"/>
      <c r="C11" s="161"/>
      <c r="E11" s="18"/>
      <c r="F11" s="18"/>
      <c r="G11" s="8"/>
      <c r="H11" s="66"/>
      <c r="I11" s="66"/>
      <c r="J11" s="51"/>
      <c r="K11" s="51"/>
      <c r="L11" s="30"/>
      <c r="M11" s="51"/>
      <c r="N11" s="51"/>
      <c r="O11" s="24"/>
      <c r="P11" s="14"/>
      <c r="Q11" s="172" t="s">
        <v>306</v>
      </c>
      <c r="R11" s="171">
        <f ca="1">IF(R$6=$B$2,IF($C10&lt;R9,R7+R10-R9,R7+R10-$C10),R7+R10-R9)</f>
        <v>583</v>
      </c>
      <c r="S11" s="171">
        <f ca="1">IF(S$6=$B$2,IF($C10&lt;S9,S7+S10-S9,S7+S10-$C10),S7+S10-S9)</f>
        <v>440</v>
      </c>
      <c r="T11" s="171">
        <f ca="1">IF(T$6=$B$2,IF($C10&lt;T9,T7+T10-T9,T7+T10-$C10),T7+T10-T9)</f>
        <v>339</v>
      </c>
      <c r="U11" s="171">
        <f t="shared" ref="U11:AB11" ca="1" si="2">IF(U$6=$B$2,IF($C10&lt;U9,U7+U10-U9,U7+U10-$C10),U7+U10-U9)</f>
        <v>274</v>
      </c>
      <c r="V11" s="171">
        <f t="shared" ca="1" si="2"/>
        <v>274</v>
      </c>
      <c r="W11" s="171">
        <f t="shared" ca="1" si="2"/>
        <v>164</v>
      </c>
      <c r="X11" s="171">
        <f t="shared" ca="1" si="2"/>
        <v>164</v>
      </c>
      <c r="Y11" s="171">
        <f t="shared" ca="1" si="2"/>
        <v>164</v>
      </c>
      <c r="Z11" s="171">
        <f t="shared" ca="1" si="2"/>
        <v>114</v>
      </c>
      <c r="AA11" s="171">
        <f t="shared" ca="1" si="2"/>
        <v>94</v>
      </c>
      <c r="AB11" s="171">
        <f t="shared" ca="1" si="2"/>
        <v>44</v>
      </c>
    </row>
    <row r="12" spans="1:28" ht="13.5" thickBot="1" x14ac:dyDescent="0.3">
      <c r="B12" s="21"/>
      <c r="C12" s="161"/>
      <c r="E12" s="18"/>
      <c r="F12" s="50"/>
      <c r="H12" s="51"/>
      <c r="I12" s="51"/>
      <c r="J12" s="51"/>
      <c r="K12" s="51"/>
      <c r="L12" s="30"/>
      <c r="M12" s="51"/>
      <c r="N12" s="51"/>
      <c r="O12" s="24"/>
      <c r="P12" s="14"/>
      <c r="Q12" s="172" t="s">
        <v>307</v>
      </c>
      <c r="R12" s="170">
        <f t="shared" ref="R12:W12" ca="1" si="3">R11/S9</f>
        <v>4.4846153846153847</v>
      </c>
      <c r="S12" s="170">
        <f t="shared" ca="1" si="3"/>
        <v>4.4000000000000004</v>
      </c>
      <c r="T12" s="170">
        <f t="shared" ca="1" si="3"/>
        <v>1.1299999999999999</v>
      </c>
      <c r="U12" s="170" t="e">
        <f t="shared" ca="1" si="3"/>
        <v>#DIV/0!</v>
      </c>
      <c r="V12" s="170">
        <f t="shared" ca="1" si="3"/>
        <v>2.4909090909090907</v>
      </c>
      <c r="W12" s="170" t="e">
        <f t="shared" ca="1" si="3"/>
        <v>#DIV/0!</v>
      </c>
      <c r="X12" s="170">
        <f ca="1">X11/Y7</f>
        <v>1</v>
      </c>
      <c r="Y12" s="170">
        <f ca="1">Y11/Z9</f>
        <v>3.28</v>
      </c>
      <c r="Z12" s="170">
        <f ca="1">Z11/AA7</f>
        <v>1</v>
      </c>
      <c r="AA12" s="170">
        <f ca="1">AA11/AB9</f>
        <v>1.88</v>
      </c>
      <c r="AB12" s="170" t="e">
        <f ca="1">AB11/AC7</f>
        <v>#DIV/0!</v>
      </c>
    </row>
    <row r="13" spans="1:28" ht="13" x14ac:dyDescent="0.25">
      <c r="B13" s="21"/>
      <c r="C13" s="161"/>
      <c r="E13" s="18"/>
      <c r="F13" s="50"/>
      <c r="H13" s="51"/>
      <c r="I13" s="51"/>
      <c r="J13" s="51"/>
      <c r="K13" s="51"/>
      <c r="L13" s="30"/>
      <c r="M13" s="51"/>
      <c r="N13" s="51"/>
      <c r="O13" s="24"/>
      <c r="P13" s="14"/>
    </row>
    <row r="14" spans="1:28" ht="13.5" thickBot="1" x14ac:dyDescent="0.3">
      <c r="B14" s="154"/>
      <c r="C14" s="162"/>
      <c r="D14" s="155"/>
      <c r="E14" s="156"/>
      <c r="F14" s="157"/>
      <c r="G14" s="155"/>
      <c r="H14" s="158"/>
      <c r="I14" s="158"/>
      <c r="J14" s="158"/>
      <c r="K14" s="158"/>
      <c r="L14" s="159"/>
      <c r="M14" s="158"/>
      <c r="N14" s="158"/>
      <c r="O14" s="159"/>
      <c r="P14" s="14"/>
      <c r="Q14" s="14"/>
      <c r="R14" s="112"/>
      <c r="S14" s="108"/>
      <c r="U14" s="108"/>
      <c r="V14" s="108"/>
      <c r="W14" s="47"/>
    </row>
    <row r="15" spans="1:28" ht="13" x14ac:dyDescent="0.25">
      <c r="B15" s="15" t="s">
        <v>27</v>
      </c>
      <c r="P15" s="14"/>
      <c r="Q15" s="14"/>
      <c r="V15" s="117" t="s">
        <v>262</v>
      </c>
      <c r="W15" s="117" t="s">
        <v>238</v>
      </c>
      <c r="X15" s="117" t="s">
        <v>239</v>
      </c>
    </row>
    <row r="16" spans="1:28" x14ac:dyDescent="0.25">
      <c r="V16" s="115">
        <v>44013</v>
      </c>
      <c r="W16" s="116">
        <v>1093</v>
      </c>
      <c r="X16" s="118">
        <v>297668</v>
      </c>
    </row>
    <row r="17" spans="2:24" x14ac:dyDescent="0.25">
      <c r="G17" s="18"/>
      <c r="V17" s="115">
        <v>44044</v>
      </c>
      <c r="W17" s="116">
        <v>1223</v>
      </c>
      <c r="X17" s="118">
        <v>333072</v>
      </c>
    </row>
    <row r="18" spans="2:24" ht="12.5" customHeight="1" x14ac:dyDescent="0.25">
      <c r="B18" s="318" t="s">
        <v>723</v>
      </c>
      <c r="C18" s="318"/>
      <c r="D18" s="318"/>
      <c r="E18" s="318"/>
      <c r="F18" s="318"/>
      <c r="V18" s="115">
        <v>44136</v>
      </c>
      <c r="W18" s="116">
        <v>1040</v>
      </c>
      <c r="X18" s="118">
        <v>282786</v>
      </c>
    </row>
    <row r="19" spans="2:24" x14ac:dyDescent="0.25">
      <c r="B19" s="318"/>
      <c r="C19" s="318"/>
      <c r="D19" s="318"/>
      <c r="E19" s="318"/>
      <c r="F19" s="318"/>
      <c r="V19" s="115">
        <v>44166</v>
      </c>
      <c r="W19" s="116">
        <v>831</v>
      </c>
      <c r="X19" s="118">
        <v>225957</v>
      </c>
    </row>
    <row r="20" spans="2:24" x14ac:dyDescent="0.25">
      <c r="B20" s="318"/>
      <c r="C20" s="318"/>
      <c r="D20" s="318"/>
      <c r="E20" s="318"/>
      <c r="F20" s="318"/>
      <c r="G20" s="18"/>
      <c r="J20" s="45"/>
      <c r="K20" s="45"/>
      <c r="M20" s="45"/>
      <c r="N20" s="45"/>
      <c r="V20" s="115">
        <v>44197</v>
      </c>
      <c r="W20" s="116">
        <v>744</v>
      </c>
      <c r="X20" s="118">
        <v>202301.04</v>
      </c>
    </row>
    <row r="21" spans="2:24" x14ac:dyDescent="0.25">
      <c r="V21" s="115">
        <v>44228</v>
      </c>
      <c r="W21" s="130">
        <v>167.73423100000002</v>
      </c>
      <c r="X21" s="118">
        <f>W21*271.91</f>
        <v>45608.614751210007</v>
      </c>
    </row>
    <row r="22" spans="2:24" x14ac:dyDescent="0.25">
      <c r="V22" s="115">
        <v>44256</v>
      </c>
      <c r="W22" s="116">
        <v>0</v>
      </c>
      <c r="X22" s="118">
        <f>W22*271.91</f>
        <v>0</v>
      </c>
    </row>
    <row r="23" spans="2:24" x14ac:dyDescent="0.25">
      <c r="V23" s="115">
        <v>44378</v>
      </c>
      <c r="W23" s="116">
        <f>SUM(U5:V5)</f>
        <v>-19</v>
      </c>
      <c r="X23" s="118">
        <f>W23*271.91</f>
        <v>-5166.2900000000009</v>
      </c>
    </row>
    <row r="27" spans="2:24" x14ac:dyDescent="0.25">
      <c r="E27" s="54"/>
    </row>
  </sheetData>
  <mergeCells count="17">
    <mergeCell ref="B18:F20"/>
    <mergeCell ref="M8:O8"/>
    <mergeCell ref="L5:L6"/>
    <mergeCell ref="B3:O3"/>
    <mergeCell ref="O5:O6"/>
    <mergeCell ref="F5:F6"/>
    <mergeCell ref="G5:G6"/>
    <mergeCell ref="H5:H6"/>
    <mergeCell ref="J5:J6"/>
    <mergeCell ref="B5:B6"/>
    <mergeCell ref="C5:C6"/>
    <mergeCell ref="D5:D6"/>
    <mergeCell ref="E5:E6"/>
    <mergeCell ref="I5:I6"/>
    <mergeCell ref="K5:K6"/>
    <mergeCell ref="M5:M6"/>
    <mergeCell ref="N5:N6"/>
  </mergeCells>
  <conditionalFormatting sqref="R8:AB8">
    <cfRule type="cellIs" dxfId="181" priority="4" operator="lessThan">
      <formula>1</formula>
    </cfRule>
  </conditionalFormatting>
  <conditionalFormatting sqref="K1:K1048576">
    <cfRule type="cellIs" dxfId="180" priority="3" operator="equal">
      <formula>"BR08"</formula>
    </cfRule>
  </conditionalFormatting>
  <conditionalFormatting sqref="L9:L13">
    <cfRule type="cellIs" dxfId="179" priority="2" operator="greaterThan">
      <formula>0</formula>
    </cfRule>
  </conditionalFormatting>
  <conditionalFormatting sqref="L7:L8">
    <cfRule type="cellIs" dxfId="1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&amp;C&amp;"Calibri"&amp;10&amp;K737373Classification: Public&amp;1#</oddHeader>
  </headerFooter>
  <customProperties>
    <customPr name="FPMExcelClientCellBasedFunctionStatus" r:id="rId2"/>
    <customPr name="FPMExcelClientRefreshTime" r:id="rId3"/>
    <customPr name="IbpWorksheetKeyString_GUID" r:id="rId4"/>
  </customProperties>
  <drawing r:id="rId5"/>
  <legacyDrawing r:id="rId6"/>
  <controls>
    <mc:AlternateContent xmlns:mc="http://schemas.openxmlformats.org/markup-compatibility/2006">
      <mc:Choice Requires="x14">
        <control shapeId="13313" r:id="rId7" name="FPMExcelClientSheetOptions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0</xdr:row>
                <xdr:rowOff>0</xdr:rowOff>
              </to>
            </anchor>
          </controlPr>
        </control>
      </mc:Choice>
      <mc:Fallback>
        <control shapeId="13313" r:id="rId7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7B00-FE9C-469A-9389-0FF46EE4FCDE}">
  <sheetPr codeName="Planilha5">
    <tabColor rgb="FFFFC000"/>
  </sheetPr>
  <dimension ref="A1:Y37"/>
  <sheetViews>
    <sheetView showGridLines="0" zoomScale="90" zoomScaleNormal="90" workbookViewId="0">
      <pane xSplit="9" ySplit="5" topLeftCell="N6" activePane="bottomRight" state="frozen"/>
      <selection pane="topRight" activeCell="J1" sqref="J1"/>
      <selection pane="bottomLeft" activeCell="A6" sqref="A6"/>
      <selection pane="bottomRight" activeCell="Q9" sqref="Q9:X9"/>
    </sheetView>
  </sheetViews>
  <sheetFormatPr defaultColWidth="9.08984375" defaultRowHeight="12.5" x14ac:dyDescent="0.25"/>
  <cols>
    <col min="1" max="1" width="1.6328125" style="1" customWidth="1"/>
    <col min="2" max="2" width="11.453125" style="3" bestFit="1" customWidth="1"/>
    <col min="3" max="3" width="28.26953125" style="3" bestFit="1" customWidth="1"/>
    <col min="4" max="4" width="11.54296875" style="3" bestFit="1" customWidth="1"/>
    <col min="5" max="5" width="9.453125" style="3" customWidth="1"/>
    <col min="6" max="6" width="13.6328125" style="3" bestFit="1" customWidth="1"/>
    <col min="7" max="7" width="6.6328125" style="3" bestFit="1" customWidth="1"/>
    <col min="8" max="8" width="6.6328125" style="2" bestFit="1" customWidth="1"/>
    <col min="9" max="9" width="10.26953125" style="2" customWidth="1"/>
    <col min="10" max="10" width="5.26953125" style="2" bestFit="1" customWidth="1"/>
    <col min="11" max="11" width="9.36328125" style="2" bestFit="1" customWidth="1"/>
    <col min="12" max="12" width="8.54296875" style="2" bestFit="1" customWidth="1"/>
    <col min="13" max="13" width="15.1796875" style="2" bestFit="1" customWidth="1"/>
    <col min="14" max="14" width="17.7265625" style="2" bestFit="1" customWidth="1"/>
    <col min="15" max="15" width="10.08984375" style="2" bestFit="1" customWidth="1"/>
    <col min="16" max="16" width="4.453125" style="1" customWidth="1"/>
    <col min="17" max="17" width="15.1796875" style="1" bestFit="1" customWidth="1"/>
    <col min="18" max="18" width="9.08984375" style="1" hidden="1" customWidth="1"/>
    <col min="19" max="19" width="11.08984375" style="1" hidden="1" customWidth="1"/>
    <col min="20" max="20" width="13.7265625" style="1" hidden="1" customWidth="1"/>
    <col min="21" max="21" width="11.08984375" style="1" hidden="1" customWidth="1"/>
    <col min="22" max="22" width="10" style="1" bestFit="1" customWidth="1"/>
    <col min="23" max="23" width="9.08984375" style="1" customWidth="1"/>
    <col min="24" max="24" width="10.1796875" style="1" bestFit="1" customWidth="1"/>
    <col min="25" max="16384" width="9.08984375" style="1"/>
  </cols>
  <sheetData>
    <row r="1" spans="1:24" x14ac:dyDescent="0.25">
      <c r="A1" s="179" t="s">
        <v>309</v>
      </c>
    </row>
    <row r="2" spans="1:24" ht="17" x14ac:dyDescent="0.25">
      <c r="B2" s="222">
        <f ca="1">DATE(YEAR(TODAY()),MONTH(TODAY()),1)</f>
        <v>44470</v>
      </c>
      <c r="C2" s="49"/>
    </row>
    <row r="3" spans="1:24" ht="13" thickBot="1" x14ac:dyDescent="0.3">
      <c r="E3" s="18"/>
      <c r="R3" s="19"/>
      <c r="S3" s="19"/>
      <c r="T3" s="19"/>
      <c r="U3" s="19"/>
      <c r="V3" s="19"/>
      <c r="W3" s="19"/>
      <c r="X3" s="19"/>
    </row>
    <row r="4" spans="1:24" ht="15" customHeight="1" thickBot="1" x14ac:dyDescent="0.3">
      <c r="B4" s="311" t="s">
        <v>4</v>
      </c>
      <c r="C4" s="313" t="s">
        <v>3</v>
      </c>
      <c r="D4" s="315" t="s">
        <v>2</v>
      </c>
      <c r="E4" s="307" t="s">
        <v>12</v>
      </c>
      <c r="F4" s="307" t="s">
        <v>13</v>
      </c>
      <c r="G4" s="307" t="s">
        <v>14</v>
      </c>
      <c r="H4" s="307" t="s">
        <v>15</v>
      </c>
      <c r="I4" s="307" t="s">
        <v>295</v>
      </c>
      <c r="J4" s="309" t="s">
        <v>240</v>
      </c>
      <c r="K4" s="309" t="s">
        <v>288</v>
      </c>
      <c r="L4" s="305" t="s">
        <v>308</v>
      </c>
      <c r="M4" s="309" t="s">
        <v>250</v>
      </c>
      <c r="N4" s="309" t="s">
        <v>251</v>
      </c>
      <c r="O4" s="305" t="s">
        <v>259</v>
      </c>
      <c r="R4" s="163"/>
      <c r="S4" s="230"/>
      <c r="T4" s="163"/>
      <c r="U4" s="163"/>
      <c r="V4" s="163"/>
      <c r="W4" s="163"/>
      <c r="X4" s="163"/>
    </row>
    <row r="5" spans="1:24" ht="15" customHeight="1" thickBot="1" x14ac:dyDescent="0.3">
      <c r="B5" s="312"/>
      <c r="C5" s="314"/>
      <c r="D5" s="316"/>
      <c r="E5" s="308"/>
      <c r="F5" s="308"/>
      <c r="G5" s="308" t="s">
        <v>1</v>
      </c>
      <c r="H5" s="308" t="s">
        <v>1</v>
      </c>
      <c r="I5" s="308"/>
      <c r="J5" s="310"/>
      <c r="K5" s="310"/>
      <c r="L5" s="322"/>
      <c r="M5" s="317"/>
      <c r="N5" s="317"/>
      <c r="O5" s="306"/>
      <c r="R5" s="164">
        <v>44348</v>
      </c>
      <c r="S5" s="165">
        <v>44378</v>
      </c>
      <c r="T5" s="165">
        <v>44409</v>
      </c>
      <c r="U5" s="165">
        <v>44440</v>
      </c>
      <c r="V5" s="165">
        <v>44470</v>
      </c>
      <c r="W5" s="165">
        <v>44501</v>
      </c>
      <c r="X5" s="166">
        <v>44531</v>
      </c>
    </row>
    <row r="6" spans="1:24" ht="13.5" thickBot="1" x14ac:dyDescent="0.3">
      <c r="B6" s="296" t="s">
        <v>10</v>
      </c>
      <c r="C6" s="31" t="s">
        <v>11</v>
      </c>
      <c r="D6" s="124" t="s">
        <v>298</v>
      </c>
      <c r="E6" s="114">
        <v>956</v>
      </c>
      <c r="F6" s="142">
        <v>44865</v>
      </c>
      <c r="G6" s="8">
        <f ca="1">TODAY()-F6</f>
        <v>-381</v>
      </c>
      <c r="H6" s="147">
        <f ca="1">G6/30</f>
        <v>-12.7</v>
      </c>
      <c r="I6" s="7">
        <f>F6-30*9</f>
        <v>44595</v>
      </c>
      <c r="J6" s="143">
        <v>0</v>
      </c>
      <c r="K6" s="174" t="s">
        <v>258</v>
      </c>
      <c r="L6" s="30"/>
      <c r="M6" s="8"/>
      <c r="N6" s="8"/>
      <c r="O6" s="22"/>
      <c r="Q6" s="172" t="s">
        <v>303</v>
      </c>
      <c r="R6" s="168">
        <f>E7+C7</f>
        <v>651</v>
      </c>
      <c r="S6" s="169">
        <v>1789</v>
      </c>
      <c r="T6" s="169">
        <v>1475</v>
      </c>
      <c r="U6" s="169">
        <v>1110</v>
      </c>
      <c r="V6" s="169">
        <v>974</v>
      </c>
      <c r="W6" s="169">
        <f ca="1">V10</f>
        <v>633</v>
      </c>
      <c r="X6" s="169">
        <f ca="1">W10</f>
        <v>846</v>
      </c>
    </row>
    <row r="7" spans="1:24" ht="13.5" thickBot="1" x14ac:dyDescent="0.3">
      <c r="B7" s="20" t="s">
        <v>22</v>
      </c>
      <c r="C7" s="32">
        <f>SUMIF(Venda!$A:$A,$B6,Venda!$I:$I)*-1</f>
        <v>38</v>
      </c>
      <c r="D7" s="292" t="s">
        <v>298</v>
      </c>
      <c r="E7" s="293">
        <v>613</v>
      </c>
      <c r="F7" s="219">
        <v>44865</v>
      </c>
      <c r="G7" s="11">
        <f ca="1">TODAY()-F7</f>
        <v>-381</v>
      </c>
      <c r="H7" s="208">
        <f ca="1">G7/30</f>
        <v>-12.7</v>
      </c>
      <c r="I7" s="10">
        <f>F7-30*9</f>
        <v>44595</v>
      </c>
      <c r="J7" s="143"/>
      <c r="K7" s="174"/>
      <c r="L7" s="30"/>
      <c r="M7" s="51"/>
      <c r="N7" s="51"/>
      <c r="O7" s="22"/>
      <c r="Q7" s="172" t="s">
        <v>304</v>
      </c>
      <c r="R7" s="170">
        <f t="shared" ref="R7:X7" si="0">R6/R8</f>
        <v>2.9457013574660635</v>
      </c>
      <c r="S7" s="170">
        <f t="shared" si="0"/>
        <v>5.6974522292993628</v>
      </c>
      <c r="T7" s="170">
        <f t="shared" si="0"/>
        <v>4.0410958904109586</v>
      </c>
      <c r="U7" s="170">
        <f t="shared" si="0"/>
        <v>8.8095238095238102</v>
      </c>
      <c r="V7" s="170">
        <f t="shared" si="0"/>
        <v>2.8563049853372435</v>
      </c>
      <c r="W7" s="170">
        <f t="shared" ca="1" si="0"/>
        <v>1.5825</v>
      </c>
      <c r="X7" s="170">
        <f t="shared" ca="1" si="0"/>
        <v>2.0142857142857142</v>
      </c>
    </row>
    <row r="8" spans="1:24" ht="13.5" thickBot="1" x14ac:dyDescent="0.3">
      <c r="B8" s="20" t="s">
        <v>24</v>
      </c>
      <c r="C8" s="32">
        <f>C9-C7</f>
        <v>-38</v>
      </c>
      <c r="D8" s="138"/>
      <c r="E8" s="175"/>
      <c r="F8" s="176"/>
      <c r="G8" s="138"/>
      <c r="H8" s="146"/>
      <c r="I8" s="146"/>
      <c r="J8" s="146"/>
      <c r="K8" s="146"/>
      <c r="L8" s="30"/>
      <c r="M8" s="51"/>
      <c r="N8" s="51"/>
      <c r="O8" s="22"/>
      <c r="Q8" s="172" t="s">
        <v>302</v>
      </c>
      <c r="R8" s="167">
        <f>INDEX(Forecast!$E$3:$AB$25,MATCH($B6,Forecast!$A$3:$A$25,0),MATCH(R$5,Forecast!$E$2:$AB$2,0))</f>
        <v>221</v>
      </c>
      <c r="S8" s="167">
        <f>INDEX(Forecast!$E$3:$AB$25,MATCH($B6,Forecast!$A$3:$A$25,0),MATCH(S$5,Forecast!$E$2:$AB$2,0))</f>
        <v>314</v>
      </c>
      <c r="T8" s="167">
        <f>INDEX(Forecast!$E$3:$AB$25,MATCH($B6,Forecast!$A$3:$A$25,0),MATCH(T$5,Forecast!$E$2:$AB$2,0))</f>
        <v>365</v>
      </c>
      <c r="U8" s="167">
        <f>INDEX(Forecast!$E$3:$AB$25,MATCH($B6,Forecast!$A$3:$A$25,0),MATCH(U$5,Forecast!$E$2:$AB$2,0))</f>
        <v>126</v>
      </c>
      <c r="V8" s="167">
        <f>INDEX(Forecast!$E$3:$AB$25,MATCH($B6,Forecast!$A$3:$A$25,0),MATCH(V$5,Forecast!$E$2:$AB$2,0))</f>
        <v>341</v>
      </c>
      <c r="W8" s="167">
        <f>INDEX(Forecast!$E$3:$AB$25,MATCH($B6,Forecast!$A$3:$A$25,0),MATCH(W$5,Forecast!$E$2:$AB$2,0))</f>
        <v>400</v>
      </c>
      <c r="X8" s="167">
        <f>INDEX(Forecast!$E$3:$AB$25,MATCH($B6,Forecast!$A$3:$A$25,0),MATCH(X$5,Forecast!$E$2:$AB$2,0))</f>
        <v>420</v>
      </c>
    </row>
    <row r="9" spans="1:24" ht="13.5" thickBot="1" x14ac:dyDescent="0.3">
      <c r="B9" s="20" t="s">
        <v>260</v>
      </c>
      <c r="C9" s="32">
        <f>VLOOKUP($B6,Colocado!$A:$C,3,0)</f>
        <v>0</v>
      </c>
      <c r="D9" s="138"/>
      <c r="E9" s="175"/>
      <c r="F9" s="142"/>
      <c r="G9" s="138"/>
      <c r="H9" s="146"/>
      <c r="I9" s="146"/>
      <c r="J9" s="146"/>
      <c r="K9" s="146"/>
      <c r="L9" s="30"/>
      <c r="M9" s="51"/>
      <c r="N9" s="51"/>
      <c r="O9" s="24"/>
      <c r="P9" s="14"/>
      <c r="Q9" s="172" t="s">
        <v>305</v>
      </c>
      <c r="R9" s="168">
        <f>E6</f>
        <v>956</v>
      </c>
      <c r="S9" s="168">
        <v>0</v>
      </c>
      <c r="T9" s="168">
        <v>0</v>
      </c>
      <c r="U9" s="168"/>
      <c r="V9" s="168"/>
      <c r="W9" s="168">
        <v>613</v>
      </c>
      <c r="X9" s="168">
        <v>202</v>
      </c>
    </row>
    <row r="10" spans="1:24" ht="13.5" thickBot="1" x14ac:dyDescent="0.35">
      <c r="B10" s="21"/>
      <c r="C10" s="161"/>
      <c r="E10" s="18"/>
      <c r="F10" s="50"/>
      <c r="G10" s="8"/>
      <c r="H10" s="66"/>
      <c r="I10" s="66"/>
      <c r="J10" s="51"/>
      <c r="K10" s="51"/>
      <c r="L10" s="30"/>
      <c r="M10" s="51"/>
      <c r="N10" s="51"/>
      <c r="O10" s="24"/>
      <c r="P10" s="14"/>
      <c r="Q10" s="172" t="s">
        <v>306</v>
      </c>
      <c r="R10" s="171">
        <f ca="1">IF(R$5=$B$2,IF($C9&lt;R8,R6+R9-R8,R6+R9-$C9),R6+R9-R8)</f>
        <v>1386</v>
      </c>
      <c r="S10" s="171">
        <f t="shared" ref="S10:X10" ca="1" si="1">IF(S$5=$B$2,IF($C7&lt;S8,S6+S9-S8,S6+S9-$C7),S6+S9-S8)</f>
        <v>1475</v>
      </c>
      <c r="T10" s="171">
        <f t="shared" ca="1" si="1"/>
        <v>1110</v>
      </c>
      <c r="U10" s="171">
        <f t="shared" ca="1" si="1"/>
        <v>984</v>
      </c>
      <c r="V10" s="171">
        <f t="shared" ca="1" si="1"/>
        <v>633</v>
      </c>
      <c r="W10" s="171">
        <f t="shared" ca="1" si="1"/>
        <v>846</v>
      </c>
      <c r="X10" s="171">
        <f t="shared" ca="1" si="1"/>
        <v>628</v>
      </c>
    </row>
    <row r="11" spans="1:24" ht="13.5" thickBot="1" x14ac:dyDescent="0.3">
      <c r="B11" s="21"/>
      <c r="C11" s="161"/>
      <c r="E11" s="18"/>
      <c r="F11" s="50"/>
      <c r="H11" s="51"/>
      <c r="I11" s="51"/>
      <c r="J11" s="51"/>
      <c r="K11" s="51"/>
      <c r="L11" s="30"/>
      <c r="M11" s="51"/>
      <c r="N11" s="51"/>
      <c r="O11" s="24"/>
      <c r="P11" s="14"/>
      <c r="Q11" s="172" t="s">
        <v>307</v>
      </c>
      <c r="R11" s="170">
        <f t="shared" ref="R11:W11" ca="1" si="2">R10/S8</f>
        <v>4.4140127388535033</v>
      </c>
      <c r="S11" s="170">
        <f t="shared" ca="1" si="2"/>
        <v>4.0410958904109586</v>
      </c>
      <c r="T11" s="170">
        <f t="shared" ca="1" si="2"/>
        <v>8.8095238095238102</v>
      </c>
      <c r="U11" s="170">
        <f t="shared" ca="1" si="2"/>
        <v>2.8856304985337244</v>
      </c>
      <c r="V11" s="170">
        <f t="shared" ca="1" si="2"/>
        <v>1.5825</v>
      </c>
      <c r="W11" s="170">
        <f t="shared" ca="1" si="2"/>
        <v>2.0142857142857142</v>
      </c>
      <c r="X11" s="170" t="e">
        <f ca="1">X10/Y6</f>
        <v>#DIV/0!</v>
      </c>
    </row>
    <row r="12" spans="1:24" ht="13" x14ac:dyDescent="0.25">
      <c r="B12" s="21"/>
      <c r="C12" s="161"/>
      <c r="E12" s="18"/>
      <c r="F12" s="50"/>
      <c r="H12" s="51"/>
      <c r="I12" s="51"/>
      <c r="J12" s="51"/>
      <c r="K12" s="51"/>
      <c r="L12" s="30"/>
      <c r="M12" s="51"/>
      <c r="N12" s="51"/>
      <c r="O12" s="24"/>
      <c r="P12" s="14"/>
      <c r="V12" s="19"/>
    </row>
    <row r="13" spans="1:24" ht="13.5" thickBot="1" x14ac:dyDescent="0.3">
      <c r="B13" s="154"/>
      <c r="C13" s="162"/>
      <c r="D13" s="155"/>
      <c r="E13" s="156"/>
      <c r="F13" s="157"/>
      <c r="G13" s="155"/>
      <c r="H13" s="158"/>
      <c r="I13" s="158"/>
      <c r="J13" s="158"/>
      <c r="K13" s="158"/>
      <c r="L13" s="159"/>
      <c r="M13" s="158"/>
      <c r="N13" s="158"/>
      <c r="O13" s="159"/>
      <c r="P13" s="14"/>
      <c r="Q13" s="14"/>
      <c r="R13" s="112"/>
      <c r="S13" s="47"/>
      <c r="U13" s="108"/>
      <c r="V13" s="108"/>
      <c r="W13" s="47"/>
    </row>
    <row r="15" spans="1:24" ht="13.5" thickBot="1" x14ac:dyDescent="0.35">
      <c r="G15" s="18"/>
      <c r="T15" s="47"/>
      <c r="X15" s="251"/>
    </row>
    <row r="16" spans="1:24" ht="15" customHeight="1" thickBot="1" x14ac:dyDescent="0.3">
      <c r="B16" s="311" t="s">
        <v>4</v>
      </c>
      <c r="C16" s="313" t="s">
        <v>3</v>
      </c>
      <c r="D16" s="315" t="s">
        <v>2</v>
      </c>
      <c r="E16" s="307" t="s">
        <v>12</v>
      </c>
      <c r="F16" s="307" t="s">
        <v>13</v>
      </c>
      <c r="G16" s="307" t="s">
        <v>14</v>
      </c>
      <c r="H16" s="307" t="s">
        <v>15</v>
      </c>
      <c r="I16" s="307" t="s">
        <v>295</v>
      </c>
      <c r="J16" s="309" t="s">
        <v>240</v>
      </c>
      <c r="K16" s="309" t="s">
        <v>288</v>
      </c>
      <c r="L16" s="305" t="s">
        <v>308</v>
      </c>
      <c r="M16" s="309" t="s">
        <v>250</v>
      </c>
      <c r="N16" s="309" t="s">
        <v>251</v>
      </c>
      <c r="O16" s="305" t="s">
        <v>259</v>
      </c>
      <c r="P16" s="19"/>
      <c r="R16" s="163"/>
      <c r="S16" s="238"/>
      <c r="T16" s="248"/>
      <c r="U16" s="248"/>
      <c r="V16" s="248"/>
      <c r="W16" s="248"/>
      <c r="X16" s="248"/>
    </row>
    <row r="17" spans="2:25" ht="15" customHeight="1" thickBot="1" x14ac:dyDescent="0.3">
      <c r="B17" s="312"/>
      <c r="C17" s="314"/>
      <c r="D17" s="316"/>
      <c r="E17" s="308"/>
      <c r="F17" s="308"/>
      <c r="G17" s="308" t="s">
        <v>1</v>
      </c>
      <c r="H17" s="308" t="s">
        <v>1</v>
      </c>
      <c r="I17" s="308"/>
      <c r="J17" s="310"/>
      <c r="K17" s="310"/>
      <c r="L17" s="322"/>
      <c r="M17" s="317"/>
      <c r="N17" s="317"/>
      <c r="O17" s="306"/>
      <c r="P17" s="19"/>
      <c r="R17" s="164">
        <v>44348</v>
      </c>
      <c r="S17" s="165">
        <v>44378</v>
      </c>
      <c r="T17" s="165">
        <v>44409</v>
      </c>
      <c r="U17" s="165">
        <v>44440</v>
      </c>
      <c r="V17" s="165">
        <v>44470</v>
      </c>
      <c r="W17" s="165">
        <v>44501</v>
      </c>
      <c r="X17" s="166">
        <v>44531</v>
      </c>
      <c r="Y17" s="165">
        <v>44562</v>
      </c>
    </row>
    <row r="18" spans="2:25" ht="13.5" thickBot="1" x14ac:dyDescent="0.3">
      <c r="B18" s="296" t="s">
        <v>6</v>
      </c>
      <c r="C18" s="31" t="s">
        <v>7</v>
      </c>
      <c r="D18" s="123" t="s">
        <v>316</v>
      </c>
      <c r="E18" s="126">
        <v>337</v>
      </c>
      <c r="F18" s="125">
        <v>44865</v>
      </c>
      <c r="G18" s="8">
        <f t="shared" ref="G18:G23" ca="1" si="3">TODAY()-F18</f>
        <v>-381</v>
      </c>
      <c r="H18" s="147">
        <f t="shared" ref="H18:H23" ca="1" si="4">G18/30</f>
        <v>-12.7</v>
      </c>
      <c r="I18" s="7">
        <f t="shared" ref="I18:I23" si="5">F18-30*9</f>
        <v>44595</v>
      </c>
      <c r="J18" s="184">
        <v>0</v>
      </c>
      <c r="K18" s="174" t="s">
        <v>258</v>
      </c>
      <c r="L18" s="30"/>
      <c r="M18" s="8"/>
      <c r="N18" s="198"/>
      <c r="O18" s="197"/>
      <c r="Q18" s="172" t="s">
        <v>303</v>
      </c>
      <c r="R18" s="169" t="e">
        <f>SUM(#REF!)+C19</f>
        <v>#REF!</v>
      </c>
      <c r="S18" s="169">
        <v>5318</v>
      </c>
      <c r="T18" s="169">
        <v>3635</v>
      </c>
      <c r="U18" s="169">
        <v>2993</v>
      </c>
      <c r="V18" s="169">
        <v>3619</v>
      </c>
      <c r="W18" s="169">
        <f ca="1">V22</f>
        <v>4314</v>
      </c>
      <c r="X18" s="169">
        <f ca="1">W22</f>
        <v>1713</v>
      </c>
      <c r="Y18" s="169">
        <f ca="1">X22</f>
        <v>1909</v>
      </c>
    </row>
    <row r="19" spans="2:25" ht="13.5" thickBot="1" x14ac:dyDescent="0.3">
      <c r="B19" s="20" t="s">
        <v>22</v>
      </c>
      <c r="C19" s="32">
        <f>SUMIF(Venda!$A:$A,$B18,Venda!$I:$I)*-1</f>
        <v>877</v>
      </c>
      <c r="D19" s="59" t="s">
        <v>334</v>
      </c>
      <c r="E19" s="126">
        <v>1010</v>
      </c>
      <c r="F19" s="125">
        <v>44865</v>
      </c>
      <c r="G19" s="8">
        <f t="shared" ca="1" si="3"/>
        <v>-381</v>
      </c>
      <c r="H19" s="147">
        <f t="shared" ca="1" si="4"/>
        <v>-12.7</v>
      </c>
      <c r="I19" s="7">
        <f t="shared" si="5"/>
        <v>44595</v>
      </c>
      <c r="J19" s="184">
        <v>3</v>
      </c>
      <c r="K19" s="184" t="s">
        <v>255</v>
      </c>
      <c r="L19" s="30"/>
      <c r="M19" s="198"/>
      <c r="N19" s="198"/>
      <c r="O19" s="197"/>
      <c r="Q19" s="172" t="s">
        <v>304</v>
      </c>
      <c r="R19" s="170" t="e">
        <f t="shared" ref="R19:X19" si="6">R18/R20</f>
        <v>#REF!</v>
      </c>
      <c r="S19" s="170">
        <f t="shared" si="6"/>
        <v>3.1598336304218657</v>
      </c>
      <c r="T19" s="170">
        <f t="shared" si="6"/>
        <v>2.2030303030303031</v>
      </c>
      <c r="U19" s="170">
        <f t="shared" si="6"/>
        <v>1.497997997997998</v>
      </c>
      <c r="V19" s="170">
        <f t="shared" si="6"/>
        <v>1.5432835820895523</v>
      </c>
      <c r="W19" s="170">
        <f t="shared" ca="1" si="6"/>
        <v>1.6585928489042676</v>
      </c>
      <c r="X19" s="170">
        <f t="shared" ca="1" si="6"/>
        <v>0.74348958333333337</v>
      </c>
      <c r="Y19" s="170">
        <f t="shared" ref="Y19" ca="1" si="7">Y18/Y20</f>
        <v>1.000524109014675</v>
      </c>
    </row>
    <row r="20" spans="2:25" ht="13.5" thickBot="1" x14ac:dyDescent="0.3">
      <c r="B20" s="20" t="s">
        <v>24</v>
      </c>
      <c r="C20" s="32">
        <f>C21-C19</f>
        <v>-877</v>
      </c>
      <c r="D20" s="59" t="s">
        <v>315</v>
      </c>
      <c r="E20" s="126">
        <v>2020</v>
      </c>
      <c r="F20" s="125">
        <v>44865</v>
      </c>
      <c r="G20" s="8">
        <f t="shared" ca="1" si="3"/>
        <v>-381</v>
      </c>
      <c r="H20" s="147">
        <f t="shared" ca="1" si="4"/>
        <v>-12.7</v>
      </c>
      <c r="I20" s="7">
        <f t="shared" si="5"/>
        <v>44595</v>
      </c>
      <c r="J20" s="184">
        <v>3</v>
      </c>
      <c r="K20" s="184" t="s">
        <v>255</v>
      </c>
      <c r="L20" s="30"/>
      <c r="M20" s="198"/>
      <c r="N20" s="198"/>
      <c r="O20" s="197"/>
      <c r="Q20" s="172" t="s">
        <v>302</v>
      </c>
      <c r="R20" s="195">
        <f>INDEX(Forecast!$E$3:$AB$25,MATCH($B18,Forecast!$A$3:$A$25,0),MATCH(R$5,Forecast!$E$2:$AB$2,0))</f>
        <v>1880</v>
      </c>
      <c r="S20" s="195">
        <f>INDEX(Forecast!$E$3:$AB$25,MATCH($B18,Forecast!$A$3:$A$25,0),MATCH(S$5,Forecast!$E$2:$AB$2,0))</f>
        <v>1683</v>
      </c>
      <c r="T20" s="195">
        <f>INDEX(Forecast!$E$3:$AB$25,MATCH($B18,Forecast!$A$3:$A$25,0),MATCH(T$5,Forecast!$E$2:$AB$2,0))</f>
        <v>1650</v>
      </c>
      <c r="U20" s="195">
        <f>INDEX(Forecast!$E$3:$AB$25,MATCH($B18,Forecast!$A$3:$A$25,0),MATCH(U$17,Forecast!$E$2:$AB$2,0))</f>
        <v>1998</v>
      </c>
      <c r="V20" s="195">
        <f>INDEX(Forecast!$E$3:$AB$25,MATCH($B18,Forecast!$A$3:$A$25,0),MATCH(V$17,Forecast!$E$2:$AB$2,0))</f>
        <v>2345</v>
      </c>
      <c r="W20" s="195">
        <f>INDEX(Forecast!$E$3:$AB$25,MATCH($B18,Forecast!$A$3:$A$25,0),MATCH(W$17,Forecast!$E$2:$AB$2,0))</f>
        <v>2601</v>
      </c>
      <c r="X20" s="195">
        <f>INDEX(Forecast!$E$3:$AB$25,MATCH($B18,Forecast!$A$3:$A$25,0),MATCH(X$17,Forecast!$E$2:$AB$2,0))</f>
        <v>2304</v>
      </c>
      <c r="Y20" s="195">
        <f>INDEX(Forecast!$E$3:$AB$25,MATCH($B18,Forecast!$A$3:$A$25,0),MATCH(Y$17,Forecast!$E$2:$AB$2,0))</f>
        <v>1908</v>
      </c>
    </row>
    <row r="21" spans="2:25" ht="13.5" thickBot="1" x14ac:dyDescent="0.3">
      <c r="B21" s="20" t="s">
        <v>260</v>
      </c>
      <c r="C21" s="32">
        <f>VLOOKUP($B18,Colocado!$A:$C,3,0)</f>
        <v>0</v>
      </c>
      <c r="D21" s="59" t="s">
        <v>341</v>
      </c>
      <c r="E21" s="126">
        <v>2330</v>
      </c>
      <c r="F21" s="125">
        <v>44985</v>
      </c>
      <c r="G21" s="8">
        <f t="shared" ca="1" si="3"/>
        <v>-501</v>
      </c>
      <c r="H21" s="147">
        <f t="shared" ca="1" si="4"/>
        <v>-16.7</v>
      </c>
      <c r="I21" s="7">
        <f t="shared" si="5"/>
        <v>44715</v>
      </c>
      <c r="J21" s="184">
        <v>0</v>
      </c>
      <c r="K21" s="174" t="s">
        <v>258</v>
      </c>
      <c r="L21" s="30"/>
      <c r="M21" s="198"/>
      <c r="N21" s="198"/>
      <c r="O21" s="197"/>
      <c r="P21" s="14"/>
      <c r="Q21" s="172" t="s">
        <v>305</v>
      </c>
      <c r="R21" s="169">
        <f>E18</f>
        <v>337</v>
      </c>
      <c r="S21" s="169"/>
      <c r="T21" s="168">
        <v>1008</v>
      </c>
      <c r="U21" s="168"/>
      <c r="V21" s="168">
        <f>2330+710</f>
        <v>3040</v>
      </c>
      <c r="W21" s="168"/>
      <c r="X21" s="168">
        <v>2500</v>
      </c>
      <c r="Y21" s="168">
        <v>2501</v>
      </c>
    </row>
    <row r="22" spans="2:25" ht="13.5" thickBot="1" x14ac:dyDescent="0.3">
      <c r="B22" s="21"/>
      <c r="C22" s="161"/>
      <c r="D22" s="59" t="s">
        <v>376</v>
      </c>
      <c r="E22" s="126">
        <v>2624</v>
      </c>
      <c r="F22" s="125">
        <v>44985</v>
      </c>
      <c r="G22" s="8">
        <f t="shared" ca="1" si="3"/>
        <v>-501</v>
      </c>
      <c r="H22" s="147">
        <f t="shared" ca="1" si="4"/>
        <v>-16.7</v>
      </c>
      <c r="I22" s="7">
        <f t="shared" si="5"/>
        <v>44715</v>
      </c>
      <c r="J22" s="184">
        <v>0</v>
      </c>
      <c r="K22" s="174" t="s">
        <v>258</v>
      </c>
      <c r="L22" s="24"/>
      <c r="M22" s="209"/>
      <c r="N22" s="209"/>
      <c r="O22" s="210"/>
      <c r="P22" s="14"/>
      <c r="Q22" s="172" t="s">
        <v>306</v>
      </c>
      <c r="R22" s="169" t="e">
        <f ca="1">IF(R$5=$B$2,IF($C21&lt;R20,R18+R21-R20,R18+R21-$C21),R18+R21-R20)</f>
        <v>#REF!</v>
      </c>
      <c r="S22" s="169">
        <f t="shared" ref="S22:X22" ca="1" si="8">IF(S$5=$B$2,IF($C19&lt;S20,S18+S21-S20,S18+S21-$C19),S18+S21-S20)</f>
        <v>3635</v>
      </c>
      <c r="T22" s="171">
        <f t="shared" ca="1" si="8"/>
        <v>2993</v>
      </c>
      <c r="U22" s="171">
        <f t="shared" ca="1" si="8"/>
        <v>995</v>
      </c>
      <c r="V22" s="171">
        <f t="shared" ca="1" si="8"/>
        <v>4314</v>
      </c>
      <c r="W22" s="171">
        <f t="shared" ca="1" si="8"/>
        <v>1713</v>
      </c>
      <c r="X22" s="171">
        <f t="shared" ca="1" si="8"/>
        <v>1909</v>
      </c>
      <c r="Y22" s="171">
        <f t="shared" ref="Y22" ca="1" si="9">IF(Y$5=$B$2,IF($C19&lt;Y20,Y18+Y21-Y20,Y18+Y21-$C19),Y18+Y21-Y20)</f>
        <v>2502</v>
      </c>
    </row>
    <row r="23" spans="2:25" ht="13.5" thickBot="1" x14ac:dyDescent="0.3">
      <c r="B23" s="21"/>
      <c r="C23" s="161"/>
      <c r="D23" s="59" t="s">
        <v>315</v>
      </c>
      <c r="E23" s="126">
        <v>710</v>
      </c>
      <c r="F23" s="125">
        <v>44865</v>
      </c>
      <c r="G23" s="8">
        <f t="shared" ca="1" si="3"/>
        <v>-381</v>
      </c>
      <c r="H23" s="147">
        <f t="shared" ca="1" si="4"/>
        <v>-12.7</v>
      </c>
      <c r="I23" s="7">
        <f t="shared" si="5"/>
        <v>44595</v>
      </c>
      <c r="J23" s="184">
        <v>4</v>
      </c>
      <c r="K23" s="184" t="s">
        <v>255</v>
      </c>
      <c r="L23" s="24"/>
      <c r="M23" s="209"/>
      <c r="N23" s="209"/>
      <c r="O23" s="210"/>
      <c r="P23" s="14"/>
      <c r="Q23" s="172" t="s">
        <v>307</v>
      </c>
      <c r="R23" s="170" t="e">
        <f t="shared" ref="R23:W23" ca="1" si="10">R22/S20</f>
        <v>#REF!</v>
      </c>
      <c r="S23" s="170">
        <f t="shared" ca="1" si="10"/>
        <v>2.2030303030303031</v>
      </c>
      <c r="T23" s="170">
        <f t="shared" ca="1" si="10"/>
        <v>1.497997997997998</v>
      </c>
      <c r="U23" s="170">
        <f t="shared" ca="1" si="10"/>
        <v>0.42430703624733473</v>
      </c>
      <c r="V23" s="170">
        <f t="shared" ca="1" si="10"/>
        <v>1.6585928489042676</v>
      </c>
      <c r="W23" s="170">
        <f t="shared" ca="1" si="10"/>
        <v>0.74348958333333337</v>
      </c>
      <c r="X23" s="170">
        <f ca="1">X22/Y18</f>
        <v>1</v>
      </c>
      <c r="Y23" s="170" t="e">
        <f ca="1">Y22/Z18</f>
        <v>#DIV/0!</v>
      </c>
    </row>
    <row r="24" spans="2:25" ht="13" x14ac:dyDescent="0.25">
      <c r="B24" s="21"/>
      <c r="C24" s="161"/>
      <c r="L24" s="30"/>
      <c r="O24" s="197"/>
      <c r="P24" s="14"/>
      <c r="Q24" s="294" t="s">
        <v>481</v>
      </c>
      <c r="T24" s="19"/>
      <c r="U24" s="82"/>
    </row>
    <row r="25" spans="2:25" ht="13.5" thickBot="1" x14ac:dyDescent="0.3">
      <c r="B25" s="154"/>
      <c r="C25" s="162"/>
      <c r="D25" s="155"/>
      <c r="E25" s="156"/>
      <c r="F25" s="157"/>
      <c r="G25" s="155"/>
      <c r="H25" s="158"/>
      <c r="I25" s="158"/>
      <c r="J25" s="158"/>
      <c r="K25" s="158"/>
      <c r="L25" s="159"/>
      <c r="M25" s="158"/>
      <c r="N25" s="158"/>
      <c r="O25" s="159"/>
      <c r="P25" s="14"/>
      <c r="Q25" s="14"/>
      <c r="R25" s="112"/>
      <c r="S25" s="108"/>
      <c r="T25" s="47"/>
      <c r="U25" s="108"/>
      <c r="V25" s="108"/>
      <c r="W25" s="47"/>
    </row>
    <row r="27" spans="2:25" ht="13.5" thickBot="1" x14ac:dyDescent="0.35">
      <c r="T27" s="47"/>
      <c r="X27" s="251"/>
    </row>
    <row r="28" spans="2:25" ht="15" customHeight="1" thickBot="1" x14ac:dyDescent="0.3">
      <c r="B28" s="311" t="s">
        <v>4</v>
      </c>
      <c r="C28" s="313" t="s">
        <v>3</v>
      </c>
      <c r="D28" s="315" t="s">
        <v>2</v>
      </c>
      <c r="E28" s="307" t="s">
        <v>12</v>
      </c>
      <c r="F28" s="307" t="s">
        <v>13</v>
      </c>
      <c r="G28" s="307" t="s">
        <v>14</v>
      </c>
      <c r="H28" s="307" t="s">
        <v>15</v>
      </c>
      <c r="I28" s="307" t="s">
        <v>295</v>
      </c>
      <c r="J28" s="309" t="s">
        <v>240</v>
      </c>
      <c r="K28" s="309" t="s">
        <v>288</v>
      </c>
      <c r="L28" s="305" t="s">
        <v>308</v>
      </c>
      <c r="M28" s="309" t="s">
        <v>250</v>
      </c>
      <c r="N28" s="309" t="s">
        <v>251</v>
      </c>
      <c r="O28" s="305" t="s">
        <v>259</v>
      </c>
      <c r="R28" s="163"/>
      <c r="S28" s="238"/>
      <c r="T28" s="248"/>
      <c r="U28" s="248"/>
      <c r="V28" s="248"/>
      <c r="W28" s="248"/>
      <c r="X28" s="248"/>
    </row>
    <row r="29" spans="2:25" ht="15" customHeight="1" thickBot="1" x14ac:dyDescent="0.3">
      <c r="B29" s="312"/>
      <c r="C29" s="314"/>
      <c r="D29" s="316"/>
      <c r="E29" s="308"/>
      <c r="F29" s="308"/>
      <c r="G29" s="308" t="s">
        <v>1</v>
      </c>
      <c r="H29" s="308" t="s">
        <v>1</v>
      </c>
      <c r="I29" s="308"/>
      <c r="J29" s="310"/>
      <c r="K29" s="310"/>
      <c r="L29" s="322"/>
      <c r="M29" s="317"/>
      <c r="N29" s="317"/>
      <c r="O29" s="306"/>
      <c r="R29" s="164">
        <v>44348</v>
      </c>
      <c r="S29" s="165">
        <v>44378</v>
      </c>
      <c r="T29" s="165">
        <v>44409</v>
      </c>
      <c r="U29" s="165">
        <v>44440</v>
      </c>
      <c r="V29" s="165">
        <v>44470</v>
      </c>
      <c r="W29" s="165">
        <v>44501</v>
      </c>
      <c r="X29" s="166">
        <v>44531</v>
      </c>
    </row>
    <row r="30" spans="2:25" ht="13.5" thickBot="1" x14ac:dyDescent="0.3">
      <c r="B30" s="296" t="s">
        <v>8</v>
      </c>
      <c r="C30" s="31" t="s">
        <v>9</v>
      </c>
      <c r="D30" s="123" t="s">
        <v>329</v>
      </c>
      <c r="E30" s="152">
        <v>1567</v>
      </c>
      <c r="F30" s="142">
        <v>45016</v>
      </c>
      <c r="G30" s="8">
        <f ca="1">TODAY()-F30</f>
        <v>-532</v>
      </c>
      <c r="H30" s="147">
        <f ca="1">G30/30</f>
        <v>-17.733333333333334</v>
      </c>
      <c r="I30" s="7">
        <f>F30-30*9</f>
        <v>44746</v>
      </c>
      <c r="J30" s="178">
        <v>0</v>
      </c>
      <c r="K30" s="174" t="s">
        <v>258</v>
      </c>
      <c r="L30" s="30"/>
      <c r="M30" s="198"/>
      <c r="N30" s="198"/>
      <c r="O30" s="197"/>
      <c r="Q30" s="172" t="s">
        <v>303</v>
      </c>
      <c r="R30" s="168">
        <f>SUM(E30:E31)+C31</f>
        <v>7531</v>
      </c>
      <c r="S30" s="169">
        <v>6253</v>
      </c>
      <c r="T30" s="169">
        <v>2292</v>
      </c>
      <c r="U30" s="169">
        <v>6342</v>
      </c>
      <c r="V30" s="169">
        <v>2393</v>
      </c>
      <c r="W30" s="169">
        <f ca="1">V34</f>
        <v>4023</v>
      </c>
      <c r="X30" s="169">
        <f ca="1">W34</f>
        <v>5234</v>
      </c>
    </row>
    <row r="31" spans="2:25" ht="13.5" thickBot="1" x14ac:dyDescent="0.3">
      <c r="B31" s="20" t="s">
        <v>22</v>
      </c>
      <c r="C31" s="32">
        <f>SUMIF(Venda!$A:$A,$B30,Venda!$I:$I)*-1</f>
        <v>1114</v>
      </c>
      <c r="D31" s="123" t="s">
        <v>469</v>
      </c>
      <c r="E31" s="152">
        <v>4850</v>
      </c>
      <c r="F31" s="142">
        <v>45046</v>
      </c>
      <c r="G31" s="8">
        <f ca="1">TODAY()-F31</f>
        <v>-562</v>
      </c>
      <c r="H31" s="147">
        <f ca="1">G31/30</f>
        <v>-18.733333333333334</v>
      </c>
      <c r="I31" s="7">
        <f>F31-30*9</f>
        <v>44776</v>
      </c>
      <c r="J31" s="178">
        <v>4</v>
      </c>
      <c r="K31" s="174" t="s">
        <v>255</v>
      </c>
      <c r="L31" s="24"/>
      <c r="M31" s="290"/>
      <c r="N31" s="290"/>
      <c r="O31" s="24"/>
      <c r="Q31" s="172" t="s">
        <v>304</v>
      </c>
      <c r="R31" s="170">
        <f t="shared" ref="R31:X31" si="11">R30/R32</f>
        <v>2.2656438026474128</v>
      </c>
      <c r="S31" s="170">
        <f t="shared" si="11"/>
        <v>1.5890724269377383</v>
      </c>
      <c r="T31" s="170">
        <f t="shared" si="11"/>
        <v>0.67411764705882349</v>
      </c>
      <c r="U31" s="170">
        <f t="shared" si="11"/>
        <v>1.6059761965054444</v>
      </c>
      <c r="V31" s="170">
        <f t="shared" si="11"/>
        <v>0.74316770186335401</v>
      </c>
      <c r="W31" s="170">
        <f t="shared" ca="1" si="11"/>
        <v>1.3334438183626118</v>
      </c>
      <c r="X31" s="170">
        <f t="shared" ca="1" si="11"/>
        <v>1.6883870967741936</v>
      </c>
    </row>
    <row r="32" spans="2:25" ht="13.5" thickBot="1" x14ac:dyDescent="0.3">
      <c r="B32" s="20" t="s">
        <v>24</v>
      </c>
      <c r="C32" s="32">
        <f>C33-C31</f>
        <v>-1114</v>
      </c>
      <c r="L32" s="30"/>
      <c r="O32" s="24"/>
      <c r="Q32" s="172" t="s">
        <v>302</v>
      </c>
      <c r="R32" s="167">
        <f>INDEX(Forecast!$E$3:$AB$25,MATCH($B30,Forecast!$A$3:$A$25,0),MATCH(R$5,Forecast!$E$2:$AB$2,0))</f>
        <v>3324</v>
      </c>
      <c r="S32" s="167">
        <f>INDEX(Forecast!$E$3:$AB$25,MATCH($B30,Forecast!$A$3:$A$25,0),MATCH(S$5,Forecast!$E$2:$AB$2,0))</f>
        <v>3935</v>
      </c>
      <c r="T32" s="167">
        <f>INDEX(Forecast!$E$3:$AB$25,MATCH($B30,Forecast!$A$3:$A$25,0),MATCH(T$5,Forecast!$E$2:$AB$2,0))</f>
        <v>3400</v>
      </c>
      <c r="U32" s="167">
        <f>INDEX(Forecast!$E$3:$AB$25,MATCH($B30,Forecast!$A$3:$A$25,0),MATCH(U$5,Forecast!$E$2:$AB$2,0))</f>
        <v>3949</v>
      </c>
      <c r="V32" s="167">
        <f>INDEX(Forecast!$E$3:$AB$25,MATCH($B30,Forecast!$A$3:$A$25,0),MATCH(V$5,Forecast!$E$2:$AB$2,0))</f>
        <v>3220</v>
      </c>
      <c r="W32" s="167">
        <f>INDEX(Forecast!$E$3:$AB$25,MATCH($B30,Forecast!$A$3:$A$25,0),MATCH(W$5,Forecast!$E$2:$AB$2,0))</f>
        <v>3017</v>
      </c>
      <c r="X32" s="167">
        <f>INDEX(Forecast!$E$3:$AB$25,MATCH($B30,Forecast!$A$3:$A$25,0),MATCH(X$5,Forecast!$E$2:$AB$2,0))</f>
        <v>3100</v>
      </c>
    </row>
    <row r="33" spans="2:24" ht="13.5" thickBot="1" x14ac:dyDescent="0.3">
      <c r="B33" s="20" t="s">
        <v>260</v>
      </c>
      <c r="C33" s="32">
        <f>VLOOKUP($B30,Colocado!$A:$C,3,0)</f>
        <v>0</v>
      </c>
      <c r="L33" s="30"/>
      <c r="O33" s="24"/>
      <c r="P33" s="14"/>
      <c r="Q33" s="172" t="s">
        <v>305</v>
      </c>
      <c r="R33" s="168">
        <v>0</v>
      </c>
      <c r="S33" s="168"/>
      <c r="T33" s="168">
        <v>6813</v>
      </c>
      <c r="U33" s="168"/>
      <c r="V33" s="168">
        <v>4850</v>
      </c>
      <c r="W33" s="168">
        <v>4228</v>
      </c>
      <c r="X33" s="168">
        <v>4029</v>
      </c>
    </row>
    <row r="34" spans="2:24" ht="13.5" thickBot="1" x14ac:dyDescent="0.35">
      <c r="B34" s="21"/>
      <c r="C34" s="235"/>
      <c r="E34" s="18"/>
      <c r="F34" s="50"/>
      <c r="G34" s="8"/>
      <c r="H34" s="66"/>
      <c r="I34" s="66"/>
      <c r="J34" s="51"/>
      <c r="K34" s="51"/>
      <c r="L34" s="30"/>
      <c r="M34" s="51"/>
      <c r="N34" s="51"/>
      <c r="O34" s="24"/>
      <c r="P34" s="14"/>
      <c r="Q34" s="172" t="s">
        <v>306</v>
      </c>
      <c r="R34" s="171">
        <f ca="1">IF(R$5=$B$2,IF($C33&lt;R32,R30+R33-R32,R30+R33-$C33),R30+R33-R32)</f>
        <v>4207</v>
      </c>
      <c r="S34" s="171">
        <f ca="1">IF(S$5=$B$2,IF($C33&lt;S32,S30+S33-S32,S30+S33-$C33),S30+S33-S32)</f>
        <v>2318</v>
      </c>
      <c r="T34" s="171">
        <f ca="1">IF(T$5=$B$2,IF($C31&lt;T32,T30+T33-T32,T30+T33-$C31),T30+T33-T32)</f>
        <v>5705</v>
      </c>
      <c r="U34" s="171">
        <f ca="1">IF(U$5=$B$2,IF($C31&lt;U32,U30+U33-U32,U30+U33-$C31),U30+U33-U32)</f>
        <v>2393</v>
      </c>
      <c r="V34" s="171">
        <f ca="1">IF(V$5=$B$2,IF($C31&lt;V32,V30+V33-V32,V30+V33-$C31),V30+V33-V32)</f>
        <v>4023</v>
      </c>
      <c r="W34" s="171">
        <f ca="1">IF(W$5=$B$2,IF($C31&lt;W32,W30+W33-W32,W30+W33-$C31),W30+W33-W32)</f>
        <v>5234</v>
      </c>
      <c r="X34" s="171">
        <f ca="1">IF(X$5=$B$2,IF($C31&lt;X32,X30+X33-X32,X30+X33-$C31),X30+X33-X32)</f>
        <v>6163</v>
      </c>
    </row>
    <row r="35" spans="2:24" ht="13.5" thickBot="1" x14ac:dyDescent="0.3">
      <c r="B35" s="21"/>
      <c r="C35" s="235"/>
      <c r="E35" s="18"/>
      <c r="F35" s="50"/>
      <c r="H35" s="51"/>
      <c r="I35" s="51"/>
      <c r="J35" s="51"/>
      <c r="K35" s="51"/>
      <c r="L35" s="30"/>
      <c r="M35" s="51"/>
      <c r="N35" s="51"/>
      <c r="O35" s="24"/>
      <c r="P35" s="14"/>
      <c r="Q35" s="172" t="s">
        <v>307</v>
      </c>
      <c r="R35" s="170">
        <f t="shared" ref="R35:W35" ca="1" si="12">R34/S32</f>
        <v>1.069123252858958</v>
      </c>
      <c r="S35" s="170">
        <f t="shared" ca="1" si="12"/>
        <v>0.68176470588235294</v>
      </c>
      <c r="T35" s="170">
        <f t="shared" ca="1" si="12"/>
        <v>1.4446695365915421</v>
      </c>
      <c r="U35" s="170">
        <f t="shared" ca="1" si="12"/>
        <v>0.74316770186335401</v>
      </c>
      <c r="V35" s="170">
        <f t="shared" ca="1" si="12"/>
        <v>1.3334438183626118</v>
      </c>
      <c r="W35" s="170">
        <f t="shared" ca="1" si="12"/>
        <v>1.6883870967741936</v>
      </c>
      <c r="X35" s="170" t="e">
        <f ca="1">X34/Y30</f>
        <v>#DIV/0!</v>
      </c>
    </row>
    <row r="36" spans="2:24" ht="13" x14ac:dyDescent="0.25">
      <c r="B36" s="21"/>
      <c r="C36" s="161"/>
      <c r="E36" s="18"/>
      <c r="F36" s="50"/>
      <c r="H36" s="51"/>
      <c r="I36" s="51"/>
      <c r="J36" s="51"/>
      <c r="K36" s="51"/>
      <c r="L36" s="30"/>
      <c r="M36" s="51"/>
      <c r="N36" s="51"/>
      <c r="O36" s="24"/>
      <c r="P36" s="14"/>
      <c r="T36" s="19"/>
    </row>
    <row r="37" spans="2:24" ht="13.5" thickBot="1" x14ac:dyDescent="0.3">
      <c r="B37" s="154"/>
      <c r="C37" s="162"/>
      <c r="D37" s="155"/>
      <c r="E37" s="156"/>
      <c r="F37" s="157"/>
      <c r="G37" s="155"/>
      <c r="H37" s="158"/>
      <c r="I37" s="158"/>
      <c r="J37" s="158"/>
      <c r="K37" s="158"/>
      <c r="L37" s="159"/>
      <c r="M37" s="158"/>
      <c r="N37" s="158"/>
      <c r="O37" s="159"/>
      <c r="P37" s="14"/>
      <c r="Q37" s="14"/>
      <c r="R37" s="112"/>
      <c r="S37" s="108"/>
      <c r="T37" s="19"/>
      <c r="U37" s="108"/>
      <c r="V37" s="108"/>
      <c r="W37" s="47"/>
    </row>
  </sheetData>
  <mergeCells count="42">
    <mergeCell ref="O28:O29"/>
    <mergeCell ref="I28:I29"/>
    <mergeCell ref="J28:J29"/>
    <mergeCell ref="K28:K29"/>
    <mergeCell ref="L28:L29"/>
    <mergeCell ref="M28:M29"/>
    <mergeCell ref="N28:N29"/>
    <mergeCell ref="M16:M17"/>
    <mergeCell ref="N16:N17"/>
    <mergeCell ref="O16:O17"/>
    <mergeCell ref="B28:B29"/>
    <mergeCell ref="C28:C29"/>
    <mergeCell ref="D28:D29"/>
    <mergeCell ref="E28:E29"/>
    <mergeCell ref="F28:F29"/>
    <mergeCell ref="G28:G29"/>
    <mergeCell ref="H28:H29"/>
    <mergeCell ref="G16:G17"/>
    <mergeCell ref="H16:H17"/>
    <mergeCell ref="I16:I17"/>
    <mergeCell ref="J16:J17"/>
    <mergeCell ref="K16:K17"/>
    <mergeCell ref="L16:L17"/>
    <mergeCell ref="K4:K5"/>
    <mergeCell ref="L4:L5"/>
    <mergeCell ref="M4:M5"/>
    <mergeCell ref="N4:N5"/>
    <mergeCell ref="O4:O5"/>
    <mergeCell ref="B16:B17"/>
    <mergeCell ref="C16:C17"/>
    <mergeCell ref="D16:D17"/>
    <mergeCell ref="E16:E17"/>
    <mergeCell ref="F16:F17"/>
    <mergeCell ref="G4:G5"/>
    <mergeCell ref="H4:H5"/>
    <mergeCell ref="I4:I5"/>
    <mergeCell ref="J4:J5"/>
    <mergeCell ref="B4:B5"/>
    <mergeCell ref="C4:C5"/>
    <mergeCell ref="D4:D5"/>
    <mergeCell ref="E4:E5"/>
    <mergeCell ref="F4:F5"/>
  </mergeCells>
  <conditionalFormatting sqref="R7:X7">
    <cfRule type="cellIs" dxfId="177" priority="45" operator="lessThan">
      <formula>1</formula>
    </cfRule>
  </conditionalFormatting>
  <conditionalFormatting sqref="K34:K1048576 K25:K30 K1:K20">
    <cfRule type="cellIs" dxfId="176" priority="44" operator="equal">
      <formula>"BR08"</formula>
    </cfRule>
  </conditionalFormatting>
  <conditionalFormatting sqref="R19:Y19">
    <cfRule type="cellIs" dxfId="175" priority="43" operator="lessThan">
      <formula>1</formula>
    </cfRule>
  </conditionalFormatting>
  <conditionalFormatting sqref="R31:X31">
    <cfRule type="cellIs" dxfId="174" priority="41" operator="lessThan">
      <formula>1</formula>
    </cfRule>
  </conditionalFormatting>
  <conditionalFormatting sqref="L6:L12 L34:L36 L30 L18:L22">
    <cfRule type="cellIs" dxfId="173" priority="39" operator="greaterThan">
      <formula>0</formula>
    </cfRule>
  </conditionalFormatting>
  <conditionalFormatting sqref="L22">
    <cfRule type="cellIs" dxfId="172" priority="36" operator="greaterThan">
      <formula>0</formula>
    </cfRule>
  </conditionalFormatting>
  <conditionalFormatting sqref="L31">
    <cfRule type="cellIs" dxfId="171" priority="34" operator="greaterThan">
      <formula>0</formula>
    </cfRule>
  </conditionalFormatting>
  <conditionalFormatting sqref="L33">
    <cfRule type="cellIs" dxfId="170" priority="33" operator="greaterThan">
      <formula>0</formula>
    </cfRule>
  </conditionalFormatting>
  <conditionalFormatting sqref="L19">
    <cfRule type="cellIs" dxfId="169" priority="30" operator="greaterThan">
      <formula>0</formula>
    </cfRule>
  </conditionalFormatting>
  <conditionalFormatting sqref="L19">
    <cfRule type="cellIs" dxfId="168" priority="29" operator="greaterThan">
      <formula>0</formula>
    </cfRule>
  </conditionalFormatting>
  <conditionalFormatting sqref="K19">
    <cfRule type="cellIs" dxfId="167" priority="22" operator="equal">
      <formula>"BR08"</formula>
    </cfRule>
  </conditionalFormatting>
  <conditionalFormatting sqref="L23:L24">
    <cfRule type="cellIs" dxfId="166" priority="27" operator="greaterThan">
      <formula>0</formula>
    </cfRule>
  </conditionalFormatting>
  <conditionalFormatting sqref="L23:L24">
    <cfRule type="cellIs" dxfId="165" priority="26" operator="greaterThan">
      <formula>0</formula>
    </cfRule>
  </conditionalFormatting>
  <conditionalFormatting sqref="L32">
    <cfRule type="cellIs" dxfId="164" priority="23" operator="greaterThan">
      <formula>0</formula>
    </cfRule>
  </conditionalFormatting>
  <conditionalFormatting sqref="K23">
    <cfRule type="cellIs" dxfId="163" priority="20" operator="equal">
      <formula>"BR08"</formula>
    </cfRule>
  </conditionalFormatting>
  <conditionalFormatting sqref="K23">
    <cfRule type="cellIs" dxfId="162" priority="21" operator="equal">
      <formula>"BR08"</formula>
    </cfRule>
  </conditionalFormatting>
  <conditionalFormatting sqref="L30">
    <cfRule type="cellIs" dxfId="161" priority="18" operator="greaterThan">
      <formula>0</formula>
    </cfRule>
  </conditionalFormatting>
  <conditionalFormatting sqref="L31">
    <cfRule type="cellIs" dxfId="160" priority="17" operator="greaterThan">
      <formula>0</formula>
    </cfRule>
  </conditionalFormatting>
  <conditionalFormatting sqref="K30">
    <cfRule type="cellIs" dxfId="159" priority="16" operator="equal">
      <formula>"BR08"</formula>
    </cfRule>
  </conditionalFormatting>
  <conditionalFormatting sqref="K31">
    <cfRule type="cellIs" dxfId="158" priority="15" operator="equal">
      <formula>"BR08"</formula>
    </cfRule>
  </conditionalFormatting>
  <conditionalFormatting sqref="K31">
    <cfRule type="cellIs" dxfId="157" priority="14" operator="equal">
      <formula>"BR08"</formula>
    </cfRule>
  </conditionalFormatting>
  <conditionalFormatting sqref="L21">
    <cfRule type="cellIs" dxfId="156" priority="13" operator="greaterThan">
      <formula>0</formula>
    </cfRule>
  </conditionalFormatting>
  <conditionalFormatting sqref="K20">
    <cfRule type="cellIs" dxfId="155" priority="12" operator="equal">
      <formula>"BR08"</formula>
    </cfRule>
  </conditionalFormatting>
  <conditionalFormatting sqref="L18">
    <cfRule type="cellIs" dxfId="154" priority="11" operator="greaterThan">
      <formula>0</formula>
    </cfRule>
  </conditionalFormatting>
  <conditionalFormatting sqref="L18">
    <cfRule type="cellIs" dxfId="153" priority="10" operator="greaterThan">
      <formula>0</formula>
    </cfRule>
  </conditionalFormatting>
  <conditionalFormatting sqref="L22">
    <cfRule type="cellIs" dxfId="152" priority="9" operator="greaterThan">
      <formula>0</formula>
    </cfRule>
  </conditionalFormatting>
  <conditionalFormatting sqref="L22">
    <cfRule type="cellIs" dxfId="151" priority="8" operator="greaterThan">
      <formula>0</formula>
    </cfRule>
  </conditionalFormatting>
  <conditionalFormatting sqref="K18">
    <cfRule type="cellIs" dxfId="150" priority="5" operator="equal">
      <formula>"BR08"</formula>
    </cfRule>
  </conditionalFormatting>
  <conditionalFormatting sqref="K21:K22">
    <cfRule type="cellIs" dxfId="149" priority="1" operator="equal">
      <formula>"BR08"</formula>
    </cfRule>
  </conditionalFormatting>
  <conditionalFormatting sqref="K21:K22">
    <cfRule type="cellIs" dxfId="148" priority="2" operator="equal">
      <formula>"BR08"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&amp;C&amp;"Calibri"&amp;10&amp;K737373Classification: Public&amp;1#</oddHeader>
  </headerFooter>
  <customProperties>
    <customPr name="Ibp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1201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0</xdr:row>
                <xdr:rowOff>0</xdr:rowOff>
              </to>
            </anchor>
          </controlPr>
        </control>
      </mc:Choice>
      <mc:Fallback>
        <control shapeId="51201" r:id="rId5" name="FPMExcelClientSheetOptionstb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9CB2-1B74-490D-ABC3-3790806E42AB}">
  <sheetPr codeName="Planilha6">
    <tabColor rgb="FFFFC000"/>
  </sheetPr>
  <dimension ref="A1:AJ49"/>
  <sheetViews>
    <sheetView showGridLines="0" zoomScale="90" zoomScaleNormal="9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L7" sqref="L7"/>
    </sheetView>
  </sheetViews>
  <sheetFormatPr defaultColWidth="9.08984375" defaultRowHeight="12.5" x14ac:dyDescent="0.25"/>
  <cols>
    <col min="1" max="1" width="1.6328125" style="1" customWidth="1"/>
    <col min="2" max="2" width="11.453125" style="3" bestFit="1" customWidth="1"/>
    <col min="3" max="3" width="41.08984375" style="3" bestFit="1" customWidth="1"/>
    <col min="4" max="4" width="11.54296875" style="3" bestFit="1" customWidth="1"/>
    <col min="5" max="5" width="9.453125" style="3" customWidth="1"/>
    <col min="6" max="6" width="13.6328125" style="3" bestFit="1" customWidth="1"/>
    <col min="7" max="7" width="6.6328125" style="3" bestFit="1" customWidth="1"/>
    <col min="8" max="8" width="6.6328125" style="2" bestFit="1" customWidth="1"/>
    <col min="9" max="9" width="14.90625" style="2" bestFit="1" customWidth="1"/>
    <col min="10" max="10" width="5.26953125" style="2" bestFit="1" customWidth="1"/>
    <col min="11" max="11" width="8.36328125" style="2" customWidth="1"/>
    <col min="12" max="12" width="8.54296875" style="2" bestFit="1" customWidth="1"/>
    <col min="13" max="13" width="15.1796875" style="2" bestFit="1" customWidth="1"/>
    <col min="14" max="14" width="17.7265625" style="2" bestFit="1" customWidth="1"/>
    <col min="15" max="15" width="10.08984375" style="2" bestFit="1" customWidth="1"/>
    <col min="16" max="16" width="7.08984375" style="1" customWidth="1"/>
    <col min="17" max="17" width="15.1796875" style="1" bestFit="1" customWidth="1"/>
    <col min="18" max="18" width="9.08984375" style="1" hidden="1" customWidth="1"/>
    <col min="19" max="19" width="11" style="1" hidden="1" customWidth="1"/>
    <col min="20" max="20" width="13.6328125" style="1" hidden="1" customWidth="1"/>
    <col min="21" max="21" width="11" style="1" hidden="1" customWidth="1"/>
    <col min="22" max="22" width="9.90625" style="1" bestFit="1" customWidth="1"/>
    <col min="23" max="23" width="9.08984375" style="1" customWidth="1"/>
    <col min="24" max="16384" width="9.08984375" style="1"/>
  </cols>
  <sheetData>
    <row r="1" spans="1:36" x14ac:dyDescent="0.25">
      <c r="A1" s="179" t="s">
        <v>309</v>
      </c>
    </row>
    <row r="2" spans="1:36" ht="17" x14ac:dyDescent="0.25">
      <c r="B2" s="222">
        <f ca="1">DATE(YEAR(TODAY()),MONTH(TODAY()),1)</f>
        <v>44470</v>
      </c>
      <c r="C2" s="49"/>
    </row>
    <row r="3" spans="1:36" ht="13" thickBot="1" x14ac:dyDescent="0.3">
      <c r="E3" s="18"/>
      <c r="R3" s="19"/>
      <c r="S3" s="19"/>
      <c r="T3" s="19"/>
      <c r="U3" s="19"/>
      <c r="V3" s="19"/>
      <c r="W3" s="19"/>
      <c r="X3" s="19"/>
    </row>
    <row r="4" spans="1:36" ht="15" customHeight="1" thickBot="1" x14ac:dyDescent="0.3">
      <c r="B4" s="311" t="s">
        <v>4</v>
      </c>
      <c r="C4" s="313" t="s">
        <v>3</v>
      </c>
      <c r="D4" s="315" t="s">
        <v>2</v>
      </c>
      <c r="E4" s="307" t="s">
        <v>12</v>
      </c>
      <c r="F4" s="307" t="s">
        <v>13</v>
      </c>
      <c r="G4" s="307" t="s">
        <v>14</v>
      </c>
      <c r="H4" s="307" t="s">
        <v>15</v>
      </c>
      <c r="I4" s="307" t="s">
        <v>295</v>
      </c>
      <c r="J4" s="309" t="s">
        <v>240</v>
      </c>
      <c r="K4" s="309" t="s">
        <v>288</v>
      </c>
      <c r="L4" s="305" t="s">
        <v>308</v>
      </c>
      <c r="M4" s="309" t="s">
        <v>250</v>
      </c>
      <c r="N4" s="309" t="s">
        <v>251</v>
      </c>
      <c r="O4" s="305" t="s">
        <v>259</v>
      </c>
      <c r="R4" s="163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</row>
    <row r="5" spans="1:36" ht="15" customHeight="1" thickBot="1" x14ac:dyDescent="0.3">
      <c r="B5" s="312"/>
      <c r="C5" s="314"/>
      <c r="D5" s="316"/>
      <c r="E5" s="308"/>
      <c r="F5" s="308"/>
      <c r="G5" s="308" t="s">
        <v>1</v>
      </c>
      <c r="H5" s="308" t="s">
        <v>1</v>
      </c>
      <c r="I5" s="308"/>
      <c r="J5" s="310"/>
      <c r="K5" s="310"/>
      <c r="L5" s="322"/>
      <c r="M5" s="317"/>
      <c r="N5" s="317"/>
      <c r="O5" s="306"/>
      <c r="R5" s="164">
        <v>44348</v>
      </c>
      <c r="S5" s="165">
        <v>44378</v>
      </c>
      <c r="T5" s="165">
        <v>44409</v>
      </c>
      <c r="U5" s="165">
        <v>44440</v>
      </c>
      <c r="V5" s="165">
        <v>44470</v>
      </c>
      <c r="W5" s="165">
        <v>44501</v>
      </c>
      <c r="X5" s="166">
        <v>44531</v>
      </c>
      <c r="Y5" s="165">
        <v>44562</v>
      </c>
      <c r="Z5" s="166">
        <v>44593</v>
      </c>
      <c r="AA5" s="165">
        <v>44621</v>
      </c>
      <c r="AB5" s="166">
        <v>44652</v>
      </c>
      <c r="AC5" s="165">
        <v>44682</v>
      </c>
      <c r="AD5" s="166">
        <v>44713</v>
      </c>
      <c r="AE5" s="165">
        <v>44743</v>
      </c>
      <c r="AF5" s="166">
        <v>44774</v>
      </c>
      <c r="AG5" s="165">
        <v>44805</v>
      </c>
      <c r="AH5" s="166">
        <v>44835</v>
      </c>
      <c r="AI5" s="165">
        <v>44866</v>
      </c>
      <c r="AJ5" s="166">
        <v>44896</v>
      </c>
    </row>
    <row r="6" spans="1:36" ht="13.5" thickBot="1" x14ac:dyDescent="0.3">
      <c r="B6" s="296" t="s">
        <v>17</v>
      </c>
      <c r="C6" s="31" t="s">
        <v>30</v>
      </c>
      <c r="D6" s="123" t="s">
        <v>317</v>
      </c>
      <c r="E6" s="152">
        <v>9</v>
      </c>
      <c r="F6" s="142">
        <v>44897</v>
      </c>
      <c r="G6" s="8">
        <f ca="1">TODAY()-F6</f>
        <v>-413</v>
      </c>
      <c r="H6" s="147">
        <f ca="1">G6/30</f>
        <v>-13.766666666666667</v>
      </c>
      <c r="I6" s="7">
        <f>F6-30*3</f>
        <v>44807</v>
      </c>
      <c r="J6" s="143">
        <v>0</v>
      </c>
      <c r="K6" s="174" t="s">
        <v>258</v>
      </c>
      <c r="L6" s="113"/>
      <c r="M6" s="198"/>
      <c r="N6" s="198"/>
      <c r="O6" s="197"/>
      <c r="Q6" s="172" t="s">
        <v>303</v>
      </c>
      <c r="R6" s="168"/>
      <c r="S6" s="169">
        <v>4</v>
      </c>
      <c r="T6" s="169">
        <v>23</v>
      </c>
      <c r="U6" s="169">
        <v>10</v>
      </c>
      <c r="V6" s="169">
        <v>25</v>
      </c>
      <c r="W6" s="169">
        <f t="shared" ref="W6:AJ6" ca="1" si="0">IF(V10&lt;0,0,V10)</f>
        <v>23</v>
      </c>
      <c r="X6" s="169">
        <f t="shared" ca="1" si="0"/>
        <v>21</v>
      </c>
      <c r="Y6" s="169">
        <f t="shared" ca="1" si="0"/>
        <v>37</v>
      </c>
      <c r="Z6" s="169">
        <f t="shared" ca="1" si="0"/>
        <v>38</v>
      </c>
      <c r="AA6" s="169">
        <f t="shared" ca="1" si="0"/>
        <v>38</v>
      </c>
      <c r="AB6" s="169">
        <f t="shared" ca="1" si="0"/>
        <v>34</v>
      </c>
      <c r="AC6" s="169">
        <f t="shared" ca="1" si="0"/>
        <v>36</v>
      </c>
      <c r="AD6" s="169">
        <f t="shared" ca="1" si="0"/>
        <v>39</v>
      </c>
      <c r="AE6" s="169">
        <f t="shared" ca="1" si="0"/>
        <v>43</v>
      </c>
      <c r="AF6" s="169">
        <f t="shared" ca="1" si="0"/>
        <v>48</v>
      </c>
      <c r="AG6" s="169">
        <f t="shared" ca="1" si="0"/>
        <v>53</v>
      </c>
      <c r="AH6" s="169">
        <f t="shared" ca="1" si="0"/>
        <v>57</v>
      </c>
      <c r="AI6" s="169">
        <f t="shared" ca="1" si="0"/>
        <v>62</v>
      </c>
      <c r="AJ6" s="169">
        <f t="shared" ca="1" si="0"/>
        <v>67</v>
      </c>
    </row>
    <row r="7" spans="1:36" ht="13.5" thickBot="1" x14ac:dyDescent="0.3">
      <c r="B7" s="20" t="s">
        <v>22</v>
      </c>
      <c r="C7" s="32">
        <f>SUMIF(Venda!$A:$A,$B6,Venda!$I:$I)*-1</f>
        <v>1</v>
      </c>
      <c r="D7" s="123" t="s">
        <v>330</v>
      </c>
      <c r="E7" s="152">
        <v>15</v>
      </c>
      <c r="F7" s="142">
        <v>44957</v>
      </c>
      <c r="G7" s="8">
        <f ca="1">TODAY()-F7</f>
        <v>-473</v>
      </c>
      <c r="H7" s="147">
        <f ca="1">G7/30</f>
        <v>-15.766666666666667</v>
      </c>
      <c r="I7" s="7">
        <f>F7-30*3</f>
        <v>44867</v>
      </c>
      <c r="J7" s="250">
        <v>0</v>
      </c>
      <c r="K7" s="174" t="s">
        <v>258</v>
      </c>
      <c r="L7" s="30"/>
      <c r="M7" s="198"/>
      <c r="N7" s="198"/>
      <c r="O7" s="197"/>
      <c r="Q7" s="172" t="s">
        <v>304</v>
      </c>
      <c r="R7" s="170">
        <f t="shared" ref="R7:X7" si="1">R6/R8</f>
        <v>0</v>
      </c>
      <c r="S7" s="170">
        <f t="shared" si="1"/>
        <v>0.8</v>
      </c>
      <c r="T7" s="170">
        <f t="shared" si="1"/>
        <v>1.7692307692307692</v>
      </c>
      <c r="U7" s="170" t="e">
        <f t="shared" si="1"/>
        <v>#DIV/0!</v>
      </c>
      <c r="V7" s="170">
        <f t="shared" si="1"/>
        <v>12.5</v>
      </c>
      <c r="W7" s="170">
        <f t="shared" ca="1" si="1"/>
        <v>11.5</v>
      </c>
      <c r="X7" s="170">
        <f t="shared" ca="1" si="1"/>
        <v>10.5</v>
      </c>
      <c r="Y7" s="170">
        <f t="shared" ref="Y7:AJ7" ca="1" si="2">Y6/Y8</f>
        <v>12.333333333333334</v>
      </c>
      <c r="Z7" s="170">
        <f t="shared" ca="1" si="2"/>
        <v>7.6</v>
      </c>
      <c r="AA7" s="170">
        <f t="shared" ca="1" si="2"/>
        <v>3.8</v>
      </c>
      <c r="AB7" s="170">
        <f t="shared" ca="1" si="2"/>
        <v>6.8</v>
      </c>
      <c r="AC7" s="170">
        <f t="shared" ca="1" si="2"/>
        <v>7.2</v>
      </c>
      <c r="AD7" s="170">
        <f t="shared" ca="1" si="2"/>
        <v>7.8</v>
      </c>
      <c r="AE7" s="170">
        <f t="shared" ca="1" si="2"/>
        <v>8.6</v>
      </c>
      <c r="AF7" s="170">
        <f t="shared" ca="1" si="2"/>
        <v>8</v>
      </c>
      <c r="AG7" s="170">
        <f t="shared" ca="1" si="2"/>
        <v>6.625</v>
      </c>
      <c r="AH7" s="170">
        <f t="shared" ca="1" si="2"/>
        <v>7.125</v>
      </c>
      <c r="AI7" s="170">
        <f t="shared" ca="1" si="2"/>
        <v>6.8888888888888893</v>
      </c>
      <c r="AJ7" s="170">
        <f t="shared" ca="1" si="2"/>
        <v>6.7</v>
      </c>
    </row>
    <row r="8" spans="1:36" ht="13.5" thickBot="1" x14ac:dyDescent="0.3">
      <c r="B8" s="20" t="s">
        <v>24</v>
      </c>
      <c r="C8" s="32">
        <f>C9-C7</f>
        <v>-1</v>
      </c>
      <c r="D8" s="123"/>
      <c r="E8" s="218"/>
      <c r="F8" s="142"/>
      <c r="G8" s="8"/>
      <c r="H8" s="147"/>
      <c r="I8" s="7"/>
      <c r="J8" s="250"/>
      <c r="K8" s="250"/>
      <c r="L8" s="30"/>
      <c r="M8" s="198"/>
      <c r="N8" s="198"/>
      <c r="O8" s="197"/>
      <c r="Q8" s="172" t="s">
        <v>302</v>
      </c>
      <c r="R8" s="167">
        <f>INDEX(Forecast!$E$3:$AB$25,MATCH($B6,Forecast!$A$3:$A$25,0),MATCH(R$5,Forecast!$E$2:$AB$2,0))</f>
        <v>1</v>
      </c>
      <c r="S8" s="167">
        <f>INDEX(Forecast!$E$3:$AB$25,MATCH($B6,Forecast!$A$3:$A$25,0),MATCH(S$5,Forecast!$E$2:$AB$2,0))</f>
        <v>5</v>
      </c>
      <c r="T8" s="167">
        <f>INDEX(Forecast!$E$3:$AB$25,MATCH($B6,Forecast!$A$3:$A$25,0),MATCH(T$5,Forecast!$E$2:$AB$2,0))</f>
        <v>13</v>
      </c>
      <c r="U8" s="167">
        <f>INDEX(Forecast!$E$3:$AB$25,MATCH($B6,Forecast!$A$3:$A$25,0),MATCH(U$5,Forecast!$E$2:$AB$2,0))</f>
        <v>0</v>
      </c>
      <c r="V8" s="167">
        <f>INDEX(Forecast!$E$3:$AB$25,MATCH($B6,Forecast!$A$3:$A$25,0),MATCH(V$5,Forecast!$E$2:$AB$2,0))</f>
        <v>2</v>
      </c>
      <c r="W8" s="167">
        <f>INDEX(Forecast!$E$3:$AB$25,MATCH($B6,Forecast!$A$3:$A$25,0),MATCH(W$5,Forecast!$E$2:$AB$2,0))</f>
        <v>2</v>
      </c>
      <c r="X8" s="167">
        <f>INDEX(Forecast!$E$3:$AB$25,MATCH($B6,Forecast!$A$3:$A$25,0),MATCH(X$5,Forecast!$E$2:$AB$2,0))</f>
        <v>2</v>
      </c>
      <c r="Y8" s="167">
        <f>INDEX(Forecast!$E$3:$AB$25,MATCH($B6,Forecast!$A$3:$A$25,0),MATCH(Y$5,Forecast!$E$2:$AB$2,0))</f>
        <v>3</v>
      </c>
      <c r="Z8" s="167">
        <f>INDEX(Forecast!$E$3:$AB$25,MATCH($B6,Forecast!$A$3:$A$25,0),MATCH(Z$5,Forecast!$E$2:$AB$2,0))</f>
        <v>5</v>
      </c>
      <c r="AA8" s="167">
        <f>INDEX(Forecast!$E$3:$AB$25,MATCH($B6,Forecast!$A$3:$A$25,0),MATCH(AA$5,Forecast!$E$2:$AB$2,0))</f>
        <v>10</v>
      </c>
      <c r="AB8" s="167">
        <f>INDEX(Forecast!$E$3:$AB$25,MATCH($B6,Forecast!$A$3:$A$25,0),MATCH(AB$5,Forecast!$E$2:$AB$2,0))</f>
        <v>5</v>
      </c>
      <c r="AC8" s="167">
        <f>INDEX(Forecast!$E$3:$AB$25,MATCH($B6,Forecast!$A$3:$A$25,0),MATCH(AC$5,Forecast!$E$2:$AB$2,0))</f>
        <v>5</v>
      </c>
      <c r="AD8" s="167">
        <f>INDEX(Forecast!$E$3:$AB$25,MATCH($B6,Forecast!$A$3:$A$25,0),MATCH(AD$5,Forecast!$E$2:$AB$2,0))</f>
        <v>5</v>
      </c>
      <c r="AE8" s="167">
        <f>INDEX(Forecast!$E$3:$AB$25,MATCH($B6,Forecast!$A$3:$A$25,0),MATCH(AE$5,Forecast!$E$2:$AB$2,0))</f>
        <v>5</v>
      </c>
      <c r="AF8" s="167">
        <f>INDEX(Forecast!$E$3:$AB$25,MATCH($B6,Forecast!$A$3:$A$25,0),MATCH(AF$5,Forecast!$E$2:$AB$2,0))</f>
        <v>6</v>
      </c>
      <c r="AG8" s="167">
        <f>INDEX(Forecast!$E$3:$AB$25,MATCH($B6,Forecast!$A$3:$A$25,0),MATCH(AG$5,Forecast!$E$2:$AB$2,0))</f>
        <v>8</v>
      </c>
      <c r="AH8" s="167">
        <f>INDEX(Forecast!$E$3:$AB$25,MATCH($B6,Forecast!$A$3:$A$25,0),MATCH(AH$5,Forecast!$E$2:$AB$2,0))</f>
        <v>8</v>
      </c>
      <c r="AI8" s="167">
        <f>INDEX(Forecast!$E$3:$AB$25,MATCH($B6,Forecast!$A$3:$A$25,0),MATCH(AI$5,Forecast!$E$2:$AB$2,0))</f>
        <v>9</v>
      </c>
      <c r="AJ8" s="167">
        <f>INDEX(Forecast!$E$3:$AB$25,MATCH($B6,Forecast!$A$3:$A$25,0),MATCH(AJ$5,Forecast!$E$2:$AB$2,0))</f>
        <v>10</v>
      </c>
    </row>
    <row r="9" spans="1:36" ht="13.5" thickBot="1" x14ac:dyDescent="0.3">
      <c r="B9" s="20" t="s">
        <v>260</v>
      </c>
      <c r="C9" s="32">
        <f>VLOOKUP($B6,Colocado!$A:$C,3,0)</f>
        <v>0</v>
      </c>
      <c r="D9" s="138"/>
      <c r="E9" s="175"/>
      <c r="F9" s="142"/>
      <c r="G9" s="8"/>
      <c r="H9" s="147"/>
      <c r="I9" s="146"/>
      <c r="J9" s="146"/>
      <c r="K9" s="146"/>
      <c r="L9" s="30"/>
      <c r="M9" s="184"/>
      <c r="N9" s="184"/>
      <c r="O9" s="30"/>
      <c r="P9" s="14"/>
      <c r="Q9" s="172" t="s">
        <v>305</v>
      </c>
      <c r="R9" s="168">
        <v>5</v>
      </c>
      <c r="S9" s="168">
        <f>E7</f>
        <v>15</v>
      </c>
      <c r="T9" s="168">
        <v>0</v>
      </c>
      <c r="U9" s="168">
        <f>E7</f>
        <v>15</v>
      </c>
      <c r="V9" s="168">
        <v>0</v>
      </c>
      <c r="W9" s="168">
        <v>0</v>
      </c>
      <c r="X9" s="168">
        <v>18</v>
      </c>
      <c r="Y9" s="168">
        <v>4</v>
      </c>
      <c r="Z9" s="168">
        <v>5</v>
      </c>
      <c r="AA9" s="168">
        <v>6</v>
      </c>
      <c r="AB9" s="168">
        <v>7</v>
      </c>
      <c r="AC9" s="168">
        <v>8</v>
      </c>
      <c r="AD9" s="168">
        <v>9</v>
      </c>
      <c r="AE9" s="168">
        <v>10</v>
      </c>
      <c r="AF9" s="168">
        <v>11</v>
      </c>
      <c r="AG9" s="168">
        <v>12</v>
      </c>
      <c r="AH9" s="168">
        <v>13</v>
      </c>
      <c r="AI9" s="168">
        <v>14</v>
      </c>
      <c r="AJ9" s="168">
        <v>15</v>
      </c>
    </row>
    <row r="10" spans="1:36" ht="13.5" thickBot="1" x14ac:dyDescent="0.35">
      <c r="B10" s="21"/>
      <c r="C10" s="161"/>
      <c r="E10" s="18"/>
      <c r="F10" s="50"/>
      <c r="G10" s="8"/>
      <c r="H10" s="66"/>
      <c r="I10" s="66"/>
      <c r="J10" s="51"/>
      <c r="K10" s="51"/>
      <c r="L10" s="30"/>
      <c r="M10" s="184"/>
      <c r="N10" s="184"/>
      <c r="O10" s="30"/>
      <c r="P10" s="14"/>
      <c r="Q10" s="172" t="s">
        <v>306</v>
      </c>
      <c r="R10" s="171">
        <f ca="1">IF(R$5=$B$2,IF($C9&lt;R8,R6+R9-R8,R6+R9-$C9),R6+R9-R8)</f>
        <v>4</v>
      </c>
      <c r="S10" s="171">
        <f ca="1">IF(S$5=$B$2,IF($C9&lt;S8,S6+S9-S8,S6+S9-$C9),S6+S9-S8)</f>
        <v>14</v>
      </c>
      <c r="T10" s="171">
        <f ca="1">IF(T$5=$B$2,IF($C7&lt;T8,T6+T9-T8,T6+T9-$C7),T6+T9-T8)</f>
        <v>10</v>
      </c>
      <c r="U10" s="171">
        <f ca="1">IF(U$5=$B$2,IF($C7&lt;U8,U6+U9-U8,U6+U9-$C7),U6+U9-U8)</f>
        <v>25</v>
      </c>
      <c r="V10" s="171">
        <f ca="1">IF(V$5=$B$2,IF($C7&lt;V8,V6+V9-V8,V6+V9-$C7),V6+V9-V8)</f>
        <v>23</v>
      </c>
      <c r="W10" s="171">
        <f ca="1">IF(W$5=$B$2,IF($C7&lt;W8,W6+W9-W8,W6+W9-$C7),W6+W9-W8)</f>
        <v>21</v>
      </c>
      <c r="X10" s="171">
        <f ca="1">IF(X$5=$B$2,IF($C7&lt;X8,X6+X9-X8,X6+X9-$C7),X6+X9-X8)</f>
        <v>37</v>
      </c>
      <c r="Y10" s="171">
        <f t="shared" ref="Y10:AJ10" ca="1" si="3">IF(Y$5=$B$2,IF($C9&lt;Y8,Y6+Y9-Y8,Y6+Y9-$C9),Y6+Y9-Y8)</f>
        <v>38</v>
      </c>
      <c r="Z10" s="171">
        <f t="shared" ca="1" si="3"/>
        <v>38</v>
      </c>
      <c r="AA10" s="171">
        <f t="shared" ca="1" si="3"/>
        <v>34</v>
      </c>
      <c r="AB10" s="171">
        <f t="shared" ca="1" si="3"/>
        <v>36</v>
      </c>
      <c r="AC10" s="171">
        <f t="shared" ca="1" si="3"/>
        <v>39</v>
      </c>
      <c r="AD10" s="171">
        <f t="shared" ca="1" si="3"/>
        <v>43</v>
      </c>
      <c r="AE10" s="171">
        <f t="shared" ca="1" si="3"/>
        <v>48</v>
      </c>
      <c r="AF10" s="171">
        <f t="shared" ca="1" si="3"/>
        <v>53</v>
      </c>
      <c r="AG10" s="171">
        <f t="shared" ca="1" si="3"/>
        <v>57</v>
      </c>
      <c r="AH10" s="171">
        <f t="shared" ca="1" si="3"/>
        <v>62</v>
      </c>
      <c r="AI10" s="171">
        <f t="shared" ca="1" si="3"/>
        <v>67</v>
      </c>
      <c r="AJ10" s="171">
        <f t="shared" ca="1" si="3"/>
        <v>72</v>
      </c>
    </row>
    <row r="11" spans="1:36" ht="13.5" thickBot="1" x14ac:dyDescent="0.3">
      <c r="B11" s="21"/>
      <c r="C11" s="161"/>
      <c r="E11" s="18"/>
      <c r="F11" s="50"/>
      <c r="H11" s="51"/>
      <c r="I11" s="51"/>
      <c r="J11" s="51"/>
      <c r="K11" s="51"/>
      <c r="L11" s="30"/>
      <c r="M11" s="184"/>
      <c r="N11" s="184"/>
      <c r="O11" s="30"/>
      <c r="P11" s="14"/>
      <c r="Q11" s="172" t="s">
        <v>307</v>
      </c>
      <c r="R11" s="170">
        <f t="shared" ref="R11:W11" ca="1" si="4">R10/S8</f>
        <v>0.8</v>
      </c>
      <c r="S11" s="170">
        <f t="shared" ca="1" si="4"/>
        <v>1.0769230769230769</v>
      </c>
      <c r="T11" s="170" t="e">
        <f t="shared" ca="1" si="4"/>
        <v>#DIV/0!</v>
      </c>
      <c r="U11" s="170">
        <f t="shared" ca="1" si="4"/>
        <v>12.5</v>
      </c>
      <c r="V11" s="170">
        <f t="shared" ca="1" si="4"/>
        <v>11.5</v>
      </c>
      <c r="W11" s="170">
        <f t="shared" ca="1" si="4"/>
        <v>10.5</v>
      </c>
      <c r="X11" s="170">
        <f ca="1">X10/Y6</f>
        <v>1</v>
      </c>
      <c r="Y11" s="170">
        <f t="shared" ref="Y11:AJ11" ca="1" si="5">Y10/Z6</f>
        <v>1</v>
      </c>
      <c r="Z11" s="170">
        <f t="shared" ca="1" si="5"/>
        <v>1</v>
      </c>
      <c r="AA11" s="170">
        <f t="shared" ca="1" si="5"/>
        <v>1</v>
      </c>
      <c r="AB11" s="170">
        <f t="shared" ca="1" si="5"/>
        <v>1</v>
      </c>
      <c r="AC11" s="170">
        <f t="shared" ca="1" si="5"/>
        <v>1</v>
      </c>
      <c r="AD11" s="170">
        <f t="shared" ca="1" si="5"/>
        <v>1</v>
      </c>
      <c r="AE11" s="170">
        <f t="shared" ca="1" si="5"/>
        <v>1</v>
      </c>
      <c r="AF11" s="170">
        <f t="shared" ca="1" si="5"/>
        <v>1</v>
      </c>
      <c r="AG11" s="170">
        <f t="shared" ca="1" si="5"/>
        <v>1</v>
      </c>
      <c r="AH11" s="170">
        <f t="shared" ca="1" si="5"/>
        <v>1</v>
      </c>
      <c r="AI11" s="170">
        <f t="shared" ca="1" si="5"/>
        <v>1</v>
      </c>
      <c r="AJ11" s="170" t="e">
        <f t="shared" ca="1" si="5"/>
        <v>#DIV/0!</v>
      </c>
    </row>
    <row r="12" spans="1:36" ht="13" x14ac:dyDescent="0.25">
      <c r="B12" s="21"/>
      <c r="C12" s="161"/>
      <c r="E12" s="18"/>
      <c r="F12" s="50"/>
      <c r="H12" s="51"/>
      <c r="I12" s="51"/>
      <c r="J12" s="51"/>
      <c r="K12" s="51"/>
      <c r="L12" s="30"/>
      <c r="M12" s="184"/>
      <c r="N12" s="184"/>
      <c r="O12" s="30"/>
      <c r="P12" s="14"/>
    </row>
    <row r="13" spans="1:36" ht="13.5" thickBot="1" x14ac:dyDescent="0.3">
      <c r="B13" s="154"/>
      <c r="C13" s="162"/>
      <c r="D13" s="155"/>
      <c r="E13" s="156"/>
      <c r="F13" s="157"/>
      <c r="G13" s="155"/>
      <c r="H13" s="158"/>
      <c r="I13" s="158"/>
      <c r="J13" s="158"/>
      <c r="K13" s="158"/>
      <c r="L13" s="159"/>
      <c r="M13" s="187"/>
      <c r="N13" s="187"/>
      <c r="O13" s="188"/>
      <c r="P13" s="14"/>
      <c r="Q13" s="236"/>
      <c r="R13" s="112"/>
      <c r="S13" s="108"/>
      <c r="U13" s="108"/>
      <c r="V13" s="108"/>
      <c r="W13" s="47"/>
    </row>
    <row r="14" spans="1:36" x14ac:dyDescent="0.25">
      <c r="S14" s="19" t="e">
        <f>S15-#REF!</f>
        <v>#REF!</v>
      </c>
      <c r="U14" s="19"/>
    </row>
    <row r="15" spans="1:36" ht="13" thickBot="1" x14ac:dyDescent="0.3">
      <c r="G15" s="18"/>
      <c r="S15" s="19">
        <f>S16-E19</f>
        <v>-26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78"/>
    </row>
    <row r="16" spans="1:36" ht="15" customHeight="1" thickBot="1" x14ac:dyDescent="0.3">
      <c r="B16" s="311" t="s">
        <v>4</v>
      </c>
      <c r="C16" s="313" t="s">
        <v>3</v>
      </c>
      <c r="D16" s="315" t="s">
        <v>2</v>
      </c>
      <c r="E16" s="307" t="s">
        <v>12</v>
      </c>
      <c r="F16" s="307" t="s">
        <v>13</v>
      </c>
      <c r="G16" s="307" t="s">
        <v>14</v>
      </c>
      <c r="H16" s="307" t="s">
        <v>15</v>
      </c>
      <c r="I16" s="307" t="s">
        <v>295</v>
      </c>
      <c r="J16" s="309" t="s">
        <v>240</v>
      </c>
      <c r="K16" s="309" t="s">
        <v>288</v>
      </c>
      <c r="L16" s="305" t="s">
        <v>308</v>
      </c>
      <c r="M16" s="309" t="s">
        <v>250</v>
      </c>
      <c r="N16" s="309" t="s">
        <v>251</v>
      </c>
      <c r="O16" s="305" t="s">
        <v>259</v>
      </c>
      <c r="R16" s="163"/>
      <c r="S16" s="237">
        <v>7</v>
      </c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</row>
    <row r="17" spans="2:36" ht="15" customHeight="1" thickBot="1" x14ac:dyDescent="0.3">
      <c r="B17" s="312"/>
      <c r="C17" s="314"/>
      <c r="D17" s="316"/>
      <c r="E17" s="308"/>
      <c r="F17" s="308"/>
      <c r="G17" s="308" t="s">
        <v>1</v>
      </c>
      <c r="H17" s="308" t="s">
        <v>1</v>
      </c>
      <c r="I17" s="308"/>
      <c r="J17" s="310"/>
      <c r="K17" s="310"/>
      <c r="L17" s="322"/>
      <c r="M17" s="317"/>
      <c r="N17" s="317"/>
      <c r="O17" s="306"/>
      <c r="R17" s="164">
        <v>44348</v>
      </c>
      <c r="S17" s="165">
        <v>44378</v>
      </c>
      <c r="T17" s="165">
        <v>44409</v>
      </c>
      <c r="U17" s="165">
        <v>44440</v>
      </c>
      <c r="V17" s="165">
        <v>44470</v>
      </c>
      <c r="W17" s="165">
        <v>44501</v>
      </c>
      <c r="X17" s="166">
        <v>44531</v>
      </c>
      <c r="Y17" s="165">
        <v>44562</v>
      </c>
      <c r="Z17" s="166">
        <v>44593</v>
      </c>
      <c r="AA17" s="165">
        <v>44621</v>
      </c>
      <c r="AB17" s="166">
        <v>44652</v>
      </c>
      <c r="AC17" s="165">
        <v>44682</v>
      </c>
      <c r="AD17" s="166">
        <v>44713</v>
      </c>
      <c r="AE17" s="165">
        <v>44743</v>
      </c>
      <c r="AF17" s="166">
        <v>44774</v>
      </c>
      <c r="AG17" s="165">
        <v>44805</v>
      </c>
      <c r="AH17" s="166">
        <v>44835</v>
      </c>
      <c r="AI17" s="165">
        <v>44866</v>
      </c>
      <c r="AJ17" s="166">
        <v>44896</v>
      </c>
    </row>
    <row r="18" spans="2:36" ht="13.5" thickBot="1" x14ac:dyDescent="0.3">
      <c r="B18" s="296" t="s">
        <v>18</v>
      </c>
      <c r="C18" s="31" t="s">
        <v>281</v>
      </c>
      <c r="D18" s="124" t="s">
        <v>299</v>
      </c>
      <c r="E18" s="114">
        <v>66</v>
      </c>
      <c r="F18" s="142">
        <v>44834</v>
      </c>
      <c r="G18" s="8">
        <f ca="1">TODAY()-F18</f>
        <v>-350</v>
      </c>
      <c r="H18" s="147">
        <f ca="1">G18/30</f>
        <v>-11.666666666666666</v>
      </c>
      <c r="I18" s="7">
        <f>F18-30*3</f>
        <v>44744</v>
      </c>
      <c r="J18" s="143">
        <v>0</v>
      </c>
      <c r="K18" s="174" t="s">
        <v>258</v>
      </c>
      <c r="L18" s="30"/>
      <c r="M18" s="8"/>
      <c r="N18" s="8"/>
      <c r="O18" s="30"/>
      <c r="Q18" s="172" t="s">
        <v>303</v>
      </c>
      <c r="R18" s="168">
        <f>SUM(E18:E19)+C19</f>
        <v>116</v>
      </c>
      <c r="S18" s="169">
        <v>93</v>
      </c>
      <c r="T18" s="169">
        <f ca="1">S22</f>
        <v>89</v>
      </c>
      <c r="U18" s="169">
        <v>73</v>
      </c>
      <c r="V18" s="169">
        <v>99</v>
      </c>
      <c r="W18" s="169">
        <f ca="1">V22</f>
        <v>82</v>
      </c>
      <c r="X18" s="169">
        <f ca="1">W22</f>
        <v>72</v>
      </c>
      <c r="Y18" s="169">
        <f t="shared" ref="Y18:AJ18" ca="1" si="6">IF(X22&lt;0,0,X22)</f>
        <v>88</v>
      </c>
      <c r="Z18" s="169">
        <f t="shared" ca="1" si="6"/>
        <v>80</v>
      </c>
      <c r="AA18" s="169">
        <f t="shared" ca="1" si="6"/>
        <v>73</v>
      </c>
      <c r="AB18" s="169">
        <f t="shared" ca="1" si="6"/>
        <v>64</v>
      </c>
      <c r="AC18" s="169">
        <f t="shared" ca="1" si="6"/>
        <v>61</v>
      </c>
      <c r="AD18" s="169">
        <f t="shared" ca="1" si="6"/>
        <v>59</v>
      </c>
      <c r="AE18" s="169">
        <f t="shared" ca="1" si="6"/>
        <v>60</v>
      </c>
      <c r="AF18" s="169">
        <f t="shared" ca="1" si="6"/>
        <v>61</v>
      </c>
      <c r="AG18" s="169">
        <f t="shared" ca="1" si="6"/>
        <v>61</v>
      </c>
      <c r="AH18" s="169">
        <f t="shared" ca="1" si="6"/>
        <v>61</v>
      </c>
      <c r="AI18" s="169">
        <f t="shared" ca="1" si="6"/>
        <v>62</v>
      </c>
      <c r="AJ18" s="169">
        <f t="shared" ca="1" si="6"/>
        <v>64</v>
      </c>
    </row>
    <row r="19" spans="2:36" ht="13.5" thickBot="1" x14ac:dyDescent="0.3">
      <c r="B19" s="20" t="s">
        <v>22</v>
      </c>
      <c r="C19" s="32">
        <f>SUMIF(Venda!$A:$A,$B18,Venda!$I:$I)*-1</f>
        <v>17</v>
      </c>
      <c r="D19" s="123" t="s">
        <v>366</v>
      </c>
      <c r="E19" s="152">
        <v>33</v>
      </c>
      <c r="F19" s="142">
        <v>44834</v>
      </c>
      <c r="G19" s="8">
        <f ca="1">TODAY()-F19</f>
        <v>-350</v>
      </c>
      <c r="H19" s="147">
        <f ca="1">G19/30</f>
        <v>-11.666666666666666</v>
      </c>
      <c r="I19" s="7">
        <f>F19-30*3</f>
        <v>44744</v>
      </c>
      <c r="J19" s="178">
        <v>0</v>
      </c>
      <c r="K19" s="174" t="s">
        <v>258</v>
      </c>
      <c r="L19" s="113"/>
      <c r="M19" s="198"/>
      <c r="N19" s="198"/>
      <c r="O19" s="197"/>
      <c r="Q19" s="172" t="s">
        <v>304</v>
      </c>
      <c r="R19" s="170">
        <f t="shared" ref="R19:AJ19" si="7">R18/R20</f>
        <v>29</v>
      </c>
      <c r="S19" s="170">
        <f t="shared" si="7"/>
        <v>23.25</v>
      </c>
      <c r="T19" s="170">
        <f t="shared" ca="1" si="7"/>
        <v>5.5625</v>
      </c>
      <c r="U19" s="170">
        <f t="shared" si="7"/>
        <v>14.6</v>
      </c>
      <c r="V19" s="170">
        <f t="shared" si="7"/>
        <v>9.9</v>
      </c>
      <c r="W19" s="170">
        <f t="shared" ca="1" si="7"/>
        <v>8.1999999999999993</v>
      </c>
      <c r="X19" s="170">
        <f t="shared" ca="1" si="7"/>
        <v>7.2</v>
      </c>
      <c r="Y19" s="170">
        <f t="shared" ca="1" si="7"/>
        <v>7.333333333333333</v>
      </c>
      <c r="Z19" s="170">
        <f t="shared" ca="1" si="7"/>
        <v>6.666666666666667</v>
      </c>
      <c r="AA19" s="170">
        <f t="shared" ca="1" si="7"/>
        <v>4.8666666666666663</v>
      </c>
      <c r="AB19" s="170">
        <f t="shared" ca="1" si="7"/>
        <v>6.4</v>
      </c>
      <c r="AC19" s="170">
        <f t="shared" ca="1" si="7"/>
        <v>6.1</v>
      </c>
      <c r="AD19" s="170">
        <f t="shared" ca="1" si="7"/>
        <v>7.375</v>
      </c>
      <c r="AE19" s="170">
        <f t="shared" ca="1" si="7"/>
        <v>6.666666666666667</v>
      </c>
      <c r="AF19" s="170">
        <f t="shared" ca="1" si="7"/>
        <v>5.5454545454545459</v>
      </c>
      <c r="AG19" s="170">
        <f t="shared" ca="1" si="7"/>
        <v>5.083333333333333</v>
      </c>
      <c r="AH19" s="170">
        <f t="shared" ca="1" si="7"/>
        <v>5.083333333333333</v>
      </c>
      <c r="AI19" s="170">
        <f t="shared" ca="1" si="7"/>
        <v>5.166666666666667</v>
      </c>
      <c r="AJ19" s="170">
        <f t="shared" ca="1" si="7"/>
        <v>4.9230769230769234</v>
      </c>
    </row>
    <row r="20" spans="2:36" ht="13.5" thickBot="1" x14ac:dyDescent="0.35">
      <c r="B20" s="20" t="s">
        <v>24</v>
      </c>
      <c r="C20" s="32">
        <f>C21-C19</f>
        <v>-17</v>
      </c>
      <c r="D20" s="217"/>
      <c r="E20" s="218"/>
      <c r="F20" s="219"/>
      <c r="G20" s="11"/>
      <c r="H20" s="208"/>
      <c r="I20" s="10"/>
      <c r="J20" s="224"/>
      <c r="K20" s="225"/>
      <c r="L20" s="24"/>
      <c r="M20" s="209"/>
      <c r="N20" s="209"/>
      <c r="O20" s="210"/>
      <c r="Q20" s="172" t="s">
        <v>302</v>
      </c>
      <c r="R20" s="167">
        <f>INDEX(Forecast!$E$3:$AB$25,MATCH($B18,Forecast!$A$3:$A$25,0),MATCH(R$5,Forecast!$E$2:$AB$2,0))</f>
        <v>4</v>
      </c>
      <c r="S20" s="167">
        <f>INDEX(Forecast!$E$3:$AB$25,MATCH($B18,Forecast!$A$3:$A$25,0),MATCH(S$5,Forecast!$E$2:$AB$2,0))</f>
        <v>4</v>
      </c>
      <c r="T20" s="167">
        <f>INDEX(Forecast!$E$3:$AB$25,MATCH($B18,Forecast!$A$3:$A$25,0),MATCH(T$5,Forecast!$E$2:$AB$2,0))</f>
        <v>16</v>
      </c>
      <c r="U20" s="167">
        <f>INDEX(Forecast!$E$3:$AB$25,MATCH($B18,Forecast!$A$3:$A$25,0),MATCH(U$5,Forecast!$E$2:$AB$2,0))</f>
        <v>5</v>
      </c>
      <c r="V20" s="167">
        <f>INDEX(Forecast!$E$3:$AB$25,MATCH($B18,Forecast!$A$3:$A$25,0),MATCH(V$5,Forecast!$E$2:$AB$2,0))</f>
        <v>10</v>
      </c>
      <c r="W20" s="167">
        <f>INDEX(Forecast!$E$3:$AB$25,MATCH($B18,Forecast!$A$3:$A$25,0),MATCH(W$5,Forecast!$E$2:$AB$2,0))</f>
        <v>10</v>
      </c>
      <c r="X20" s="167">
        <f>INDEX(Forecast!$E$3:$AB$25,MATCH($B18,Forecast!$A$3:$A$25,0),MATCH(X$5,Forecast!$E$2:$AB$2,0))</f>
        <v>10</v>
      </c>
      <c r="Y20" s="167">
        <f>INDEX(Forecast!$E$3:$AB$25,MATCH($B18,Forecast!$A$3:$A$25,0),MATCH(Y$5,Forecast!$E$2:$AB$2,0))</f>
        <v>12</v>
      </c>
      <c r="Z20" s="167">
        <f>INDEX(Forecast!$E$3:$AB$25,MATCH($B18,Forecast!$A$3:$A$25,0),MATCH(Z$5,Forecast!$E$2:$AB$2,0))</f>
        <v>12</v>
      </c>
      <c r="AA20" s="167">
        <f>INDEX(Forecast!$E$3:$AB$25,MATCH($B18,Forecast!$A$3:$A$25,0),MATCH(AA$5,Forecast!$E$2:$AB$2,0))</f>
        <v>15</v>
      </c>
      <c r="AB20" s="167">
        <f>INDEX(Forecast!$E$3:$AB$25,MATCH($B18,Forecast!$A$3:$A$25,0),MATCH(AB$5,Forecast!$E$2:$AB$2,0))</f>
        <v>10</v>
      </c>
      <c r="AC20" s="167">
        <f>INDEX(Forecast!$E$3:$AB$25,MATCH($B18,Forecast!$A$3:$A$25,0),MATCH(AC$5,Forecast!$E$2:$AB$2,0))</f>
        <v>10</v>
      </c>
      <c r="AD20" s="167">
        <f>INDEX(Forecast!$E$3:$AB$25,MATCH($B18,Forecast!$A$3:$A$25,0),MATCH(AD$5,Forecast!$E$2:$AB$2,0))</f>
        <v>8</v>
      </c>
      <c r="AE20" s="167">
        <f>INDEX(Forecast!$E$3:$AB$25,MATCH($B18,Forecast!$A$3:$A$25,0),MATCH(AE$5,Forecast!$E$2:$AB$2,0))</f>
        <v>9</v>
      </c>
      <c r="AF20" s="167">
        <f>INDEX(Forecast!$E$3:$AB$25,MATCH($B18,Forecast!$A$3:$A$25,0),MATCH(AF$5,Forecast!$E$2:$AB$2,0))</f>
        <v>11</v>
      </c>
      <c r="AG20" s="167">
        <f>INDEX(Forecast!$E$3:$AB$25,MATCH($B18,Forecast!$A$3:$A$25,0),MATCH(AG$5,Forecast!$E$2:$AB$2,0))</f>
        <v>12</v>
      </c>
      <c r="AH20" s="167">
        <f>INDEX(Forecast!$E$3:$AB$25,MATCH($B18,Forecast!$A$3:$A$25,0),MATCH(AH$5,Forecast!$E$2:$AB$2,0))</f>
        <v>12</v>
      </c>
      <c r="AI20" s="167">
        <f>INDEX(Forecast!$E$3:$AB$25,MATCH($B18,Forecast!$A$3:$A$25,0),MATCH(AI$5,Forecast!$E$2:$AB$2,0))</f>
        <v>12</v>
      </c>
      <c r="AJ20" s="167">
        <f>INDEX(Forecast!$E$3:$AB$25,MATCH($B18,Forecast!$A$3:$A$25,0),MATCH(AJ$5,Forecast!$E$2:$AB$2,0))</f>
        <v>13</v>
      </c>
    </row>
    <row r="21" spans="2:36" ht="13.5" thickBot="1" x14ac:dyDescent="0.35">
      <c r="B21" s="20" t="s">
        <v>260</v>
      </c>
      <c r="C21" s="32">
        <f>VLOOKUP($B18,Colocado!$A:$C,3,0)</f>
        <v>0</v>
      </c>
      <c r="E21" s="206"/>
      <c r="F21" s="50"/>
      <c r="G21" s="8"/>
      <c r="H21" s="66"/>
      <c r="I21" s="66"/>
      <c r="J21" s="51"/>
      <c r="K21" s="51"/>
      <c r="L21" s="30"/>
      <c r="M21" s="184"/>
      <c r="N21" s="184"/>
      <c r="O21" s="30"/>
      <c r="P21" s="14"/>
      <c r="Q21" s="172" t="s">
        <v>305</v>
      </c>
      <c r="R21" s="168"/>
      <c r="S21" s="168">
        <v>0</v>
      </c>
      <c r="T21" s="168">
        <v>0</v>
      </c>
      <c r="U21" s="168">
        <v>0</v>
      </c>
      <c r="V21" s="168">
        <v>0</v>
      </c>
      <c r="W21" s="168">
        <v>0</v>
      </c>
      <c r="X21" s="168">
        <v>26</v>
      </c>
      <c r="Y21" s="168">
        <v>4</v>
      </c>
      <c r="Z21" s="168">
        <v>5</v>
      </c>
      <c r="AA21" s="168">
        <v>6</v>
      </c>
      <c r="AB21" s="168">
        <v>7</v>
      </c>
      <c r="AC21" s="168">
        <v>8</v>
      </c>
      <c r="AD21" s="168">
        <v>9</v>
      </c>
      <c r="AE21" s="168">
        <v>10</v>
      </c>
      <c r="AF21" s="168">
        <v>11</v>
      </c>
      <c r="AG21" s="168">
        <v>12</v>
      </c>
      <c r="AH21" s="168">
        <v>13</v>
      </c>
      <c r="AI21" s="168">
        <v>14</v>
      </c>
      <c r="AJ21" s="168">
        <v>15</v>
      </c>
    </row>
    <row r="22" spans="2:36" ht="13.5" thickBot="1" x14ac:dyDescent="0.3">
      <c r="B22" s="21"/>
      <c r="C22" s="161"/>
      <c r="L22" s="30"/>
      <c r="M22" s="184"/>
      <c r="N22" s="184"/>
      <c r="O22" s="30"/>
      <c r="P22" s="14"/>
      <c r="Q22" s="172" t="s">
        <v>306</v>
      </c>
      <c r="R22" s="171">
        <f ca="1">IF(R$5=$B$2,IF($C21&lt;R20,R18+R21-R20,R18+R21-$C21),R18+R21-R20)</f>
        <v>112</v>
      </c>
      <c r="S22" s="171">
        <f ca="1">IF(S$5=$B$2,IF($C21&lt;S20,S18+S21-S20,S18+S21-$C21),S18+S21-S20)</f>
        <v>89</v>
      </c>
      <c r="T22" s="171">
        <f ca="1">IF(T$5=$B$2,IF($C19&lt;T20,T18+T21-T20,T18+T21-$C19),T18+T21-T20)</f>
        <v>73</v>
      </c>
      <c r="U22" s="171">
        <f ca="1">IF(U$5=$B$2,IF($C19&lt;U20,U18+U21-U20,U18+U21-$C19),U18+U21-U20)</f>
        <v>68</v>
      </c>
      <c r="V22" s="171">
        <f ca="1">IF(V$5=$B$2,IF($C19&lt;V20,V18+V21-V20,V18+V21-$C19),V18+V21-V20)</f>
        <v>82</v>
      </c>
      <c r="W22" s="171">
        <f ca="1">IF(W$5=$B$2,IF($C19&lt;W20,W18+W21-W20,W18+W21-$C19),W18+W21-W20)</f>
        <v>72</v>
      </c>
      <c r="X22" s="171">
        <f ca="1">IF(X$5=$B$2,IF($C19&lt;X20,X18+X21-X20,X18+X21-$C19),X18+X21-X20)</f>
        <v>88</v>
      </c>
      <c r="Y22" s="171">
        <f t="shared" ref="Y22:AJ22" ca="1" si="8">IF(Y$5=$B$2,IF($C21&lt;Y20,Y18+Y21-Y20,Y18+Y21-$C21),Y18+Y21-Y20)</f>
        <v>80</v>
      </c>
      <c r="Z22" s="171">
        <f t="shared" ca="1" si="8"/>
        <v>73</v>
      </c>
      <c r="AA22" s="171">
        <f t="shared" ca="1" si="8"/>
        <v>64</v>
      </c>
      <c r="AB22" s="171">
        <f t="shared" ca="1" si="8"/>
        <v>61</v>
      </c>
      <c r="AC22" s="171">
        <f t="shared" ca="1" si="8"/>
        <v>59</v>
      </c>
      <c r="AD22" s="171">
        <f t="shared" ca="1" si="8"/>
        <v>60</v>
      </c>
      <c r="AE22" s="171">
        <f t="shared" ca="1" si="8"/>
        <v>61</v>
      </c>
      <c r="AF22" s="171">
        <f t="shared" ca="1" si="8"/>
        <v>61</v>
      </c>
      <c r="AG22" s="171">
        <f t="shared" ca="1" si="8"/>
        <v>61</v>
      </c>
      <c r="AH22" s="171">
        <f t="shared" ca="1" si="8"/>
        <v>62</v>
      </c>
      <c r="AI22" s="171">
        <f t="shared" ca="1" si="8"/>
        <v>64</v>
      </c>
      <c r="AJ22" s="171">
        <f t="shared" ca="1" si="8"/>
        <v>66</v>
      </c>
    </row>
    <row r="23" spans="2:36" ht="13.5" thickBot="1" x14ac:dyDescent="0.3">
      <c r="B23" s="21"/>
      <c r="C23" s="161"/>
      <c r="E23" s="18"/>
      <c r="F23" s="50"/>
      <c r="H23" s="51"/>
      <c r="I23" s="51"/>
      <c r="J23" s="51"/>
      <c r="K23" s="51"/>
      <c r="L23" s="30"/>
      <c r="M23" s="184"/>
      <c r="N23" s="184"/>
      <c r="O23" s="30"/>
      <c r="P23" s="14"/>
      <c r="Q23" s="172" t="s">
        <v>307</v>
      </c>
      <c r="R23" s="170">
        <f t="shared" ref="R23:W23" ca="1" si="9">R22/S20</f>
        <v>28</v>
      </c>
      <c r="S23" s="170">
        <f t="shared" ca="1" si="9"/>
        <v>5.5625</v>
      </c>
      <c r="T23" s="170">
        <f t="shared" ca="1" si="9"/>
        <v>14.6</v>
      </c>
      <c r="U23" s="170">
        <f t="shared" ca="1" si="9"/>
        <v>6.8</v>
      </c>
      <c r="V23" s="170">
        <f t="shared" ca="1" si="9"/>
        <v>8.1999999999999993</v>
      </c>
      <c r="W23" s="170">
        <f t="shared" ca="1" si="9"/>
        <v>7.2</v>
      </c>
      <c r="X23" s="170">
        <f t="shared" ref="X23:AJ23" ca="1" si="10">X22/Y18</f>
        <v>1</v>
      </c>
      <c r="Y23" s="170">
        <f t="shared" ca="1" si="10"/>
        <v>1</v>
      </c>
      <c r="Z23" s="170">
        <f t="shared" ca="1" si="10"/>
        <v>1</v>
      </c>
      <c r="AA23" s="170">
        <f t="shared" ca="1" si="10"/>
        <v>1</v>
      </c>
      <c r="AB23" s="170">
        <f t="shared" ca="1" si="10"/>
        <v>1</v>
      </c>
      <c r="AC23" s="170">
        <f t="shared" ca="1" si="10"/>
        <v>1</v>
      </c>
      <c r="AD23" s="170">
        <f t="shared" ca="1" si="10"/>
        <v>1</v>
      </c>
      <c r="AE23" s="170">
        <f t="shared" ca="1" si="10"/>
        <v>1</v>
      </c>
      <c r="AF23" s="170">
        <f t="shared" ca="1" si="10"/>
        <v>1</v>
      </c>
      <c r="AG23" s="170">
        <f t="shared" ca="1" si="10"/>
        <v>1</v>
      </c>
      <c r="AH23" s="170">
        <f t="shared" ca="1" si="10"/>
        <v>1</v>
      </c>
      <c r="AI23" s="170">
        <f t="shared" ca="1" si="10"/>
        <v>1</v>
      </c>
      <c r="AJ23" s="170" t="e">
        <f t="shared" ca="1" si="10"/>
        <v>#DIV/0!</v>
      </c>
    </row>
    <row r="24" spans="2:36" ht="13" x14ac:dyDescent="0.25">
      <c r="B24" s="21"/>
      <c r="C24" s="161"/>
      <c r="E24" s="18"/>
      <c r="F24" s="50"/>
      <c r="H24" s="51"/>
      <c r="I24" s="51"/>
      <c r="J24" s="51"/>
      <c r="K24" s="51"/>
      <c r="L24" s="30"/>
      <c r="M24" s="184"/>
      <c r="N24" s="184"/>
      <c r="O24" s="30"/>
      <c r="P24" s="14"/>
      <c r="Q24" s="1" t="s">
        <v>322</v>
      </c>
      <c r="R24" s="19">
        <f>AD15-E20</f>
        <v>0</v>
      </c>
      <c r="V24" s="19">
        <f>SUM(U20:AD20)-SUM(E18:E19)</f>
        <v>3</v>
      </c>
    </row>
    <row r="25" spans="2:36" ht="13.5" thickBot="1" x14ac:dyDescent="0.3">
      <c r="B25" s="154"/>
      <c r="C25" s="162"/>
      <c r="D25" s="155"/>
      <c r="E25" s="156"/>
      <c r="F25" s="157"/>
      <c r="G25" s="155"/>
      <c r="H25" s="158"/>
      <c r="I25" s="158"/>
      <c r="J25" s="158"/>
      <c r="K25" s="158"/>
      <c r="L25" s="159"/>
      <c r="M25" s="187"/>
      <c r="N25" s="187"/>
      <c r="O25" s="188"/>
      <c r="P25" s="14"/>
      <c r="Q25" s="14"/>
      <c r="R25" s="112"/>
      <c r="S25" s="108"/>
      <c r="U25" s="108"/>
      <c r="V25" s="108"/>
      <c r="W25" s="47"/>
    </row>
    <row r="27" spans="2:36" ht="13" thickBot="1" x14ac:dyDescent="0.3"/>
    <row r="28" spans="2:36" ht="15" customHeight="1" thickBot="1" x14ac:dyDescent="0.3">
      <c r="B28" s="311" t="s">
        <v>4</v>
      </c>
      <c r="C28" s="313" t="s">
        <v>3</v>
      </c>
      <c r="D28" s="315" t="s">
        <v>2</v>
      </c>
      <c r="E28" s="307" t="s">
        <v>12</v>
      </c>
      <c r="F28" s="307" t="s">
        <v>13</v>
      </c>
      <c r="G28" s="307" t="s">
        <v>14</v>
      </c>
      <c r="H28" s="307" t="s">
        <v>15</v>
      </c>
      <c r="I28" s="307" t="s">
        <v>295</v>
      </c>
      <c r="J28" s="309" t="s">
        <v>240</v>
      </c>
      <c r="K28" s="309" t="s">
        <v>288</v>
      </c>
      <c r="L28" s="305" t="s">
        <v>308</v>
      </c>
      <c r="M28" s="309" t="s">
        <v>250</v>
      </c>
      <c r="N28" s="309" t="s">
        <v>251</v>
      </c>
      <c r="O28" s="305" t="s">
        <v>259</v>
      </c>
      <c r="R28" s="163"/>
      <c r="S28" s="163"/>
      <c r="T28" s="163"/>
      <c r="U28" s="163"/>
      <c r="V28" s="163"/>
      <c r="W28" s="163"/>
      <c r="X28" s="163"/>
    </row>
    <row r="29" spans="2:36" ht="15" customHeight="1" thickBot="1" x14ac:dyDescent="0.3">
      <c r="B29" s="312"/>
      <c r="C29" s="314"/>
      <c r="D29" s="316"/>
      <c r="E29" s="308"/>
      <c r="F29" s="308"/>
      <c r="G29" s="308" t="s">
        <v>1</v>
      </c>
      <c r="H29" s="308" t="s">
        <v>1</v>
      </c>
      <c r="I29" s="308"/>
      <c r="J29" s="310"/>
      <c r="K29" s="310"/>
      <c r="L29" s="322"/>
      <c r="M29" s="317"/>
      <c r="N29" s="317"/>
      <c r="O29" s="306"/>
      <c r="R29" s="164">
        <v>44348</v>
      </c>
      <c r="S29" s="165">
        <v>44378</v>
      </c>
      <c r="T29" s="165">
        <v>44409</v>
      </c>
      <c r="U29" s="165">
        <v>44440</v>
      </c>
      <c r="V29" s="165">
        <v>44470</v>
      </c>
      <c r="W29" s="165">
        <v>44501</v>
      </c>
      <c r="X29" s="166">
        <v>44531</v>
      </c>
      <c r="Y29" s="165">
        <v>44562</v>
      </c>
    </row>
    <row r="30" spans="2:36" ht="13.5" thickBot="1" x14ac:dyDescent="0.3">
      <c r="B30" s="296" t="s">
        <v>122</v>
      </c>
      <c r="C30" s="31" t="s">
        <v>123</v>
      </c>
      <c r="D30" s="124" t="s">
        <v>300</v>
      </c>
      <c r="E30" s="114">
        <v>63</v>
      </c>
      <c r="F30" s="142">
        <v>45169</v>
      </c>
      <c r="G30" s="8">
        <f ca="1">TODAY()-F30</f>
        <v>-685</v>
      </c>
      <c r="H30" s="147">
        <f ca="1">G30/30</f>
        <v>-22.833333333333332</v>
      </c>
      <c r="I30" s="7">
        <f>F30-30*9</f>
        <v>44899</v>
      </c>
      <c r="J30" s="143">
        <v>0</v>
      </c>
      <c r="K30" s="174" t="s">
        <v>258</v>
      </c>
      <c r="L30" s="30"/>
      <c r="M30" s="8"/>
      <c r="N30" s="8"/>
      <c r="O30" s="30"/>
      <c r="Q30" s="172" t="s">
        <v>303</v>
      </c>
      <c r="R30" s="168" t="e">
        <f>SUM(#REF!)+C31</f>
        <v>#REF!</v>
      </c>
      <c r="S30" s="169">
        <v>183</v>
      </c>
      <c r="T30" s="169">
        <v>654</v>
      </c>
      <c r="U30" s="169">
        <v>576</v>
      </c>
      <c r="V30" s="169">
        <v>426</v>
      </c>
      <c r="W30" s="169">
        <f ca="1">V34</f>
        <v>707</v>
      </c>
      <c r="X30" s="169">
        <f ca="1">W34</f>
        <v>537</v>
      </c>
      <c r="Y30" s="169">
        <f ca="1">X34</f>
        <v>363</v>
      </c>
    </row>
    <row r="31" spans="2:36" ht="13.5" thickBot="1" x14ac:dyDescent="0.3">
      <c r="B31" s="20" t="s">
        <v>22</v>
      </c>
      <c r="C31" s="32">
        <f>SUMIF(Venda!$A:$A,$B30,Venda!$I:$I)*-1</f>
        <v>17</v>
      </c>
      <c r="D31" s="123" t="s">
        <v>335</v>
      </c>
      <c r="E31" s="152">
        <v>361</v>
      </c>
      <c r="F31" s="149">
        <v>45169</v>
      </c>
      <c r="G31" s="8">
        <f ca="1">TODAY()-F31</f>
        <v>-685</v>
      </c>
      <c r="H31" s="147">
        <f ca="1">G31/30</f>
        <v>-22.833333333333332</v>
      </c>
      <c r="I31" s="7">
        <f>F31-30*9</f>
        <v>44899</v>
      </c>
      <c r="J31" s="178">
        <v>0</v>
      </c>
      <c r="K31" s="174" t="s">
        <v>258</v>
      </c>
      <c r="L31" s="30"/>
      <c r="M31" s="184"/>
      <c r="N31" s="184"/>
      <c r="O31" s="30"/>
      <c r="Q31" s="172" t="s">
        <v>304</v>
      </c>
      <c r="R31" s="170" t="e">
        <f t="shared" ref="R31:X31" si="11">R30/R32</f>
        <v>#REF!</v>
      </c>
      <c r="S31" s="170">
        <f t="shared" si="11"/>
        <v>0.87980769230769229</v>
      </c>
      <c r="T31" s="170">
        <f t="shared" si="11"/>
        <v>8.384615384615385</v>
      </c>
      <c r="U31" s="170">
        <f t="shared" si="11"/>
        <v>3.84</v>
      </c>
      <c r="V31" s="170">
        <f t="shared" si="11"/>
        <v>2.6625000000000001</v>
      </c>
      <c r="W31" s="170">
        <f t="shared" ca="1" si="11"/>
        <v>4.158823529411765</v>
      </c>
      <c r="X31" s="170">
        <f t="shared" ca="1" si="11"/>
        <v>3.0862068965517242</v>
      </c>
      <c r="Y31" s="170">
        <f t="shared" ref="Y31" ca="1" si="12">Y30/Y32</f>
        <v>2.0055248618784529</v>
      </c>
    </row>
    <row r="32" spans="2:36" ht="13.5" thickBot="1" x14ac:dyDescent="0.35">
      <c r="B32" s="20" t="s">
        <v>24</v>
      </c>
      <c r="C32" s="32">
        <f>C33-C31</f>
        <v>-17</v>
      </c>
      <c r="D32" s="59" t="s">
        <v>470</v>
      </c>
      <c r="E32" s="59">
        <v>441</v>
      </c>
      <c r="F32" s="125">
        <v>45291</v>
      </c>
      <c r="G32" s="8">
        <f ca="1">TODAY()-F32</f>
        <v>-807</v>
      </c>
      <c r="H32" s="147">
        <f ca="1">G32/30</f>
        <v>-26.9</v>
      </c>
      <c r="I32" s="7">
        <f>F32-30*9</f>
        <v>45021</v>
      </c>
      <c r="J32" s="247">
        <v>4</v>
      </c>
      <c r="K32" s="177" t="s">
        <v>255</v>
      </c>
      <c r="L32" s="30"/>
      <c r="M32" s="209"/>
      <c r="N32" s="209"/>
      <c r="O32" s="210"/>
      <c r="Q32" s="172" t="s">
        <v>302</v>
      </c>
      <c r="R32" s="167">
        <f>INDEX(Forecast!$E$3:$AB$25,MATCH($B30,Forecast!$A$3:$A$25,0),MATCH(R$5,Forecast!$E$2:$AB$2,0))</f>
        <v>111</v>
      </c>
      <c r="S32" s="167">
        <f>INDEX(Forecast!$E$3:$AB$25,MATCH($B30,Forecast!$A$3:$A$25,0),MATCH(S$5,Forecast!$E$2:$AB$2,0))</f>
        <v>208</v>
      </c>
      <c r="T32" s="167">
        <f>INDEX(Forecast!$E$3:$AB$25,MATCH($B30,Forecast!$A$3:$A$25,0),MATCH(T$5,Forecast!$E$2:$AB$2,0))</f>
        <v>78</v>
      </c>
      <c r="U32" s="167">
        <f>INDEX(Forecast!$E$3:$AB$25,MATCH($B30,Forecast!$A$3:$A$25,0),MATCH(U$5,Forecast!$E$2:$AB$2,0))</f>
        <v>150</v>
      </c>
      <c r="V32" s="167">
        <f>INDEX(Forecast!$E$3:$AB$25,MATCH($B30,Forecast!$A$3:$A$25,0),MATCH(V$5,Forecast!$E$2:$AB$2,0))</f>
        <v>160</v>
      </c>
      <c r="W32" s="167">
        <f>INDEX(Forecast!$E$3:$AB$25,MATCH($B30,Forecast!$A$3:$A$25,0),MATCH(W$5,Forecast!$E$2:$AB$2,0))</f>
        <v>170</v>
      </c>
      <c r="X32" s="167">
        <f>INDEX(Forecast!$E$3:$AB$25,MATCH($B30,Forecast!$A$3:$A$25,0),MATCH(X$5,Forecast!$E$2:$AB$2,0))</f>
        <v>174</v>
      </c>
      <c r="Y32" s="167">
        <f>INDEX(Forecast!$E$3:$AB$25,MATCH($B30,Forecast!$A$3:$A$25,0),MATCH(Y$5,Forecast!$E$2:$AB$2,0))</f>
        <v>181</v>
      </c>
    </row>
    <row r="33" spans="2:25" ht="13.5" thickBot="1" x14ac:dyDescent="0.35">
      <c r="B33" s="20" t="s">
        <v>260</v>
      </c>
      <c r="C33" s="32">
        <f>VLOOKUP($B30,Colocado!$A:$C,3,0)</f>
        <v>0</v>
      </c>
      <c r="D33" s="217"/>
      <c r="E33" s="218"/>
      <c r="F33" s="229"/>
      <c r="G33" s="11"/>
      <c r="H33" s="208"/>
      <c r="I33" s="10"/>
      <c r="J33" s="224"/>
      <c r="K33" s="225"/>
      <c r="L33" s="24"/>
      <c r="M33" s="209"/>
      <c r="N33" s="209"/>
      <c r="O33" s="210"/>
      <c r="P33" s="14"/>
      <c r="Q33" s="172" t="s">
        <v>305</v>
      </c>
      <c r="R33" s="168">
        <f>E30</f>
        <v>63</v>
      </c>
      <c r="S33" s="168">
        <f>E30</f>
        <v>63</v>
      </c>
      <c r="T33" s="168">
        <v>0</v>
      </c>
      <c r="U33" s="168">
        <v>472</v>
      </c>
      <c r="V33" s="168">
        <v>441</v>
      </c>
      <c r="W33" s="168">
        <v>0</v>
      </c>
      <c r="X33" s="168">
        <v>0</v>
      </c>
      <c r="Y33" s="168">
        <v>376</v>
      </c>
    </row>
    <row r="34" spans="2:25" ht="13.5" thickBot="1" x14ac:dyDescent="0.35">
      <c r="B34" s="21"/>
      <c r="C34" s="161"/>
      <c r="E34" s="18"/>
      <c r="F34" s="50"/>
      <c r="G34" s="8"/>
      <c r="H34" s="66"/>
      <c r="I34" s="66"/>
      <c r="J34" s="51"/>
      <c r="K34" s="51"/>
      <c r="L34" s="30"/>
      <c r="M34" s="184"/>
      <c r="N34" s="184"/>
      <c r="O34" s="30"/>
      <c r="P34" s="14"/>
      <c r="Q34" s="172" t="s">
        <v>306</v>
      </c>
      <c r="R34" s="171" t="e">
        <f ca="1">IF(R$5=$B$2,IF($C33&lt;R32,R30+R33-R32,R30+R33-$C33),R30+R33-R32)</f>
        <v>#REF!</v>
      </c>
      <c r="S34" s="171">
        <f ca="1">IF(S$5=$B$2,IF($C33&lt;S32,S30+S33-S32,S30+S33-$C33),S30+S33-S32)</f>
        <v>38</v>
      </c>
      <c r="T34" s="171">
        <f t="shared" ref="T34:Y34" ca="1" si="13">IF(T$5=$B$2,IF($C31&lt;T32,T30+T33-T32,T30+T33-$C31),T30+T33-T32)</f>
        <v>576</v>
      </c>
      <c r="U34" s="171">
        <f t="shared" ca="1" si="13"/>
        <v>898</v>
      </c>
      <c r="V34" s="171">
        <f t="shared" ca="1" si="13"/>
        <v>707</v>
      </c>
      <c r="W34" s="171">
        <f t="shared" ca="1" si="13"/>
        <v>537</v>
      </c>
      <c r="X34" s="171">
        <f t="shared" ca="1" si="13"/>
        <v>363</v>
      </c>
      <c r="Y34" s="171">
        <f t="shared" ca="1" si="13"/>
        <v>558</v>
      </c>
    </row>
    <row r="35" spans="2:25" ht="13.5" thickBot="1" x14ac:dyDescent="0.3">
      <c r="B35" s="21"/>
      <c r="C35" s="161"/>
      <c r="E35" s="18"/>
      <c r="F35" s="50"/>
      <c r="H35" s="51"/>
      <c r="I35" s="51"/>
      <c r="J35" s="51"/>
      <c r="K35" s="51"/>
      <c r="L35" s="30"/>
      <c r="M35" s="184"/>
      <c r="N35" s="184"/>
      <c r="O35" s="30"/>
      <c r="P35" s="14"/>
      <c r="Q35" s="172" t="s">
        <v>307</v>
      </c>
      <c r="R35" s="170" t="e">
        <f t="shared" ref="R35:W35" ca="1" si="14">R34/S32</f>
        <v>#REF!</v>
      </c>
      <c r="S35" s="170">
        <f t="shared" ca="1" si="14"/>
        <v>0.48717948717948717</v>
      </c>
      <c r="T35" s="170">
        <f t="shared" ca="1" si="14"/>
        <v>3.84</v>
      </c>
      <c r="U35" s="170">
        <f t="shared" ca="1" si="14"/>
        <v>5.6124999999999998</v>
      </c>
      <c r="V35" s="170">
        <f t="shared" ca="1" si="14"/>
        <v>4.158823529411765</v>
      </c>
      <c r="W35" s="170">
        <f t="shared" ca="1" si="14"/>
        <v>3.0862068965517242</v>
      </c>
      <c r="X35" s="170">
        <f ca="1">X34/Y30</f>
        <v>1</v>
      </c>
      <c r="Y35" s="170" t="e">
        <f ca="1">Y34/Z30</f>
        <v>#DIV/0!</v>
      </c>
    </row>
    <row r="36" spans="2:25" ht="13" x14ac:dyDescent="0.25">
      <c r="B36" s="21"/>
      <c r="C36" s="161"/>
      <c r="E36" s="18"/>
      <c r="F36" s="50"/>
      <c r="H36" s="51"/>
      <c r="I36" s="51"/>
      <c r="J36" s="51"/>
      <c r="K36" s="51"/>
      <c r="L36" s="30"/>
      <c r="M36" s="184"/>
      <c r="N36" s="184"/>
      <c r="O36" s="30"/>
      <c r="P36" s="14"/>
      <c r="U36" s="1" t="s">
        <v>321</v>
      </c>
    </row>
    <row r="37" spans="2:25" ht="13.5" thickBot="1" x14ac:dyDescent="0.3">
      <c r="B37" s="154"/>
      <c r="C37" s="162"/>
      <c r="D37" s="155"/>
      <c r="E37" s="156"/>
      <c r="F37" s="157"/>
      <c r="G37" s="155"/>
      <c r="H37" s="158"/>
      <c r="I37" s="158"/>
      <c r="J37" s="158"/>
      <c r="K37" s="158"/>
      <c r="L37" s="159"/>
      <c r="M37" s="187"/>
      <c r="N37" s="187"/>
      <c r="O37" s="188"/>
      <c r="P37" s="14"/>
      <c r="Q37" s="14"/>
      <c r="R37" s="112"/>
      <c r="S37" s="108"/>
      <c r="U37" s="108"/>
      <c r="V37" s="108"/>
      <c r="W37" s="47"/>
    </row>
    <row r="38" spans="2:25" ht="13" x14ac:dyDescent="0.25">
      <c r="B38" s="25"/>
      <c r="C38" s="35"/>
      <c r="D38" s="180"/>
      <c r="E38" s="181"/>
      <c r="F38" s="182"/>
      <c r="G38" s="180"/>
      <c r="H38" s="183"/>
      <c r="I38" s="183"/>
      <c r="J38" s="183"/>
      <c r="K38" s="183"/>
      <c r="L38" s="153"/>
      <c r="M38" s="183"/>
      <c r="N38" s="183"/>
      <c r="O38" s="153"/>
      <c r="P38" s="14"/>
      <c r="Q38" s="14"/>
      <c r="R38" s="112"/>
      <c r="S38" s="108"/>
      <c r="U38" s="108"/>
      <c r="V38" s="108"/>
      <c r="W38" s="47"/>
    </row>
    <row r="39" spans="2:25" ht="13" thickBot="1" x14ac:dyDescent="0.3"/>
    <row r="40" spans="2:25" ht="15" customHeight="1" thickBot="1" x14ac:dyDescent="0.3">
      <c r="B40" s="311" t="s">
        <v>4</v>
      </c>
      <c r="C40" s="313" t="s">
        <v>3</v>
      </c>
      <c r="D40" s="315" t="s">
        <v>2</v>
      </c>
      <c r="E40" s="307" t="s">
        <v>12</v>
      </c>
      <c r="F40" s="307" t="s">
        <v>13</v>
      </c>
      <c r="G40" s="307" t="s">
        <v>14</v>
      </c>
      <c r="H40" s="307" t="s">
        <v>15</v>
      </c>
      <c r="I40" s="307" t="s">
        <v>295</v>
      </c>
      <c r="J40" s="309" t="s">
        <v>240</v>
      </c>
      <c r="K40" s="309" t="s">
        <v>288</v>
      </c>
      <c r="L40" s="305" t="s">
        <v>308</v>
      </c>
      <c r="M40" s="309" t="s">
        <v>250</v>
      </c>
      <c r="N40" s="309" t="s">
        <v>251</v>
      </c>
      <c r="O40" s="305" t="s">
        <v>259</v>
      </c>
      <c r="R40" s="163"/>
      <c r="S40" s="163"/>
      <c r="T40" s="163"/>
      <c r="U40" s="163"/>
      <c r="V40" s="163"/>
      <c r="W40" s="163"/>
      <c r="X40" s="163"/>
    </row>
    <row r="41" spans="2:25" ht="15" customHeight="1" thickBot="1" x14ac:dyDescent="0.3">
      <c r="B41" s="312"/>
      <c r="C41" s="314"/>
      <c r="D41" s="316"/>
      <c r="E41" s="308"/>
      <c r="F41" s="308"/>
      <c r="G41" s="308" t="s">
        <v>1</v>
      </c>
      <c r="H41" s="308" t="s">
        <v>1</v>
      </c>
      <c r="I41" s="308"/>
      <c r="J41" s="310"/>
      <c r="K41" s="310"/>
      <c r="L41" s="322"/>
      <c r="M41" s="317"/>
      <c r="N41" s="317"/>
      <c r="O41" s="306"/>
      <c r="R41" s="164">
        <v>44348</v>
      </c>
      <c r="S41" s="165">
        <v>44378</v>
      </c>
      <c r="T41" s="165">
        <v>44409</v>
      </c>
      <c r="U41" s="165">
        <v>44440</v>
      </c>
      <c r="V41" s="165">
        <v>44470</v>
      </c>
      <c r="W41" s="165">
        <v>44501</v>
      </c>
      <c r="X41" s="166">
        <v>44531</v>
      </c>
    </row>
    <row r="42" spans="2:25" ht="13.5" thickBot="1" x14ac:dyDescent="0.3">
      <c r="B42" s="23" t="s">
        <v>124</v>
      </c>
      <c r="C42" s="31" t="s">
        <v>125</v>
      </c>
      <c r="D42" s="124"/>
      <c r="E42" s="114"/>
      <c r="F42" s="142"/>
      <c r="G42" s="8"/>
      <c r="H42" s="147"/>
      <c r="I42" s="7"/>
      <c r="J42" s="143"/>
      <c r="K42" s="174"/>
      <c r="L42" s="30"/>
      <c r="M42" s="8"/>
      <c r="N42" s="8"/>
      <c r="O42" s="30"/>
      <c r="Q42" s="172" t="s">
        <v>303</v>
      </c>
      <c r="R42" s="168">
        <f>SUM(E42:E43)+C43</f>
        <v>10</v>
      </c>
      <c r="S42" s="169">
        <v>748</v>
      </c>
      <c r="T42" s="169">
        <v>742</v>
      </c>
      <c r="U42" s="169">
        <v>742</v>
      </c>
      <c r="V42" s="169">
        <v>10</v>
      </c>
      <c r="W42" s="169">
        <f ca="1">V46</f>
        <v>26</v>
      </c>
      <c r="X42" s="169">
        <f ca="1">W46</f>
        <v>26</v>
      </c>
    </row>
    <row r="43" spans="2:25" ht="13.5" thickBot="1" x14ac:dyDescent="0.3">
      <c r="B43" s="20" t="s">
        <v>22</v>
      </c>
      <c r="C43" s="32">
        <f>SUMIF(Venda!$A:$A,$B42,Venda!$I:$I)*-1</f>
        <v>0</v>
      </c>
      <c r="D43" s="123" t="s">
        <v>300</v>
      </c>
      <c r="E43" s="152">
        <v>10</v>
      </c>
      <c r="F43" s="149">
        <v>45169</v>
      </c>
      <c r="G43" s="8">
        <f ca="1">TODAY()-F43</f>
        <v>-685</v>
      </c>
      <c r="H43" s="147">
        <f ca="1">G43/30</f>
        <v>-22.833333333333332</v>
      </c>
      <c r="I43" s="7">
        <f>F43-30*9</f>
        <v>44899</v>
      </c>
      <c r="J43" s="178">
        <v>0</v>
      </c>
      <c r="K43" s="174" t="s">
        <v>258</v>
      </c>
      <c r="L43" s="30"/>
      <c r="M43" s="198"/>
      <c r="N43" s="198"/>
      <c r="O43" s="197"/>
      <c r="Q43" s="172" t="s">
        <v>304</v>
      </c>
      <c r="R43" s="170" t="e">
        <f t="shared" ref="R43:X43" si="15">R42/R44</f>
        <v>#DIV/0!</v>
      </c>
      <c r="S43" s="170" t="e">
        <f t="shared" si="15"/>
        <v>#DIV/0!</v>
      </c>
      <c r="T43" s="170" t="e">
        <f t="shared" si="15"/>
        <v>#DIV/0!</v>
      </c>
      <c r="U43" s="170" t="e">
        <f t="shared" si="15"/>
        <v>#DIV/0!</v>
      </c>
      <c r="V43" s="170" t="e">
        <f t="shared" si="15"/>
        <v>#DIV/0!</v>
      </c>
      <c r="W43" s="170" t="e">
        <f t="shared" ca="1" si="15"/>
        <v>#DIV/0!</v>
      </c>
      <c r="X43" s="170" t="e">
        <f t="shared" ca="1" si="15"/>
        <v>#DIV/0!</v>
      </c>
    </row>
    <row r="44" spans="2:25" ht="13.5" thickBot="1" x14ac:dyDescent="0.3">
      <c r="B44" s="20" t="s">
        <v>24</v>
      </c>
      <c r="C44" s="32">
        <f>C45-C43</f>
        <v>0</v>
      </c>
      <c r="L44" s="30"/>
      <c r="O44" s="30"/>
      <c r="Q44" s="172" t="s">
        <v>302</v>
      </c>
      <c r="R44" s="167">
        <f>INDEX(Forecast!$E$3:$AB$25,MATCH($B42,Forecast!$A$3:$A$25,0),MATCH(R$5,Forecast!$E$2:$AB$2,0))</f>
        <v>0</v>
      </c>
      <c r="S44" s="167">
        <f>INDEX(Forecast!$E$3:$AB$25,MATCH($B42,Forecast!$A$3:$A$25,0),MATCH(S$5,Forecast!$E$2:$AB$2,0))</f>
        <v>0</v>
      </c>
      <c r="T44" s="167">
        <f>INDEX(Forecast!$E$3:$AB$25,MATCH($B42,Forecast!$A$3:$A$25,0),MATCH(T$5,Forecast!$E$2:$AB$2,0))</f>
        <v>0</v>
      </c>
      <c r="U44" s="167">
        <f>INDEX(Forecast!$E$3:$AB$25,MATCH($B42,Forecast!$A$3:$A$25,0),MATCH(U$5,Forecast!$E$2:$AB$2,0))</f>
        <v>0</v>
      </c>
      <c r="V44" s="167">
        <f>INDEX(Forecast!$E$3:$AB$25,MATCH($B42,Forecast!$A$3:$A$25,0),MATCH(V$5,Forecast!$E$2:$AB$2,0))</f>
        <v>0</v>
      </c>
      <c r="W44" s="167">
        <f>INDEX(Forecast!$E$3:$AB$25,MATCH($B42,Forecast!$A$3:$A$25,0),MATCH(W$5,Forecast!$E$2:$AB$2,0))</f>
        <v>0</v>
      </c>
      <c r="X44" s="167">
        <f>INDEX(Forecast!$E$3:$AB$25,MATCH($B42,Forecast!$A$3:$A$25,0),MATCH(X$5,Forecast!$E$2:$AB$2,0))</f>
        <v>0</v>
      </c>
    </row>
    <row r="45" spans="2:25" ht="13.5" thickBot="1" x14ac:dyDescent="0.35">
      <c r="B45" s="20" t="s">
        <v>260</v>
      </c>
      <c r="C45" s="32">
        <f>VLOOKUP($B42,Colocado!$A:$C,3,0)</f>
        <v>0</v>
      </c>
      <c r="D45" s="123"/>
      <c r="E45" s="152"/>
      <c r="F45" s="142"/>
      <c r="G45" s="143"/>
      <c r="H45" s="144"/>
      <c r="I45" s="142"/>
      <c r="J45" s="178"/>
      <c r="K45" s="177"/>
      <c r="L45" s="30"/>
      <c r="M45" s="184"/>
      <c r="N45" s="184"/>
      <c r="O45" s="30"/>
      <c r="P45" s="14"/>
      <c r="Q45" s="172" t="s">
        <v>305</v>
      </c>
      <c r="R45" s="168"/>
      <c r="S45" s="168"/>
      <c r="T45" s="168">
        <v>0</v>
      </c>
      <c r="U45" s="168">
        <v>0</v>
      </c>
      <c r="V45" s="168">
        <v>16</v>
      </c>
      <c r="W45" s="168">
        <v>0</v>
      </c>
      <c r="X45" s="168">
        <v>0</v>
      </c>
    </row>
    <row r="46" spans="2:25" ht="13.5" thickBot="1" x14ac:dyDescent="0.35">
      <c r="B46" s="21"/>
      <c r="C46" s="161"/>
      <c r="E46" s="18"/>
      <c r="F46" s="50"/>
      <c r="G46" s="8"/>
      <c r="H46" s="66"/>
      <c r="I46" s="66"/>
      <c r="J46" s="51"/>
      <c r="K46" s="51"/>
      <c r="L46" s="30"/>
      <c r="M46" s="184"/>
      <c r="N46" s="184"/>
      <c r="O46" s="30"/>
      <c r="P46" s="14"/>
      <c r="Q46" s="172" t="s">
        <v>306</v>
      </c>
      <c r="R46" s="171">
        <f ca="1">IF(R$5=$B$2,IF($C45&lt;R44,R42+R45-R44,R42+R45-$C45),R42+R45-R44)</f>
        <v>10</v>
      </c>
      <c r="S46" s="171">
        <f ca="1">IF(S$5=$B$2,IF($C45&lt;S44,S42+S45-S44,S42+S45-$C45),S42+S45-S44)</f>
        <v>748</v>
      </c>
      <c r="T46" s="171">
        <f ca="1">IF(T$5=$B$2,IF($C43&lt;T44,T42+T45-T44,T42+T45-$C43),T42+T45-T44)</f>
        <v>742</v>
      </c>
      <c r="U46" s="171">
        <f ca="1">IF(U$5=$B$2,IF($C43&lt;U44,U42+U45-U44,U42+U45-$C43),U42+U45-U44)</f>
        <v>742</v>
      </c>
      <c r="V46" s="171">
        <f ca="1">IF(V$5=$B$2,IF($C43&lt;V44,V42+V45-V44,V42+V45-$C43),V42+V45-V44)</f>
        <v>26</v>
      </c>
      <c r="W46" s="171">
        <f ca="1">IF(W$5=$B$2,IF($C43&lt;W44,W42+W45-W44,W42+W45-$C43),W42+W45-W44)</f>
        <v>26</v>
      </c>
      <c r="X46" s="171">
        <f ca="1">IF(X$5=$B$2,IF($C43&lt;X44,X42+X45-X44,X42+X45-$C43),X42+X45-X44)</f>
        <v>26</v>
      </c>
    </row>
    <row r="47" spans="2:25" ht="13.5" thickBot="1" x14ac:dyDescent="0.3">
      <c r="B47" s="21"/>
      <c r="C47" s="161"/>
      <c r="E47" s="18"/>
      <c r="F47" s="50"/>
      <c r="H47" s="51"/>
      <c r="I47" s="51"/>
      <c r="J47" s="51"/>
      <c r="K47" s="51"/>
      <c r="L47" s="30"/>
      <c r="M47" s="184"/>
      <c r="N47" s="184"/>
      <c r="O47" s="30"/>
      <c r="P47" s="14"/>
      <c r="Q47" s="172" t="s">
        <v>307</v>
      </c>
      <c r="R47" s="170" t="e">
        <f t="shared" ref="R47:W47" ca="1" si="16">R46/S44</f>
        <v>#DIV/0!</v>
      </c>
      <c r="S47" s="170" t="e">
        <f t="shared" ca="1" si="16"/>
        <v>#DIV/0!</v>
      </c>
      <c r="T47" s="170" t="e">
        <f t="shared" ca="1" si="16"/>
        <v>#DIV/0!</v>
      </c>
      <c r="U47" s="170" t="e">
        <f t="shared" ca="1" si="16"/>
        <v>#DIV/0!</v>
      </c>
      <c r="V47" s="170" t="e">
        <f t="shared" ca="1" si="16"/>
        <v>#DIV/0!</v>
      </c>
      <c r="W47" s="170" t="e">
        <f t="shared" ca="1" si="16"/>
        <v>#DIV/0!</v>
      </c>
      <c r="X47" s="170" t="e">
        <f ca="1">X46/Y42</f>
        <v>#DIV/0!</v>
      </c>
    </row>
    <row r="48" spans="2:25" ht="13" x14ac:dyDescent="0.25">
      <c r="B48" s="21"/>
      <c r="C48" s="161"/>
      <c r="E48" s="18"/>
      <c r="F48" s="50"/>
      <c r="H48" s="51"/>
      <c r="I48" s="51"/>
      <c r="J48" s="51"/>
      <c r="K48" s="51"/>
      <c r="L48" s="30"/>
      <c r="M48" s="184"/>
      <c r="N48" s="184"/>
      <c r="O48" s="30"/>
      <c r="P48" s="14"/>
    </row>
    <row r="49" spans="2:23" ht="13.5" thickBot="1" x14ac:dyDescent="0.3">
      <c r="B49" s="154"/>
      <c r="C49" s="162"/>
      <c r="D49" s="155"/>
      <c r="E49" s="156"/>
      <c r="F49" s="157"/>
      <c r="G49" s="155"/>
      <c r="H49" s="158"/>
      <c r="I49" s="158"/>
      <c r="J49" s="158"/>
      <c r="K49" s="158"/>
      <c r="L49" s="159"/>
      <c r="M49" s="187"/>
      <c r="N49" s="187"/>
      <c r="O49" s="188"/>
      <c r="P49" s="14"/>
      <c r="Q49" s="14"/>
      <c r="R49" s="112"/>
      <c r="S49" s="108"/>
      <c r="U49" s="108"/>
      <c r="V49" s="108"/>
      <c r="W49" s="47"/>
    </row>
  </sheetData>
  <mergeCells count="56">
    <mergeCell ref="J40:J41"/>
    <mergeCell ref="K40:K41"/>
    <mergeCell ref="L40:L41"/>
    <mergeCell ref="M40:M41"/>
    <mergeCell ref="N40:N41"/>
    <mergeCell ref="O40:O41"/>
    <mergeCell ref="N28:N29"/>
    <mergeCell ref="O28:O29"/>
    <mergeCell ref="B40:B41"/>
    <mergeCell ref="C40:C41"/>
    <mergeCell ref="D40:D41"/>
    <mergeCell ref="E40:E41"/>
    <mergeCell ref="F40:F41"/>
    <mergeCell ref="G40:G41"/>
    <mergeCell ref="H40:H41"/>
    <mergeCell ref="I40:I41"/>
    <mergeCell ref="H28:H29"/>
    <mergeCell ref="I28:I29"/>
    <mergeCell ref="J28:J29"/>
    <mergeCell ref="K28:K29"/>
    <mergeCell ref="L28:L29"/>
    <mergeCell ref="M28:M29"/>
    <mergeCell ref="B28:B29"/>
    <mergeCell ref="C28:C29"/>
    <mergeCell ref="D28:D29"/>
    <mergeCell ref="E28:E29"/>
    <mergeCell ref="F28:F29"/>
    <mergeCell ref="G28:G29"/>
    <mergeCell ref="J16:J17"/>
    <mergeCell ref="K16:K17"/>
    <mergeCell ref="L16:L17"/>
    <mergeCell ref="M16:M17"/>
    <mergeCell ref="N16:N17"/>
    <mergeCell ref="O16:O17"/>
    <mergeCell ref="N4:N5"/>
    <mergeCell ref="O4:O5"/>
    <mergeCell ref="B16:B17"/>
    <mergeCell ref="C16:C17"/>
    <mergeCell ref="D16:D17"/>
    <mergeCell ref="E16:E17"/>
    <mergeCell ref="F16:F17"/>
    <mergeCell ref="G16:G17"/>
    <mergeCell ref="H16:H17"/>
    <mergeCell ref="I16:I17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G4:G5"/>
  </mergeCells>
  <conditionalFormatting sqref="R7:AJ7">
    <cfRule type="cellIs" dxfId="147" priority="29" operator="lessThan">
      <formula>1</formula>
    </cfRule>
  </conditionalFormatting>
  <conditionalFormatting sqref="K1:K5 K51:K1048576 K8:K15 K33:K39 K20:K21 K23:K31">
    <cfRule type="cellIs" dxfId="146" priority="28" operator="equal">
      <formula>"BR08"</formula>
    </cfRule>
  </conditionalFormatting>
  <conditionalFormatting sqref="R19:X19">
    <cfRule type="cellIs" dxfId="145" priority="27" operator="lessThan">
      <formula>1</formula>
    </cfRule>
  </conditionalFormatting>
  <conditionalFormatting sqref="K16:K18">
    <cfRule type="cellIs" dxfId="144" priority="26" operator="equal">
      <formula>"BR08"</formula>
    </cfRule>
  </conditionalFormatting>
  <conditionalFormatting sqref="R31:Y31">
    <cfRule type="cellIs" dxfId="143" priority="25" operator="lessThan">
      <formula>1</formula>
    </cfRule>
  </conditionalFormatting>
  <conditionalFormatting sqref="K50">
    <cfRule type="cellIs" dxfId="142" priority="23" operator="equal">
      <formula>"BR08"</formula>
    </cfRule>
  </conditionalFormatting>
  <conditionalFormatting sqref="R43:X43">
    <cfRule type="cellIs" dxfId="141" priority="22" operator="lessThan">
      <formula>1</formula>
    </cfRule>
  </conditionalFormatting>
  <conditionalFormatting sqref="K45:K49 K40:K43">
    <cfRule type="cellIs" dxfId="140" priority="21" operator="equal">
      <formula>"BR08"</formula>
    </cfRule>
  </conditionalFormatting>
  <conditionalFormatting sqref="L42:L43 L45:L48 L23:L24 L20:L21">
    <cfRule type="cellIs" dxfId="139" priority="20" operator="greaterThan">
      <formula>0</formula>
    </cfRule>
  </conditionalFormatting>
  <conditionalFormatting sqref="L30:L36">
    <cfRule type="cellIs" dxfId="138" priority="19" operator="greaterThan">
      <formula>0</formula>
    </cfRule>
  </conditionalFormatting>
  <conditionalFormatting sqref="L18">
    <cfRule type="cellIs" dxfId="137" priority="18" operator="greaterThan">
      <formula>0</formula>
    </cfRule>
  </conditionalFormatting>
  <conditionalFormatting sqref="L6:L12">
    <cfRule type="cellIs" dxfId="136" priority="17" operator="greaterThan">
      <formula>0</formula>
    </cfRule>
  </conditionalFormatting>
  <conditionalFormatting sqref="K6">
    <cfRule type="cellIs" dxfId="135" priority="16" operator="equal">
      <formula>"BR08"</formula>
    </cfRule>
  </conditionalFormatting>
  <conditionalFormatting sqref="K43">
    <cfRule type="cellIs" dxfId="134" priority="15" operator="equal">
      <formula>"BR08"</formula>
    </cfRule>
  </conditionalFormatting>
  <conditionalFormatting sqref="L43">
    <cfRule type="cellIs" dxfId="133" priority="14" operator="greaterThan">
      <formula>0</formula>
    </cfRule>
  </conditionalFormatting>
  <conditionalFormatting sqref="Y19:AJ19">
    <cfRule type="cellIs" dxfId="132" priority="13" operator="lessThan">
      <formula>1</formula>
    </cfRule>
  </conditionalFormatting>
  <conditionalFormatting sqref="L44">
    <cfRule type="cellIs" dxfId="131" priority="11" operator="greaterThan">
      <formula>0</formula>
    </cfRule>
  </conditionalFormatting>
  <conditionalFormatting sqref="K6">
    <cfRule type="cellIs" dxfId="130" priority="9" operator="equal">
      <formula>"BR08"</formula>
    </cfRule>
  </conditionalFormatting>
  <conditionalFormatting sqref="L19">
    <cfRule type="cellIs" dxfId="129" priority="7" operator="greaterThan">
      <formula>0</formula>
    </cfRule>
  </conditionalFormatting>
  <conditionalFormatting sqref="L22">
    <cfRule type="cellIs" dxfId="128" priority="6" operator="greaterThan">
      <formula>0</formula>
    </cfRule>
  </conditionalFormatting>
  <conditionalFormatting sqref="K32">
    <cfRule type="cellIs" dxfId="127" priority="5" operator="equal">
      <formula>"BR08"</formula>
    </cfRule>
  </conditionalFormatting>
  <conditionalFormatting sqref="K7">
    <cfRule type="cellIs" dxfId="126" priority="4" operator="equal">
      <formula>"BR08"</formula>
    </cfRule>
  </conditionalFormatting>
  <conditionalFormatting sqref="K7">
    <cfRule type="cellIs" dxfId="125" priority="3" operator="equal">
      <formula>"BR08"</formula>
    </cfRule>
  </conditionalFormatting>
  <conditionalFormatting sqref="K19">
    <cfRule type="cellIs" dxfId="124" priority="1" operator="equal">
      <formula>"BR08"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&amp;C&amp;"Calibri"&amp;10&amp;K737373Classification: Public&amp;1#</oddHeader>
  </headerFooter>
  <customProperties>
    <customPr name="Ibp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4273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0</xdr:row>
                <xdr:rowOff>0</xdr:rowOff>
              </to>
            </anchor>
          </controlPr>
        </control>
      </mc:Choice>
      <mc:Fallback>
        <control shapeId="54273" r:id="rId5" name="FPMExcelClientSheetOptionstb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1CBC-16A8-481D-94E6-0FEA446393E7}">
  <sheetPr codeName="Planilha7">
    <tabColor rgb="FFFFC000"/>
  </sheetPr>
  <dimension ref="A1:AA56"/>
  <sheetViews>
    <sheetView showGridLines="0" zoomScale="90" zoomScaleNormal="9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G6" sqref="G6:G13"/>
    </sheetView>
  </sheetViews>
  <sheetFormatPr defaultColWidth="9.08984375" defaultRowHeight="12.5" x14ac:dyDescent="0.25"/>
  <cols>
    <col min="1" max="1" width="1.6328125" style="1" customWidth="1"/>
    <col min="2" max="2" width="11.453125" style="3" bestFit="1" customWidth="1"/>
    <col min="3" max="3" width="41.08984375" style="3" bestFit="1" customWidth="1"/>
    <col min="4" max="4" width="11.54296875" style="3" bestFit="1" customWidth="1"/>
    <col min="5" max="5" width="9.453125" style="3" customWidth="1"/>
    <col min="6" max="6" width="13.6328125" style="3" bestFit="1" customWidth="1"/>
    <col min="7" max="7" width="6.6328125" style="3" bestFit="1" customWidth="1"/>
    <col min="8" max="8" width="6.6328125" style="2" bestFit="1" customWidth="1"/>
    <col min="9" max="9" width="10.26953125" style="2" customWidth="1"/>
    <col min="10" max="10" width="5.26953125" style="2" bestFit="1" customWidth="1"/>
    <col min="11" max="11" width="8.36328125" style="2" customWidth="1"/>
    <col min="12" max="12" width="8.54296875" style="2" bestFit="1" customWidth="1"/>
    <col min="13" max="13" width="15.1796875" style="2" bestFit="1" customWidth="1"/>
    <col min="14" max="14" width="17.7265625" style="2" bestFit="1" customWidth="1"/>
    <col min="15" max="15" width="10.08984375" style="2" bestFit="1" customWidth="1"/>
    <col min="16" max="16" width="7.08984375" style="1" customWidth="1"/>
    <col min="17" max="17" width="15.1796875" style="1" bestFit="1" customWidth="1"/>
    <col min="18" max="18" width="9.08984375" style="1" hidden="1" customWidth="1"/>
    <col min="19" max="19" width="11" style="1" hidden="1" customWidth="1"/>
    <col min="20" max="20" width="13.6328125" style="1" hidden="1" customWidth="1"/>
    <col min="21" max="21" width="11" style="1" hidden="1" customWidth="1"/>
    <col min="22" max="22" width="9.90625" style="1" bestFit="1" customWidth="1"/>
    <col min="23" max="23" width="9.08984375" style="1" customWidth="1"/>
    <col min="24" max="16384" width="9.08984375" style="1"/>
  </cols>
  <sheetData>
    <row r="1" spans="1:27" x14ac:dyDescent="0.25">
      <c r="A1" s="179" t="s">
        <v>309</v>
      </c>
    </row>
    <row r="2" spans="1:27" ht="17" x14ac:dyDescent="0.25">
      <c r="B2" s="222">
        <f ca="1">DATE(YEAR(TODAY()),MONTH(TODAY()),1)</f>
        <v>44470</v>
      </c>
      <c r="C2" s="49"/>
      <c r="V2" s="19"/>
    </row>
    <row r="3" spans="1:27" ht="13" thickBot="1" x14ac:dyDescent="0.3">
      <c r="E3" s="18"/>
      <c r="R3" s="19"/>
      <c r="S3" s="19"/>
      <c r="T3" s="19"/>
      <c r="U3" s="19"/>
      <c r="V3" s="19"/>
      <c r="W3" s="19"/>
      <c r="X3" s="19"/>
    </row>
    <row r="4" spans="1:27" ht="15" customHeight="1" thickBot="1" x14ac:dyDescent="0.3">
      <c r="B4" s="311" t="s">
        <v>4</v>
      </c>
      <c r="C4" s="313" t="s">
        <v>3</v>
      </c>
      <c r="D4" s="315" t="s">
        <v>2</v>
      </c>
      <c r="E4" s="307" t="s">
        <v>12</v>
      </c>
      <c r="F4" s="307" t="s">
        <v>13</v>
      </c>
      <c r="G4" s="307" t="s">
        <v>14</v>
      </c>
      <c r="H4" s="307" t="s">
        <v>15</v>
      </c>
      <c r="I4" s="307" t="s">
        <v>295</v>
      </c>
      <c r="J4" s="309" t="s">
        <v>240</v>
      </c>
      <c r="K4" s="309" t="s">
        <v>288</v>
      </c>
      <c r="L4" s="305" t="s">
        <v>308</v>
      </c>
      <c r="M4" s="309" t="s">
        <v>250</v>
      </c>
      <c r="N4" s="309" t="s">
        <v>251</v>
      </c>
      <c r="O4" s="305" t="s">
        <v>259</v>
      </c>
      <c r="R4" s="163"/>
      <c r="S4" s="163"/>
      <c r="T4" s="237"/>
      <c r="U4" s="163"/>
      <c r="V4" s="237"/>
      <c r="W4" s="163"/>
      <c r="X4" s="163"/>
    </row>
    <row r="5" spans="1:27" ht="15" customHeight="1" thickBot="1" x14ac:dyDescent="0.3">
      <c r="B5" s="312"/>
      <c r="C5" s="314"/>
      <c r="D5" s="316"/>
      <c r="E5" s="308"/>
      <c r="F5" s="308"/>
      <c r="G5" s="308" t="s">
        <v>1</v>
      </c>
      <c r="H5" s="308" t="s">
        <v>1</v>
      </c>
      <c r="I5" s="308"/>
      <c r="J5" s="310"/>
      <c r="K5" s="310"/>
      <c r="L5" s="322"/>
      <c r="M5" s="317"/>
      <c r="N5" s="317"/>
      <c r="O5" s="306"/>
      <c r="R5" s="164">
        <v>44348</v>
      </c>
      <c r="S5" s="165">
        <v>44378</v>
      </c>
      <c r="T5" s="165">
        <v>44409</v>
      </c>
      <c r="U5" s="165">
        <v>44440</v>
      </c>
      <c r="V5" s="165">
        <v>44470</v>
      </c>
      <c r="W5" s="165">
        <v>44501</v>
      </c>
      <c r="X5" s="166">
        <v>44531</v>
      </c>
      <c r="Y5" s="165">
        <v>44562</v>
      </c>
    </row>
    <row r="6" spans="1:27" ht="13.5" thickBot="1" x14ac:dyDescent="0.35">
      <c r="B6" s="296" t="s">
        <v>137</v>
      </c>
      <c r="C6" s="31" t="s">
        <v>138</v>
      </c>
      <c r="D6" s="59" t="s">
        <v>331</v>
      </c>
      <c r="E6" s="126">
        <v>339</v>
      </c>
      <c r="F6" s="125">
        <v>45657</v>
      </c>
      <c r="G6" s="8">
        <f t="shared" ref="G6:G9" ca="1" si="0">TODAY()-F6</f>
        <v>-1173</v>
      </c>
      <c r="H6" s="147">
        <f t="shared" ref="H6:H9" ca="1" si="1">G6/30</f>
        <v>-39.1</v>
      </c>
      <c r="I6" s="7">
        <f t="shared" ref="I6:I9" si="2">F6-30*9</f>
        <v>45387</v>
      </c>
      <c r="J6" s="184">
        <v>0</v>
      </c>
      <c r="K6" s="186" t="s">
        <v>258</v>
      </c>
      <c r="L6" s="297">
        <f>E6</f>
        <v>339</v>
      </c>
      <c r="M6" s="196"/>
      <c r="N6" s="196"/>
      <c r="O6" s="197"/>
      <c r="Q6" s="172" t="s">
        <v>303</v>
      </c>
      <c r="R6" s="168">
        <f>SUM(E6:E9)+C7</f>
        <v>20180</v>
      </c>
      <c r="S6" s="169">
        <v>23498</v>
      </c>
      <c r="T6" s="169">
        <v>18398</v>
      </c>
      <c r="U6" s="169">
        <v>11851</v>
      </c>
      <c r="V6" s="169">
        <v>18809</v>
      </c>
      <c r="W6" s="169">
        <f ca="1">V10</f>
        <v>12603</v>
      </c>
      <c r="X6" s="169">
        <f ca="1">W10</f>
        <v>21716</v>
      </c>
      <c r="Y6" s="169">
        <f ca="1">X10</f>
        <v>10770</v>
      </c>
    </row>
    <row r="7" spans="1:27" ht="13.5" thickBot="1" x14ac:dyDescent="0.35">
      <c r="B7" s="20" t="s">
        <v>22</v>
      </c>
      <c r="C7" s="32">
        <f>SUMIF(Venda!$A:$A,$B6,Venda!$I:$I)*-1</f>
        <v>4083</v>
      </c>
      <c r="D7" s="59" t="s">
        <v>367</v>
      </c>
      <c r="E7" s="126">
        <v>6003</v>
      </c>
      <c r="F7" s="125">
        <v>45657</v>
      </c>
      <c r="G7" s="8">
        <f t="shared" ca="1" si="0"/>
        <v>-1173</v>
      </c>
      <c r="H7" s="147">
        <f t="shared" ca="1" si="1"/>
        <v>-39.1</v>
      </c>
      <c r="I7" s="7">
        <f t="shared" si="2"/>
        <v>45387</v>
      </c>
      <c r="J7" s="184">
        <v>0</v>
      </c>
      <c r="K7" s="186" t="s">
        <v>258</v>
      </c>
      <c r="L7" s="137"/>
      <c r="M7" s="198"/>
      <c r="N7" s="198"/>
      <c r="O7" s="197"/>
      <c r="Q7" s="172" t="s">
        <v>304</v>
      </c>
      <c r="R7" s="170">
        <f t="shared" ref="R7:X7" si="3">R6/R8</f>
        <v>4.6305644791188616</v>
      </c>
      <c r="S7" s="170">
        <f t="shared" si="3"/>
        <v>4.582293291731669</v>
      </c>
      <c r="T7" s="170">
        <f t="shared" si="3"/>
        <v>2.8105713412771158</v>
      </c>
      <c r="U7" s="170">
        <f t="shared" si="3"/>
        <v>2.3196320219220983</v>
      </c>
      <c r="V7" s="170">
        <f t="shared" si="3"/>
        <v>3.0307766677408958</v>
      </c>
      <c r="W7" s="170">
        <f t="shared" ca="1" si="3"/>
        <v>1.8802028942264657</v>
      </c>
      <c r="X7" s="170">
        <f t="shared" ca="1" si="3"/>
        <v>1.3151647286821706</v>
      </c>
      <c r="Y7" s="170">
        <f t="shared" ref="Y7" ca="1" si="4">Y6/Y8</f>
        <v>2.5618458610846813</v>
      </c>
    </row>
    <row r="8" spans="1:27" ht="13.5" thickBot="1" x14ac:dyDescent="0.35">
      <c r="B8" s="20" t="s">
        <v>24</v>
      </c>
      <c r="C8" s="32">
        <f>C9-C7</f>
        <v>-4083</v>
      </c>
      <c r="D8" s="59" t="s">
        <v>314</v>
      </c>
      <c r="E8" s="126">
        <v>6004</v>
      </c>
      <c r="F8" s="125">
        <v>45657</v>
      </c>
      <c r="G8" s="8">
        <f t="shared" ca="1" si="0"/>
        <v>-1173</v>
      </c>
      <c r="H8" s="147">
        <f t="shared" ca="1" si="1"/>
        <v>-39.1</v>
      </c>
      <c r="I8" s="7">
        <f t="shared" si="2"/>
        <v>45387</v>
      </c>
      <c r="J8" s="184">
        <v>0</v>
      </c>
      <c r="K8" s="186" t="s">
        <v>258</v>
      </c>
      <c r="L8" s="137"/>
      <c r="M8" s="198"/>
      <c r="N8" s="198"/>
      <c r="O8" s="197"/>
      <c r="Q8" s="172" t="s">
        <v>302</v>
      </c>
      <c r="R8" s="167">
        <f>INDEX(Forecast!$E$3:$AB$25,MATCH($B6,Forecast!$A$3:$A$25,0),MATCH(R$5,Forecast!$E$2:$AB$2,0))</f>
        <v>4358</v>
      </c>
      <c r="S8" s="167">
        <f>INDEX(Forecast!$E$3:$AB$25,MATCH($B6,Forecast!$A$3:$A$25,0),MATCH(S$5,Forecast!$E$2:$AB$2,0))</f>
        <v>5128</v>
      </c>
      <c r="T8" s="167">
        <f>INDEX(Forecast!$E$3:$AB$25,MATCH($B6,Forecast!$A$3:$A$25,0),MATCH(T$5,Forecast!$E$2:$AB$2,0))</f>
        <v>6546</v>
      </c>
      <c r="U8" s="167">
        <f>INDEX(Forecast!$E$3:$AB$25,MATCH($B6,Forecast!$A$3:$A$25,0),MATCH(U$5,Forecast!$E$2:$AB$2,0))</f>
        <v>5109</v>
      </c>
      <c r="V8" s="167">
        <f>INDEX(Forecast!$E$3:$AB$25,MATCH($B6,Forecast!$A$3:$A$25,0),MATCH(V$5,Forecast!$E$2:$AB$2,0))</f>
        <v>6206</v>
      </c>
      <c r="W8" s="167">
        <f>INDEX(Forecast!$E$3:$AB$25,MATCH($B6,Forecast!$A$3:$A$25,0),MATCH(W$5,Forecast!$E$2:$AB$2,0))</f>
        <v>6703</v>
      </c>
      <c r="X8" s="167">
        <f>INDEX(Forecast!$E$3:$AB$25,MATCH($B6,Forecast!$A$3:$A$25,0),MATCH(X$5,Forecast!$E$2:$AB$2,0))</f>
        <v>16512</v>
      </c>
      <c r="Y8" s="167">
        <f>INDEX(Forecast!$E$3:$AB$25,MATCH($B6,Forecast!$A$3:$A$25,0),MATCH(Y$5,Forecast!$E$2:$AB$2,0))</f>
        <v>4204</v>
      </c>
    </row>
    <row r="9" spans="1:27" ht="13.5" thickBot="1" x14ac:dyDescent="0.35">
      <c r="B9" s="20" t="s">
        <v>260</v>
      </c>
      <c r="C9" s="32">
        <f>VLOOKUP($B6,Colocado!$A:$C,3,0)</f>
        <v>0</v>
      </c>
      <c r="D9" s="124" t="s">
        <v>296</v>
      </c>
      <c r="E9" s="114">
        <v>3751</v>
      </c>
      <c r="F9" s="142">
        <v>45473</v>
      </c>
      <c r="G9" s="8">
        <f t="shared" ca="1" si="0"/>
        <v>-989</v>
      </c>
      <c r="H9" s="147">
        <f t="shared" ca="1" si="1"/>
        <v>-32.966666666666669</v>
      </c>
      <c r="I9" s="7">
        <f t="shared" si="2"/>
        <v>45203</v>
      </c>
      <c r="J9" s="143">
        <v>0</v>
      </c>
      <c r="K9" s="186" t="s">
        <v>258</v>
      </c>
      <c r="L9" s="30"/>
      <c r="M9" s="198"/>
      <c r="N9" s="198"/>
      <c r="O9" s="197"/>
      <c r="P9" s="14"/>
      <c r="Q9" s="172" t="s">
        <v>305</v>
      </c>
      <c r="R9" s="168">
        <v>0</v>
      </c>
      <c r="S9" s="168"/>
      <c r="T9" s="168"/>
      <c r="U9" s="168">
        <f>SUM(E7:E8)</f>
        <v>12007</v>
      </c>
      <c r="V9" s="168"/>
      <c r="W9" s="168">
        <v>15816</v>
      </c>
      <c r="X9" s="168">
        <v>5566</v>
      </c>
      <c r="Y9" s="168">
        <v>35121</v>
      </c>
    </row>
    <row r="10" spans="1:27" ht="13.5" thickBot="1" x14ac:dyDescent="0.35">
      <c r="B10" s="21"/>
      <c r="C10" s="161"/>
      <c r="D10" s="61" t="s">
        <v>331</v>
      </c>
      <c r="E10" s="206">
        <v>3804</v>
      </c>
      <c r="F10" s="207">
        <v>45657</v>
      </c>
      <c r="G10" s="11">
        <f ca="1">TODAY()-F10</f>
        <v>-1173</v>
      </c>
      <c r="H10" s="208">
        <f ca="1">G10/30</f>
        <v>-39.1</v>
      </c>
      <c r="I10" s="10">
        <f>F10-30*9</f>
        <v>45387</v>
      </c>
      <c r="J10" s="143"/>
      <c r="K10" s="186"/>
      <c r="L10" s="24"/>
      <c r="M10" s="198"/>
      <c r="N10" s="198"/>
      <c r="O10" s="197"/>
      <c r="P10" s="14"/>
      <c r="Q10" s="172" t="s">
        <v>306</v>
      </c>
      <c r="R10" s="171">
        <f ca="1">IF(R$5=$B$2,IF($C9&lt;R8,R6+R9-R8,R6+R9-$C9),R6+R9-R8)</f>
        <v>15822</v>
      </c>
      <c r="S10" s="171">
        <f ca="1">IF(S$5=$B$2,IF($C9&lt;S8,S6+S9-S8,S6+S9-$C9),S6+S9-S8)</f>
        <v>18370</v>
      </c>
      <c r="T10" s="171">
        <f ca="1">IF(T$5=$B$2,IF($C7&lt;T8,T6+T9-T8,T6+T9-$C7),T6+T9-T8)</f>
        <v>11852</v>
      </c>
      <c r="U10" s="171">
        <f ca="1">IF(U$5=$B$2,IF($C7&lt;U8,U6+U9-U8,U6+U9-$C7),U6+U9-U8)</f>
        <v>18749</v>
      </c>
      <c r="V10" s="171">
        <f t="shared" ref="V10:Y10" ca="1" si="5">IF(V$5=$B$2,IF($C7&lt;V8,V6+V9-V8,V6+V9-$C7),V6+V9-V8)</f>
        <v>12603</v>
      </c>
      <c r="W10" s="171">
        <f t="shared" ca="1" si="5"/>
        <v>21716</v>
      </c>
      <c r="X10" s="171">
        <f t="shared" ca="1" si="5"/>
        <v>10770</v>
      </c>
      <c r="Y10" s="171">
        <f t="shared" ca="1" si="5"/>
        <v>41687</v>
      </c>
    </row>
    <row r="11" spans="1:27" ht="13.5" thickBot="1" x14ac:dyDescent="0.3">
      <c r="B11" s="21"/>
      <c r="C11" s="161"/>
      <c r="D11" s="61" t="s">
        <v>331</v>
      </c>
      <c r="E11" s="206">
        <v>6006</v>
      </c>
      <c r="F11" s="207">
        <v>45657</v>
      </c>
      <c r="G11" s="11">
        <f ca="1">TODAY()-F11</f>
        <v>-1173</v>
      </c>
      <c r="H11" s="208">
        <f ca="1">G11/30</f>
        <v>-39.1</v>
      </c>
      <c r="I11" s="10">
        <f>F11-30*9</f>
        <v>45387</v>
      </c>
      <c r="J11" s="223"/>
      <c r="K11" s="223"/>
      <c r="L11" s="24"/>
      <c r="M11" s="198"/>
      <c r="N11" s="198"/>
      <c r="O11" s="197"/>
      <c r="P11" s="14"/>
      <c r="Q11" s="172" t="s">
        <v>307</v>
      </c>
      <c r="R11" s="170">
        <f t="shared" ref="R11:W11" ca="1" si="6">R10/S8</f>
        <v>3.0854134165366616</v>
      </c>
      <c r="S11" s="170">
        <f t="shared" ca="1" si="6"/>
        <v>2.806293919951115</v>
      </c>
      <c r="T11" s="170">
        <f t="shared" ca="1" si="6"/>
        <v>2.3198277549422586</v>
      </c>
      <c r="U11" s="170">
        <f t="shared" ca="1" si="6"/>
        <v>3.0211086045762165</v>
      </c>
      <c r="V11" s="170">
        <f t="shared" ca="1" si="6"/>
        <v>1.8802028942264657</v>
      </c>
      <c r="W11" s="170">
        <f t="shared" ca="1" si="6"/>
        <v>1.3151647286821706</v>
      </c>
      <c r="X11" s="170">
        <f ca="1">X10/Y6</f>
        <v>1</v>
      </c>
      <c r="Y11" s="170" t="e">
        <f ca="1">Y10/Z6</f>
        <v>#DIV/0!</v>
      </c>
    </row>
    <row r="12" spans="1:27" ht="13" x14ac:dyDescent="0.25">
      <c r="B12" s="21"/>
      <c r="C12" s="161"/>
      <c r="D12" s="61" t="s">
        <v>471</v>
      </c>
      <c r="E12" s="206">
        <v>6006</v>
      </c>
      <c r="F12" s="207">
        <v>45777</v>
      </c>
      <c r="G12" s="11">
        <f ca="1">TODAY()-F12</f>
        <v>-1293</v>
      </c>
      <c r="H12" s="208">
        <f ca="1">G12/30</f>
        <v>-43.1</v>
      </c>
      <c r="I12" s="10">
        <f>F12-30*9</f>
        <v>45507</v>
      </c>
      <c r="J12" s="223"/>
      <c r="K12" s="223"/>
      <c r="L12" s="24"/>
      <c r="M12" s="209"/>
      <c r="N12" s="209"/>
      <c r="O12" s="210"/>
      <c r="P12" s="14"/>
    </row>
    <row r="13" spans="1:27" ht="13.5" thickBot="1" x14ac:dyDescent="0.3">
      <c r="B13" s="21"/>
      <c r="C13" s="161"/>
      <c r="J13" s="184"/>
      <c r="K13" s="184"/>
      <c r="L13" s="24"/>
      <c r="M13" s="209"/>
      <c r="N13" s="209"/>
      <c r="O13" s="210"/>
      <c r="P13" s="14"/>
    </row>
    <row r="14" spans="1:27" ht="13.5" thickBot="1" x14ac:dyDescent="0.3">
      <c r="B14" s="21"/>
      <c r="C14" s="161"/>
      <c r="D14" s="59"/>
      <c r="E14" s="126"/>
      <c r="F14" s="125"/>
      <c r="G14" s="8"/>
      <c r="H14" s="147"/>
      <c r="I14" s="7"/>
      <c r="J14" s="184"/>
      <c r="K14" s="184"/>
      <c r="L14" s="24"/>
      <c r="M14" s="209"/>
      <c r="N14" s="209"/>
      <c r="O14" s="210"/>
      <c r="P14" s="14"/>
      <c r="Q14" s="283" t="s">
        <v>386</v>
      </c>
      <c r="R14" s="164">
        <v>44348</v>
      </c>
      <c r="V14" s="165">
        <v>44378</v>
      </c>
      <c r="W14" s="165">
        <v>44409</v>
      </c>
      <c r="X14" s="165">
        <v>44440</v>
      </c>
      <c r="Y14" s="165">
        <v>44470</v>
      </c>
      <c r="Z14" s="165">
        <v>44501</v>
      </c>
      <c r="AA14" s="166">
        <v>44531</v>
      </c>
    </row>
    <row r="15" spans="1:27" ht="13.5" thickBot="1" x14ac:dyDescent="0.3">
      <c r="B15" s="21"/>
      <c r="C15" s="161"/>
      <c r="D15" s="59"/>
      <c r="E15" s="126"/>
      <c r="F15" s="125"/>
      <c r="G15" s="8"/>
      <c r="H15" s="147"/>
      <c r="I15" s="7"/>
      <c r="J15" s="184"/>
      <c r="K15" s="184"/>
      <c r="L15" s="30"/>
      <c r="M15" s="198"/>
      <c r="N15" s="198"/>
      <c r="O15" s="197"/>
      <c r="P15" s="14"/>
      <c r="Q15" s="172" t="s">
        <v>385</v>
      </c>
      <c r="R15" s="168"/>
      <c r="V15" s="169">
        <v>28</v>
      </c>
      <c r="W15" s="169">
        <v>22</v>
      </c>
      <c r="X15" s="169">
        <v>122</v>
      </c>
      <c r="Y15" s="169"/>
      <c r="Z15" s="169"/>
      <c r="AA15" s="169"/>
    </row>
    <row r="16" spans="1:27" ht="13.5" thickBot="1" x14ac:dyDescent="0.3">
      <c r="B16" s="21"/>
      <c r="C16" s="161"/>
      <c r="D16" s="124"/>
      <c r="E16" s="114"/>
      <c r="F16" s="142"/>
      <c r="G16" s="8"/>
      <c r="H16" s="147"/>
      <c r="I16" s="7"/>
      <c r="J16" s="143"/>
      <c r="K16" s="174"/>
      <c r="L16" s="30"/>
      <c r="O16" s="210"/>
      <c r="P16" s="14"/>
      <c r="Q16" s="172" t="s">
        <v>302</v>
      </c>
      <c r="R16" s="168"/>
      <c r="V16" s="169">
        <v>0</v>
      </c>
      <c r="W16" s="169">
        <v>70</v>
      </c>
      <c r="X16" s="169">
        <v>70</v>
      </c>
      <c r="Y16" s="169">
        <v>62</v>
      </c>
      <c r="Z16" s="169">
        <v>62</v>
      </c>
      <c r="AA16" s="169">
        <v>62</v>
      </c>
    </row>
    <row r="17" spans="2:25" ht="13" x14ac:dyDescent="0.3">
      <c r="B17" s="21"/>
      <c r="C17" s="161"/>
      <c r="D17" s="124"/>
      <c r="E17" s="114"/>
      <c r="F17" s="142"/>
      <c r="G17" s="8"/>
      <c r="H17" s="147"/>
      <c r="I17" s="7"/>
      <c r="J17" s="143"/>
      <c r="K17" s="186"/>
      <c r="L17" s="30"/>
      <c r="O17" s="210"/>
      <c r="P17" s="14"/>
    </row>
    <row r="18" spans="2:25" ht="13" x14ac:dyDescent="0.25">
      <c r="B18" s="21"/>
      <c r="C18" s="161"/>
      <c r="L18" s="30"/>
      <c r="O18" s="210"/>
      <c r="P18" s="14"/>
    </row>
    <row r="19" spans="2:25" ht="13" x14ac:dyDescent="0.25">
      <c r="B19" s="21"/>
      <c r="C19" s="161"/>
      <c r="D19" s="61"/>
      <c r="E19" s="206"/>
      <c r="F19" s="207"/>
      <c r="G19" s="11"/>
      <c r="H19" s="208"/>
      <c r="I19" s="10"/>
      <c r="J19" s="223"/>
      <c r="K19" s="223"/>
      <c r="L19" s="24"/>
      <c r="M19" s="209"/>
      <c r="N19" s="209"/>
      <c r="O19" s="210"/>
      <c r="P19" s="14"/>
    </row>
    <row r="20" spans="2:25" ht="13.5" thickBot="1" x14ac:dyDescent="0.3">
      <c r="B20" s="154"/>
      <c r="C20" s="162"/>
      <c r="D20" s="211"/>
      <c r="E20" s="212"/>
      <c r="F20" s="213"/>
      <c r="G20" s="226"/>
      <c r="H20" s="227"/>
      <c r="I20" s="228"/>
      <c r="J20" s="214"/>
      <c r="K20" s="214"/>
      <c r="L20" s="159"/>
      <c r="M20" s="215"/>
      <c r="N20" s="215"/>
      <c r="O20" s="216"/>
      <c r="P20" s="14"/>
      <c r="Q20" s="14"/>
      <c r="R20" s="112"/>
      <c r="S20" s="108"/>
      <c r="U20" s="108"/>
      <c r="V20" s="108"/>
      <c r="W20" s="47"/>
    </row>
    <row r="22" spans="2:25" ht="13" thickBot="1" x14ac:dyDescent="0.3">
      <c r="G22" s="18"/>
      <c r="T22" s="47"/>
    </row>
    <row r="23" spans="2:25" ht="15" customHeight="1" thickBot="1" x14ac:dyDescent="0.3">
      <c r="B23" s="311" t="s">
        <v>4</v>
      </c>
      <c r="C23" s="313" t="s">
        <v>3</v>
      </c>
      <c r="D23" s="315" t="s">
        <v>2</v>
      </c>
      <c r="E23" s="307" t="s">
        <v>12</v>
      </c>
      <c r="F23" s="307" t="s">
        <v>13</v>
      </c>
      <c r="G23" s="307" t="s">
        <v>14</v>
      </c>
      <c r="H23" s="307" t="s">
        <v>15</v>
      </c>
      <c r="I23" s="307" t="s">
        <v>295</v>
      </c>
      <c r="J23" s="309" t="s">
        <v>240</v>
      </c>
      <c r="K23" s="309" t="s">
        <v>288</v>
      </c>
      <c r="L23" s="305" t="s">
        <v>308</v>
      </c>
      <c r="M23" s="309" t="s">
        <v>250</v>
      </c>
      <c r="N23" s="309" t="s">
        <v>251</v>
      </c>
      <c r="O23" s="305" t="s">
        <v>259</v>
      </c>
      <c r="R23" s="163"/>
      <c r="S23" s="238"/>
      <c r="T23" s="248"/>
      <c r="U23" s="289"/>
      <c r="V23" s="163"/>
      <c r="W23" s="237"/>
      <c r="X23" s="163"/>
    </row>
    <row r="24" spans="2:25" ht="15" customHeight="1" thickBot="1" x14ac:dyDescent="0.3">
      <c r="B24" s="312"/>
      <c r="C24" s="314"/>
      <c r="D24" s="316"/>
      <c r="E24" s="308"/>
      <c r="F24" s="308"/>
      <c r="G24" s="308" t="s">
        <v>1</v>
      </c>
      <c r="H24" s="308" t="s">
        <v>1</v>
      </c>
      <c r="I24" s="308"/>
      <c r="J24" s="310"/>
      <c r="K24" s="310"/>
      <c r="L24" s="322"/>
      <c r="M24" s="317"/>
      <c r="N24" s="317"/>
      <c r="O24" s="306"/>
      <c r="R24" s="164">
        <v>44348</v>
      </c>
      <c r="S24" s="165">
        <v>44378</v>
      </c>
      <c r="T24" s="165">
        <v>44409</v>
      </c>
      <c r="U24" s="165">
        <v>44440</v>
      </c>
      <c r="V24" s="165">
        <v>44470</v>
      </c>
      <c r="W24" s="165">
        <v>44501</v>
      </c>
      <c r="X24" s="166">
        <v>44531</v>
      </c>
      <c r="Y24" s="165">
        <v>44562</v>
      </c>
    </row>
    <row r="25" spans="2:25" ht="13.5" thickBot="1" x14ac:dyDescent="0.35">
      <c r="B25" s="296" t="s">
        <v>141</v>
      </c>
      <c r="C25" s="31" t="s">
        <v>142</v>
      </c>
      <c r="D25" s="123" t="s">
        <v>301</v>
      </c>
      <c r="E25" s="152">
        <v>75</v>
      </c>
      <c r="F25" s="142">
        <v>45473</v>
      </c>
      <c r="G25" s="8">
        <f ca="1">TODAY()-F25</f>
        <v>-989</v>
      </c>
      <c r="H25" s="147">
        <f ca="1">G25/30</f>
        <v>-32.966666666666669</v>
      </c>
      <c r="I25" s="7">
        <f>F25-30*12</f>
        <v>45113</v>
      </c>
      <c r="J25" s="184">
        <v>0</v>
      </c>
      <c r="K25" s="177" t="s">
        <v>258</v>
      </c>
      <c r="L25" s="30"/>
      <c r="M25" s="198"/>
      <c r="N25" s="198"/>
      <c r="O25" s="197"/>
      <c r="Q25" s="172" t="s">
        <v>303</v>
      </c>
      <c r="R25" s="168" t="e">
        <f>SUM(#REF!)+C26</f>
        <v>#REF!</v>
      </c>
      <c r="S25" s="169">
        <v>1298</v>
      </c>
      <c r="T25" s="169">
        <v>763</v>
      </c>
      <c r="U25" s="169">
        <v>2872</v>
      </c>
      <c r="V25" s="169">
        <v>1875</v>
      </c>
      <c r="W25" s="169">
        <f ca="1">V29</f>
        <v>3247</v>
      </c>
      <c r="X25" s="169">
        <f ca="1">W29</f>
        <v>3096</v>
      </c>
      <c r="Y25" s="169">
        <f ca="1">X29</f>
        <v>2573</v>
      </c>
    </row>
    <row r="26" spans="2:25" ht="13.5" thickBot="1" x14ac:dyDescent="0.35">
      <c r="B26" s="20" t="s">
        <v>22</v>
      </c>
      <c r="C26" s="32">
        <f>SUMIF(Venda!$A:$A,$B25,Venda!$I:$I)*-1</f>
        <v>1042</v>
      </c>
      <c r="D26" s="59" t="s">
        <v>368</v>
      </c>
      <c r="E26" s="126">
        <v>1201</v>
      </c>
      <c r="F26" s="125">
        <v>45473</v>
      </c>
      <c r="G26" s="8">
        <f ca="1">TODAY()-F26</f>
        <v>-989</v>
      </c>
      <c r="H26" s="147">
        <f ca="1">G26/30</f>
        <v>-32.966666666666669</v>
      </c>
      <c r="I26" s="7">
        <f>F26-30*12</f>
        <v>45113</v>
      </c>
      <c r="J26" s="184">
        <v>0</v>
      </c>
      <c r="K26" s="177" t="s">
        <v>258</v>
      </c>
      <c r="L26" s="30"/>
      <c r="M26" s="198"/>
      <c r="N26" s="198"/>
      <c r="O26" s="197"/>
      <c r="Q26" s="172" t="s">
        <v>304</v>
      </c>
      <c r="R26" s="170" t="e">
        <f t="shared" ref="R26:X26" si="7">R25/R27</f>
        <v>#REF!</v>
      </c>
      <c r="S26" s="170">
        <f t="shared" si="7"/>
        <v>2.5805168986083498</v>
      </c>
      <c r="T26" s="170">
        <f t="shared" si="7"/>
        <v>0.62746710526315785</v>
      </c>
      <c r="U26" s="170">
        <f t="shared" si="7"/>
        <v>1.7238895558223288</v>
      </c>
      <c r="V26" s="170">
        <f t="shared" si="7"/>
        <v>1.4423076923076923</v>
      </c>
      <c r="W26" s="170">
        <f t="shared" ca="1" si="7"/>
        <v>2.1632245169886741</v>
      </c>
      <c r="X26" s="170">
        <f t="shared" ca="1" si="7"/>
        <v>2.1910828025477707</v>
      </c>
      <c r="Y26" s="170">
        <f t="shared" ref="Y26" ca="1" si="8">Y25/Y27</f>
        <v>2.9473081328751434</v>
      </c>
    </row>
    <row r="27" spans="2:25" ht="13.5" thickBot="1" x14ac:dyDescent="0.35">
      <c r="B27" s="20" t="s">
        <v>24</v>
      </c>
      <c r="C27" s="32">
        <f>C28-C26</f>
        <v>-1042</v>
      </c>
      <c r="D27" s="59" t="s">
        <v>472</v>
      </c>
      <c r="E27" s="126">
        <v>28</v>
      </c>
      <c r="F27" s="125">
        <v>45382</v>
      </c>
      <c r="G27" s="8">
        <f ca="1">TODAY()-F27</f>
        <v>-898</v>
      </c>
      <c r="H27" s="147">
        <f ca="1">G27/30</f>
        <v>-29.933333333333334</v>
      </c>
      <c r="I27" s="7">
        <f>F27-30*12</f>
        <v>45022</v>
      </c>
      <c r="J27" s="184">
        <v>0</v>
      </c>
      <c r="K27" s="177" t="s">
        <v>258</v>
      </c>
      <c r="L27" s="30"/>
      <c r="M27" s="198"/>
      <c r="N27" s="198"/>
      <c r="O27" s="197"/>
      <c r="Q27" s="172" t="s">
        <v>302</v>
      </c>
      <c r="R27" s="167">
        <f>INDEX(Forecast!$E$3:$AB$25,MATCH($B25,Forecast!$A$3:$A$25,0),MATCH(R$5,Forecast!$E$2:$AB$2,0))</f>
        <v>1475</v>
      </c>
      <c r="S27" s="167">
        <f>INDEX(Forecast!$E$3:$AB$25,MATCH($B25,Forecast!$A$3:$A$25,0),MATCH(S$5,Forecast!$E$2:$AB$2,0))</f>
        <v>503</v>
      </c>
      <c r="T27" s="167">
        <f>INDEX(Forecast!$E$3:$AB$25,MATCH($B25,Forecast!$A$3:$A$25,0),MATCH(T$5,Forecast!$E$2:$AB$2,0))</f>
        <v>1216</v>
      </c>
      <c r="U27" s="167">
        <f>INDEX(Forecast!$E$3:$AB$25,MATCH($B25,Forecast!$A$3:$A$25,0),MATCH(U$5,Forecast!$E$2:$AB$2,0))</f>
        <v>1666</v>
      </c>
      <c r="V27" s="167">
        <f>INDEX(Forecast!$E$3:$AB$25,MATCH($B25,Forecast!$A$3:$A$25,0),MATCH(V$5,Forecast!$E$2:$AB$2,0))</f>
        <v>1300</v>
      </c>
      <c r="W27" s="167">
        <f>INDEX(Forecast!$E$3:$AB$25,MATCH($B25,Forecast!$A$3:$A$25,0),MATCH(W$5,Forecast!$E$2:$AB$2,0))</f>
        <v>1501</v>
      </c>
      <c r="X27" s="167">
        <f>INDEX(Forecast!$E$3:$AB$25,MATCH($B25,Forecast!$A$3:$A$25,0),MATCH(X$5,Forecast!$E$2:$AB$2,0))</f>
        <v>1413</v>
      </c>
      <c r="Y27" s="167">
        <f>INDEX(Forecast!$E$3:$AB$25,MATCH($B25,Forecast!$A$3:$A$25,0),MATCH(Y$5,Forecast!$E$2:$AB$2,0))</f>
        <v>873</v>
      </c>
    </row>
    <row r="28" spans="2:25" ht="13.5" thickBot="1" x14ac:dyDescent="0.35">
      <c r="B28" s="20" t="s">
        <v>260</v>
      </c>
      <c r="C28" s="32">
        <f>VLOOKUP($B25,Colocado!$A:$C,3,0)</f>
        <v>0</v>
      </c>
      <c r="D28" s="59" t="s">
        <v>313</v>
      </c>
      <c r="E28" s="126">
        <v>1322</v>
      </c>
      <c r="F28" s="125">
        <v>45473</v>
      </c>
      <c r="G28" s="8">
        <f ca="1">TODAY()-F28</f>
        <v>-989</v>
      </c>
      <c r="H28" s="147">
        <f ca="1">G28/30</f>
        <v>-32.966666666666669</v>
      </c>
      <c r="I28" s="7">
        <f>F28-30*12</f>
        <v>45113</v>
      </c>
      <c r="J28" s="184">
        <v>4</v>
      </c>
      <c r="K28" s="177" t="s">
        <v>255</v>
      </c>
      <c r="L28" s="30"/>
      <c r="O28" s="197"/>
      <c r="P28" s="14"/>
      <c r="Q28" s="172" t="s">
        <v>305</v>
      </c>
      <c r="R28" s="168">
        <f>E25</f>
        <v>75</v>
      </c>
      <c r="S28" s="168"/>
      <c r="T28" s="168">
        <v>3327</v>
      </c>
      <c r="U28" s="168">
        <f>SUM(E25)</f>
        <v>75</v>
      </c>
      <c r="V28" s="168">
        <f>SUM(E28:E29)</f>
        <v>2672</v>
      </c>
      <c r="W28" s="168">
        <f>1350</f>
        <v>1350</v>
      </c>
      <c r="X28" s="168">
        <v>890</v>
      </c>
      <c r="Y28" s="168">
        <v>4800</v>
      </c>
    </row>
    <row r="29" spans="2:25" ht="13.5" thickBot="1" x14ac:dyDescent="0.3">
      <c r="B29" s="21"/>
      <c r="C29" s="161"/>
      <c r="D29" s="61" t="s">
        <v>473</v>
      </c>
      <c r="E29" s="206">
        <v>1350</v>
      </c>
      <c r="F29" s="207">
        <v>45777</v>
      </c>
      <c r="G29" s="11">
        <f ca="1">TODAY()-F29</f>
        <v>-1293</v>
      </c>
      <c r="H29" s="208">
        <f ca="1">G29/30</f>
        <v>-43.1</v>
      </c>
      <c r="I29" s="10">
        <f>F29-30*12</f>
        <v>45417</v>
      </c>
      <c r="J29" s="223"/>
      <c r="L29" s="30"/>
      <c r="O29" s="197"/>
      <c r="P29" s="14"/>
      <c r="Q29" s="172" t="s">
        <v>306</v>
      </c>
      <c r="R29" s="171" t="e">
        <f ca="1">IF(R$5=$B$2,IF($C28&lt;R27,R25+R28-R27,R25+R28-$C28),R25+R28-R27)</f>
        <v>#REF!</v>
      </c>
      <c r="S29" s="171">
        <f ca="1">IF(S$5=$B$2,IF($C28&lt;S27,S25+S28-S27,S25+S28-$C28),S25+S28-S27)</f>
        <v>795</v>
      </c>
      <c r="T29" s="171">
        <f t="shared" ref="T29:Y29" ca="1" si="9">IF(T$5=$B$2,IF($C26&lt;T27,T25+T28-T27,T25+T28-$C26),T25+T28-T27)</f>
        <v>2874</v>
      </c>
      <c r="U29" s="171">
        <f t="shared" ca="1" si="9"/>
        <v>1281</v>
      </c>
      <c r="V29" s="171">
        <f t="shared" ca="1" si="9"/>
        <v>3247</v>
      </c>
      <c r="W29" s="171">
        <f t="shared" ca="1" si="9"/>
        <v>3096</v>
      </c>
      <c r="X29" s="171">
        <f t="shared" ca="1" si="9"/>
        <v>2573</v>
      </c>
      <c r="Y29" s="171">
        <f t="shared" ca="1" si="9"/>
        <v>6500</v>
      </c>
    </row>
    <row r="30" spans="2:25" ht="13.5" thickBot="1" x14ac:dyDescent="0.3">
      <c r="B30" s="21"/>
      <c r="C30" s="161"/>
      <c r="D30" s="59"/>
      <c r="E30" s="126"/>
      <c r="F30" s="125"/>
      <c r="G30" s="59"/>
      <c r="H30" s="184"/>
      <c r="I30" s="184"/>
      <c r="J30" s="184"/>
      <c r="K30" s="184"/>
      <c r="L30" s="30"/>
      <c r="M30" s="198"/>
      <c r="N30" s="198"/>
      <c r="O30" s="197"/>
      <c r="P30" s="14"/>
      <c r="Q30" s="172" t="s">
        <v>307</v>
      </c>
      <c r="R30" s="170" t="e">
        <f t="shared" ref="R30:W30" ca="1" si="10">R29/S27</f>
        <v>#REF!</v>
      </c>
      <c r="S30" s="170">
        <f t="shared" ca="1" si="10"/>
        <v>0.65378289473684215</v>
      </c>
      <c r="T30" s="170">
        <f t="shared" ca="1" si="10"/>
        <v>1.7250900360144057</v>
      </c>
      <c r="U30" s="170">
        <f t="shared" ca="1" si="10"/>
        <v>0.98538461538461541</v>
      </c>
      <c r="V30" s="170">
        <f t="shared" ca="1" si="10"/>
        <v>2.1632245169886741</v>
      </c>
      <c r="W30" s="170">
        <f t="shared" ca="1" si="10"/>
        <v>2.1910828025477707</v>
      </c>
      <c r="X30" s="170">
        <f ca="1">X29/Y25</f>
        <v>1</v>
      </c>
      <c r="Y30" s="170" t="e">
        <f ca="1">Y29/Z25</f>
        <v>#DIV/0!</v>
      </c>
    </row>
    <row r="31" spans="2:25" ht="13" x14ac:dyDescent="0.25">
      <c r="B31" s="21"/>
      <c r="C31" s="161"/>
      <c r="D31" s="59"/>
      <c r="E31" s="126"/>
      <c r="F31" s="125"/>
      <c r="G31" s="59"/>
      <c r="H31" s="184"/>
      <c r="I31" s="184"/>
      <c r="J31" s="184"/>
      <c r="K31" s="184"/>
      <c r="L31" s="30"/>
      <c r="M31" s="198"/>
      <c r="N31" s="198"/>
      <c r="O31" s="197"/>
      <c r="P31" s="14"/>
      <c r="T31" s="19"/>
      <c r="U31" s="19"/>
      <c r="V31" s="19"/>
    </row>
    <row r="32" spans="2:25" ht="13.5" thickBot="1" x14ac:dyDescent="0.3">
      <c r="B32" s="154"/>
      <c r="C32" s="162"/>
      <c r="D32" s="191"/>
      <c r="E32" s="192"/>
      <c r="F32" s="193"/>
      <c r="G32" s="191"/>
      <c r="H32" s="187"/>
      <c r="I32" s="187"/>
      <c r="J32" s="187"/>
      <c r="K32" s="187"/>
      <c r="L32" s="188"/>
      <c r="M32" s="199"/>
      <c r="N32" s="199"/>
      <c r="O32" s="200"/>
      <c r="P32" s="14"/>
      <c r="Q32" s="14"/>
      <c r="R32" s="112"/>
      <c r="S32" s="108"/>
      <c r="T32" s="47"/>
      <c r="U32" s="108"/>
      <c r="V32" s="108"/>
      <c r="W32" s="47"/>
    </row>
    <row r="34" spans="2:24" ht="13.5" thickBot="1" x14ac:dyDescent="0.35">
      <c r="T34" s="47"/>
      <c r="X34" s="251"/>
    </row>
    <row r="35" spans="2:24" ht="15" customHeight="1" thickBot="1" x14ac:dyDescent="0.3">
      <c r="B35" s="311" t="s">
        <v>4</v>
      </c>
      <c r="C35" s="313" t="s">
        <v>3</v>
      </c>
      <c r="D35" s="315" t="s">
        <v>2</v>
      </c>
      <c r="E35" s="307" t="s">
        <v>12</v>
      </c>
      <c r="F35" s="307" t="s">
        <v>13</v>
      </c>
      <c r="G35" s="307" t="s">
        <v>14</v>
      </c>
      <c r="H35" s="307" t="s">
        <v>15</v>
      </c>
      <c r="I35" s="307" t="s">
        <v>295</v>
      </c>
      <c r="J35" s="309" t="s">
        <v>240</v>
      </c>
      <c r="K35" s="309" t="s">
        <v>288</v>
      </c>
      <c r="L35" s="305" t="s">
        <v>308</v>
      </c>
      <c r="M35" s="309" t="s">
        <v>250</v>
      </c>
      <c r="N35" s="309" t="s">
        <v>251</v>
      </c>
      <c r="O35" s="305" t="s">
        <v>259</v>
      </c>
      <c r="R35" s="163"/>
      <c r="S35" s="163"/>
      <c r="T35" s="248"/>
      <c r="U35" s="248"/>
      <c r="V35" s="248"/>
      <c r="W35" s="248"/>
      <c r="X35" s="248"/>
    </row>
    <row r="36" spans="2:24" ht="15" customHeight="1" thickBot="1" x14ac:dyDescent="0.3">
      <c r="B36" s="312"/>
      <c r="C36" s="314"/>
      <c r="D36" s="316"/>
      <c r="E36" s="308"/>
      <c r="F36" s="308"/>
      <c r="G36" s="308" t="s">
        <v>1</v>
      </c>
      <c r="H36" s="308" t="s">
        <v>1</v>
      </c>
      <c r="I36" s="308"/>
      <c r="J36" s="310"/>
      <c r="K36" s="310"/>
      <c r="L36" s="322"/>
      <c r="M36" s="317"/>
      <c r="N36" s="317"/>
      <c r="O36" s="306"/>
      <c r="R36" s="164">
        <v>44348</v>
      </c>
      <c r="S36" s="165">
        <v>44378</v>
      </c>
      <c r="T36" s="165">
        <v>44409</v>
      </c>
      <c r="U36" s="165">
        <v>44440</v>
      </c>
      <c r="V36" s="165">
        <v>44470</v>
      </c>
      <c r="W36" s="165">
        <v>44501</v>
      </c>
      <c r="X36" s="166">
        <v>44531</v>
      </c>
    </row>
    <row r="37" spans="2:24" ht="13.5" thickBot="1" x14ac:dyDescent="0.35">
      <c r="B37" s="296" t="s">
        <v>143</v>
      </c>
      <c r="C37" s="31" t="s">
        <v>144</v>
      </c>
      <c r="D37" s="123" t="s">
        <v>327</v>
      </c>
      <c r="E37" s="152">
        <v>2344</v>
      </c>
      <c r="F37" s="149">
        <v>45230</v>
      </c>
      <c r="G37" s="143">
        <f ca="1">TODAY()-F37</f>
        <v>-746</v>
      </c>
      <c r="H37" s="144">
        <f ca="1">G37/30</f>
        <v>-24.866666666666667</v>
      </c>
      <c r="I37" s="142">
        <f>F37-30*12</f>
        <v>44870</v>
      </c>
      <c r="J37" s="178">
        <v>0</v>
      </c>
      <c r="K37" s="174" t="s">
        <v>258</v>
      </c>
      <c r="L37" s="30"/>
      <c r="M37" s="8"/>
      <c r="N37" s="8"/>
      <c r="O37" s="22"/>
      <c r="Q37" s="172" t="s">
        <v>303</v>
      </c>
      <c r="R37" s="168">
        <f>SUM(E37:E37)+C38</f>
        <v>2696</v>
      </c>
      <c r="S37" s="169">
        <v>3477</v>
      </c>
      <c r="T37" s="169">
        <v>2607</v>
      </c>
      <c r="U37" s="169">
        <v>3982</v>
      </c>
      <c r="V37" s="169">
        <v>2696</v>
      </c>
      <c r="W37" s="169">
        <f ca="1">V41</f>
        <v>2826</v>
      </c>
      <c r="X37" s="169">
        <f ca="1">W41</f>
        <v>3190</v>
      </c>
    </row>
    <row r="38" spans="2:24" ht="13.5" thickBot="1" x14ac:dyDescent="0.3">
      <c r="B38" s="20" t="s">
        <v>22</v>
      </c>
      <c r="C38" s="32">
        <f>SUMIF(Venda!$A:$A,$B37,Venda!$I:$I)*-1</f>
        <v>352</v>
      </c>
      <c r="D38" s="59" t="s">
        <v>474</v>
      </c>
      <c r="E38" s="126">
        <v>1280</v>
      </c>
      <c r="F38" s="125">
        <v>45230</v>
      </c>
      <c r="G38" s="8">
        <f ca="1">TODAY()-F38</f>
        <v>-746</v>
      </c>
      <c r="H38" s="147">
        <f ca="1">G38/30</f>
        <v>-24.866666666666667</v>
      </c>
      <c r="I38" s="7">
        <f>F38-30*12</f>
        <v>44870</v>
      </c>
      <c r="J38" s="247">
        <v>4</v>
      </c>
      <c r="K38" s="247" t="s">
        <v>255</v>
      </c>
      <c r="L38" s="30"/>
      <c r="M38" s="51"/>
      <c r="N38" s="51"/>
      <c r="O38" s="22"/>
      <c r="Q38" s="172" t="s">
        <v>304</v>
      </c>
      <c r="R38" s="170">
        <f t="shared" ref="R38:X38" si="11">R37/R39</f>
        <v>3.8903318903318902</v>
      </c>
      <c r="S38" s="170">
        <f t="shared" si="11"/>
        <v>3.9965517241379311</v>
      </c>
      <c r="T38" s="170">
        <f t="shared" si="11"/>
        <v>2.3276785714285713</v>
      </c>
      <c r="U38" s="170">
        <f t="shared" si="11"/>
        <v>3.1354330708661418</v>
      </c>
      <c r="V38" s="170">
        <f t="shared" si="11"/>
        <v>2.3443478260869566</v>
      </c>
      <c r="W38" s="170">
        <f t="shared" ca="1" si="11"/>
        <v>2.4153846153846152</v>
      </c>
      <c r="X38" s="170">
        <f t="shared" ca="1" si="11"/>
        <v>2.6583333333333332</v>
      </c>
    </row>
    <row r="39" spans="2:24" ht="13.5" thickBot="1" x14ac:dyDescent="0.3">
      <c r="B39" s="20" t="s">
        <v>24</v>
      </c>
      <c r="C39" s="32">
        <f>C40-C38</f>
        <v>-352</v>
      </c>
      <c r="D39" s="59" t="s">
        <v>327</v>
      </c>
      <c r="E39" s="126">
        <v>227</v>
      </c>
      <c r="F39" s="125">
        <v>45230</v>
      </c>
      <c r="G39" s="8">
        <f ca="1">TODAY()-F39</f>
        <v>-746</v>
      </c>
      <c r="H39" s="147">
        <f ca="1">G39/30</f>
        <v>-24.866666666666667</v>
      </c>
      <c r="I39" s="7">
        <f>F39-30*12</f>
        <v>44870</v>
      </c>
      <c r="J39" s="178">
        <v>4</v>
      </c>
      <c r="K39" s="247" t="s">
        <v>255</v>
      </c>
      <c r="L39" s="30"/>
      <c r="M39" s="198"/>
      <c r="N39" s="198"/>
      <c r="O39" s="197"/>
      <c r="Q39" s="172" t="s">
        <v>302</v>
      </c>
      <c r="R39" s="167">
        <f>INDEX(Forecast!$E$3:$AB$25,MATCH($B37,Forecast!$A$3:$A$25,0),MATCH(R$5,Forecast!$E$2:$AB$2,0))</f>
        <v>693</v>
      </c>
      <c r="S39" s="167">
        <f>INDEX(Forecast!$E$3:$AB$25,MATCH($B37,Forecast!$A$3:$A$25,0),MATCH(S$5,Forecast!$E$2:$AB$2,0))</f>
        <v>870</v>
      </c>
      <c r="T39" s="167">
        <f>INDEX(Forecast!$E$3:$AB$25,MATCH($B37,Forecast!$A$3:$A$25,0),MATCH(T$5,Forecast!$E$2:$AB$2,0))</f>
        <v>1120</v>
      </c>
      <c r="U39" s="167">
        <f>INDEX(Forecast!$E$3:$AB$25,MATCH($B37,Forecast!$A$3:$A$25,0),MATCH(U$5,Forecast!$E$2:$AB$2,0))</f>
        <v>1270</v>
      </c>
      <c r="V39" s="167">
        <f>INDEX(Forecast!$E$3:$AB$25,MATCH($B37,Forecast!$A$3:$A$25,0),MATCH(V$5,Forecast!$E$2:$AB$2,0))</f>
        <v>1150</v>
      </c>
      <c r="W39" s="167">
        <f>INDEX(Forecast!$E$3:$AB$25,MATCH($B37,Forecast!$A$3:$A$25,0),MATCH(W$5,Forecast!$E$2:$AB$2,0))</f>
        <v>1170</v>
      </c>
      <c r="X39" s="167">
        <f>INDEX(Forecast!$E$3:$AB$25,MATCH($B37,Forecast!$A$3:$A$25,0),MATCH(X$5,Forecast!$E$2:$AB$2,0))</f>
        <v>1200</v>
      </c>
    </row>
    <row r="40" spans="2:24" ht="13.5" thickBot="1" x14ac:dyDescent="0.3">
      <c r="B40" s="20" t="s">
        <v>260</v>
      </c>
      <c r="C40" s="32">
        <f>VLOOKUP($B37,Colocado!$A:$C,3,0)</f>
        <v>0</v>
      </c>
      <c r="D40" s="61" t="s">
        <v>474</v>
      </c>
      <c r="E40" s="206">
        <v>1307</v>
      </c>
      <c r="F40" s="207">
        <v>45230</v>
      </c>
      <c r="G40" s="11">
        <f ca="1">TODAY()-F40</f>
        <v>-746</v>
      </c>
      <c r="H40" s="208">
        <f ca="1">G40/30</f>
        <v>-24.866666666666667</v>
      </c>
      <c r="I40" s="10">
        <f>F40-30*12</f>
        <v>44870</v>
      </c>
      <c r="J40" s="51"/>
      <c r="K40" s="51"/>
      <c r="L40" s="30"/>
      <c r="M40" s="51"/>
      <c r="N40" s="51"/>
      <c r="O40" s="24"/>
      <c r="P40" s="14"/>
      <c r="Q40" s="172" t="s">
        <v>305</v>
      </c>
      <c r="R40" s="168">
        <v>0</v>
      </c>
      <c r="S40" s="168">
        <v>0</v>
      </c>
      <c r="T40" s="168">
        <v>2495</v>
      </c>
      <c r="U40" s="168">
        <v>0</v>
      </c>
      <c r="V40" s="168">
        <f>SUM(E38)</f>
        <v>1280</v>
      </c>
      <c r="W40" s="168">
        <f>SUM(E39:E40)</f>
        <v>1534</v>
      </c>
      <c r="X40" s="168">
        <v>2300</v>
      </c>
    </row>
    <row r="41" spans="2:24" ht="13.5" thickBot="1" x14ac:dyDescent="0.3">
      <c r="B41" s="21"/>
      <c r="C41" s="161"/>
      <c r="L41" s="30"/>
      <c r="M41" s="51"/>
      <c r="N41" s="51"/>
      <c r="O41" s="24"/>
      <c r="P41" s="14"/>
      <c r="Q41" s="172" t="s">
        <v>306</v>
      </c>
      <c r="R41" s="171">
        <f ca="1">IF(R$5=$B$2,IF($C40&lt;R39,R37+R40-R39,R37+R40-$C40),R37+R40-R39)</f>
        <v>2003</v>
      </c>
      <c r="S41" s="171">
        <f ca="1">IF(S$5=$B$2,IF($C40&lt;S39,S37+S40-S39,S37+S40-$C40),S37+S40-S39)</f>
        <v>2607</v>
      </c>
      <c r="T41" s="171">
        <f ca="1">IF(T$5=$B$2,IF($C38&lt;T39,T37+T40-T39,T37+T40-$C38),T37+T40-T39)</f>
        <v>3982</v>
      </c>
      <c r="U41" s="171">
        <f ca="1">IF(U$5=$B$2,IF($C38&lt;U39,U37+U40-U39,U37+U40-$C38),U37+U40-U39)</f>
        <v>2712</v>
      </c>
      <c r="V41" s="171">
        <f ca="1">IF(V$5=$B$2,IF($C38&lt;V39,V37+V40-V39,V37+V40-$C38),V37+V40-V39)</f>
        <v>2826</v>
      </c>
      <c r="W41" s="171">
        <f ca="1">IF(W$5=$B$2,IF($C38&lt;W39,W37+W40-W39,W37+W40-$C38),W37+W40-W39)</f>
        <v>3190</v>
      </c>
      <c r="X41" s="171">
        <f ca="1">IF(X$5=$B$2,IF($C38&lt;X39,X37+X40-X39,X37+X40-$C38),X37+X40-X39)</f>
        <v>4290</v>
      </c>
    </row>
    <row r="42" spans="2:24" ht="13.5" thickBot="1" x14ac:dyDescent="0.3">
      <c r="B42" s="21"/>
      <c r="C42" s="161"/>
      <c r="E42" s="18"/>
      <c r="F42" s="50"/>
      <c r="H42" s="51"/>
      <c r="I42" s="51"/>
      <c r="J42" s="51"/>
      <c r="K42" s="51"/>
      <c r="L42" s="30"/>
      <c r="M42" s="51"/>
      <c r="N42" s="51"/>
      <c r="O42" s="24"/>
      <c r="P42" s="14"/>
      <c r="Q42" s="172" t="s">
        <v>307</v>
      </c>
      <c r="R42" s="170">
        <f t="shared" ref="R42:W42" ca="1" si="12">R41/S39</f>
        <v>2.3022988505747128</v>
      </c>
      <c r="S42" s="170">
        <f t="shared" ca="1" si="12"/>
        <v>2.3276785714285713</v>
      </c>
      <c r="T42" s="170">
        <f t="shared" ca="1" si="12"/>
        <v>3.1354330708661418</v>
      </c>
      <c r="U42" s="170">
        <f t="shared" ca="1" si="12"/>
        <v>2.3582608695652172</v>
      </c>
      <c r="V42" s="170">
        <f t="shared" ca="1" si="12"/>
        <v>2.4153846153846152</v>
      </c>
      <c r="W42" s="170">
        <f t="shared" ca="1" si="12"/>
        <v>2.6583333333333332</v>
      </c>
      <c r="X42" s="170" t="e">
        <f ca="1">X41/Y37</f>
        <v>#DIV/0!</v>
      </c>
    </row>
    <row r="43" spans="2:24" ht="13" x14ac:dyDescent="0.25">
      <c r="B43" s="21"/>
      <c r="C43" s="161"/>
      <c r="E43" s="18"/>
      <c r="F43" s="50"/>
      <c r="H43" s="51"/>
      <c r="I43" s="51"/>
      <c r="J43" s="51"/>
      <c r="K43" s="51"/>
      <c r="L43" s="30"/>
      <c r="M43" s="51"/>
      <c r="N43" s="51"/>
      <c r="O43" s="24"/>
      <c r="P43" s="14"/>
    </row>
    <row r="44" spans="2:24" ht="13.5" thickBot="1" x14ac:dyDescent="0.3">
      <c r="B44" s="154"/>
      <c r="C44" s="162"/>
      <c r="D44" s="155"/>
      <c r="E44" s="156"/>
      <c r="F44" s="157"/>
      <c r="G44" s="155"/>
      <c r="H44" s="158"/>
      <c r="I44" s="158"/>
      <c r="J44" s="158"/>
      <c r="K44" s="158"/>
      <c r="L44" s="159"/>
      <c r="M44" s="158"/>
      <c r="N44" s="158"/>
      <c r="O44" s="159"/>
      <c r="P44" s="14"/>
      <c r="Q44" s="14"/>
      <c r="R44" s="112"/>
      <c r="S44" s="47"/>
      <c r="U44" s="108"/>
      <c r="V44" s="108"/>
      <c r="W44" s="47"/>
    </row>
    <row r="45" spans="2:24" ht="13" x14ac:dyDescent="0.25">
      <c r="B45" s="25"/>
      <c r="C45" s="35"/>
      <c r="D45" s="180"/>
      <c r="E45" s="181"/>
      <c r="F45" s="182"/>
      <c r="G45" s="180"/>
      <c r="H45" s="183"/>
      <c r="I45" s="183"/>
      <c r="J45" s="183"/>
      <c r="K45" s="183"/>
      <c r="L45" s="153"/>
      <c r="M45" s="183"/>
      <c r="N45" s="183"/>
      <c r="O45" s="153"/>
      <c r="P45" s="14"/>
      <c r="Q45" s="14"/>
      <c r="R45" s="112"/>
      <c r="S45" s="108"/>
      <c r="U45" s="108"/>
      <c r="V45" s="108"/>
      <c r="W45" s="47"/>
    </row>
    <row r="46" spans="2:24" ht="13" thickBot="1" x14ac:dyDescent="0.3"/>
    <row r="47" spans="2:24" ht="13.5" thickBot="1" x14ac:dyDescent="0.3">
      <c r="B47" s="311" t="s">
        <v>4</v>
      </c>
      <c r="C47" s="313" t="s">
        <v>3</v>
      </c>
      <c r="D47" s="315" t="s">
        <v>2</v>
      </c>
      <c r="E47" s="307" t="s">
        <v>12</v>
      </c>
      <c r="F47" s="307" t="s">
        <v>13</v>
      </c>
      <c r="G47" s="307" t="s">
        <v>14</v>
      </c>
      <c r="H47" s="307" t="s">
        <v>15</v>
      </c>
      <c r="I47" s="307" t="s">
        <v>295</v>
      </c>
      <c r="J47" s="309" t="s">
        <v>240</v>
      </c>
      <c r="K47" s="309" t="s">
        <v>288</v>
      </c>
      <c r="L47" s="305" t="s">
        <v>308</v>
      </c>
      <c r="M47" s="309" t="s">
        <v>250</v>
      </c>
      <c r="N47" s="309" t="s">
        <v>251</v>
      </c>
      <c r="O47" s="305" t="s">
        <v>259</v>
      </c>
      <c r="R47" s="163"/>
      <c r="S47" s="163"/>
      <c r="T47" s="248"/>
      <c r="U47" s="248"/>
      <c r="V47" s="248"/>
      <c r="W47" s="248"/>
      <c r="X47" s="248"/>
    </row>
    <row r="48" spans="2:24" ht="13.5" thickBot="1" x14ac:dyDescent="0.3">
      <c r="B48" s="312"/>
      <c r="C48" s="314"/>
      <c r="D48" s="316"/>
      <c r="E48" s="308"/>
      <c r="F48" s="308"/>
      <c r="G48" s="308" t="s">
        <v>1</v>
      </c>
      <c r="H48" s="308" t="s">
        <v>1</v>
      </c>
      <c r="I48" s="308"/>
      <c r="J48" s="310"/>
      <c r="K48" s="310"/>
      <c r="L48" s="322"/>
      <c r="M48" s="317"/>
      <c r="N48" s="317"/>
      <c r="O48" s="306"/>
      <c r="R48" s="164">
        <v>44348</v>
      </c>
      <c r="S48" s="165">
        <v>44378</v>
      </c>
      <c r="T48" s="165">
        <v>44409</v>
      </c>
      <c r="U48" s="165">
        <v>44440</v>
      </c>
      <c r="V48" s="165">
        <v>44470</v>
      </c>
      <c r="W48" s="165">
        <v>44501</v>
      </c>
      <c r="X48" s="166">
        <v>44531</v>
      </c>
    </row>
    <row r="49" spans="2:24" ht="13.5" thickBot="1" x14ac:dyDescent="0.35">
      <c r="B49" s="296" t="s">
        <v>284</v>
      </c>
      <c r="C49" s="31" t="s">
        <v>282</v>
      </c>
      <c r="D49" s="123" t="s">
        <v>721</v>
      </c>
      <c r="E49" s="152">
        <v>47</v>
      </c>
      <c r="F49" s="149">
        <v>45322</v>
      </c>
      <c r="G49" s="143">
        <f ca="1">TODAY()-F49</f>
        <v>-838</v>
      </c>
      <c r="H49" s="144">
        <f ca="1">G49/30</f>
        <v>-27.933333333333334</v>
      </c>
      <c r="I49" s="142">
        <f>F49-30*12</f>
        <v>44962</v>
      </c>
      <c r="J49" s="178">
        <v>0</v>
      </c>
      <c r="K49" s="174" t="s">
        <v>258</v>
      </c>
      <c r="L49" s="30"/>
      <c r="M49" s="8"/>
      <c r="N49" s="8"/>
      <c r="O49" s="22"/>
      <c r="Q49" s="172" t="s">
        <v>303</v>
      </c>
      <c r="R49" s="168">
        <f>SUM(E49:E49)+C50</f>
        <v>50</v>
      </c>
      <c r="S49" s="169">
        <v>3477</v>
      </c>
      <c r="T49" s="169">
        <v>2607</v>
      </c>
      <c r="U49" s="169">
        <v>3982</v>
      </c>
      <c r="V49" s="169">
        <v>0</v>
      </c>
      <c r="W49" s="169">
        <f ca="1">V53</f>
        <v>39</v>
      </c>
      <c r="X49" s="169">
        <f ca="1">W53</f>
        <v>31</v>
      </c>
    </row>
    <row r="50" spans="2:24" ht="13.5" thickBot="1" x14ac:dyDescent="0.3">
      <c r="B50" s="20" t="s">
        <v>22</v>
      </c>
      <c r="C50" s="32">
        <f>SUMIF(Venda!$A:$A,$B49,Venda!$I:$I)*-1</f>
        <v>3</v>
      </c>
      <c r="D50" s="59"/>
      <c r="E50" s="126"/>
      <c r="F50" s="125"/>
      <c r="G50" s="8"/>
      <c r="H50" s="147"/>
      <c r="I50" s="7"/>
      <c r="J50" s="247"/>
      <c r="K50" s="247"/>
      <c r="L50" s="30"/>
      <c r="M50" s="51"/>
      <c r="N50" s="51"/>
      <c r="O50" s="22"/>
      <c r="Q50" s="172" t="s">
        <v>304</v>
      </c>
      <c r="R50" s="170" t="e">
        <f t="shared" ref="R50:X50" si="13">R49/R51</f>
        <v>#N/A</v>
      </c>
      <c r="S50" s="170" t="e">
        <f t="shared" si="13"/>
        <v>#N/A</v>
      </c>
      <c r="T50" s="170" t="e">
        <f t="shared" si="13"/>
        <v>#N/A</v>
      </c>
      <c r="U50" s="170" t="e">
        <f t="shared" si="13"/>
        <v>#N/A</v>
      </c>
      <c r="V50" s="170">
        <f t="shared" si="13"/>
        <v>0</v>
      </c>
      <c r="W50" s="170">
        <f t="shared" ca="1" si="13"/>
        <v>4.875</v>
      </c>
      <c r="X50" s="170">
        <f t="shared" ca="1" si="13"/>
        <v>7.75</v>
      </c>
    </row>
    <row r="51" spans="2:24" ht="13.5" thickBot="1" x14ac:dyDescent="0.3">
      <c r="B51" s="20" t="s">
        <v>24</v>
      </c>
      <c r="C51" s="32">
        <f>C52-C50</f>
        <v>-3</v>
      </c>
      <c r="D51" s="59"/>
      <c r="E51" s="126"/>
      <c r="F51" s="125"/>
      <c r="G51" s="8"/>
      <c r="H51" s="147"/>
      <c r="I51" s="7"/>
      <c r="J51" s="178"/>
      <c r="K51" s="247"/>
      <c r="L51" s="30"/>
      <c r="M51" s="198"/>
      <c r="N51" s="198"/>
      <c r="O51" s="197"/>
      <c r="Q51" s="172" t="s">
        <v>302</v>
      </c>
      <c r="R51" s="167" t="e">
        <f>INDEX(Forecast!$E$3:$AB$25,MATCH($B49,Forecast!$A$3:$A$25,0),MATCH(R$5,Forecast!$E$2:$AB$2,0))</f>
        <v>#N/A</v>
      </c>
      <c r="S51" s="167" t="e">
        <f>INDEX(Forecast!$E$3:$AB$25,MATCH($B49,Forecast!$A$3:$A$25,0),MATCH(S$5,Forecast!$E$2:$AB$2,0))</f>
        <v>#N/A</v>
      </c>
      <c r="T51" s="167" t="e">
        <f>INDEX(Forecast!$E$3:$AB$25,MATCH($B49,Forecast!$A$3:$A$25,0),MATCH(T$5,Forecast!$E$2:$AB$2,0))</f>
        <v>#N/A</v>
      </c>
      <c r="U51" s="167" t="e">
        <f>INDEX(Forecast!$E$3:$AB$25,MATCH($B49,Forecast!$A$3:$A$25,0),MATCH(U$5,Forecast!$E$2:$AB$2,0))</f>
        <v>#N/A</v>
      </c>
      <c r="V51" s="167">
        <f>INDEX(Forecast!$E$3:$AB$28,MATCH($B49,Forecast!$A$3:$A$28,0),MATCH(V$5,Forecast!$E$2:$AB$2,0))</f>
        <v>8</v>
      </c>
      <c r="W51" s="167">
        <f>INDEX(Forecast!$E$3:$AB$28,MATCH($B49,Forecast!$A$3:$A$28,0),MATCH(W$5,Forecast!$E$2:$AB$2,0))</f>
        <v>8</v>
      </c>
      <c r="X51" s="167">
        <f>INDEX(Forecast!$E$3:$AB$28,MATCH($B49,Forecast!$A$3:$A$28,0),MATCH(X$5,Forecast!$E$2:$AB$2,0))</f>
        <v>4</v>
      </c>
    </row>
    <row r="52" spans="2:24" ht="13.5" thickBot="1" x14ac:dyDescent="0.3">
      <c r="B52" s="20" t="s">
        <v>260</v>
      </c>
      <c r="C52" s="32">
        <f>VLOOKUP($B49,Colocado!$A:$C,3,0)</f>
        <v>0</v>
      </c>
      <c r="D52" s="61"/>
      <c r="E52" s="206"/>
      <c r="F52" s="207"/>
      <c r="G52" s="11"/>
      <c r="H52" s="208"/>
      <c r="I52" s="10"/>
      <c r="J52" s="51"/>
      <c r="K52" s="51"/>
      <c r="L52" s="30"/>
      <c r="M52" s="51"/>
      <c r="N52" s="51"/>
      <c r="O52" s="24"/>
      <c r="P52" s="14"/>
      <c r="Q52" s="172" t="s">
        <v>305</v>
      </c>
      <c r="R52" s="168">
        <v>0</v>
      </c>
      <c r="S52" s="168">
        <v>0</v>
      </c>
      <c r="T52" s="168">
        <v>2495</v>
      </c>
      <c r="U52" s="168">
        <v>0</v>
      </c>
      <c r="V52" s="168">
        <v>47</v>
      </c>
      <c r="W52" s="168">
        <f>SUM(E51:E52)</f>
        <v>0</v>
      </c>
      <c r="X52" s="168">
        <v>0</v>
      </c>
    </row>
    <row r="53" spans="2:24" ht="13.5" thickBot="1" x14ac:dyDescent="0.3">
      <c r="B53" s="21"/>
      <c r="C53" s="161"/>
      <c r="L53" s="30"/>
      <c r="M53" s="51"/>
      <c r="N53" s="51"/>
      <c r="O53" s="24"/>
      <c r="P53" s="14"/>
      <c r="Q53" s="172" t="s">
        <v>306</v>
      </c>
      <c r="R53" s="171" t="e">
        <f ca="1">IF(R$5=$B$2,IF($C52&lt;R51,R49+R52-R51,R49+R52-$C52),R49+R52-R51)</f>
        <v>#N/A</v>
      </c>
      <c r="S53" s="171" t="e">
        <f ca="1">IF(S$5=$B$2,IF($C52&lt;S51,S49+S52-S51,S49+S52-$C52),S49+S52-S51)</f>
        <v>#N/A</v>
      </c>
      <c r="T53" s="171" t="e">
        <f ca="1">IF(T$5=$B$2,IF($C50&lt;T51,T49+T52-T51,T49+T52-$C50),T49+T52-T51)</f>
        <v>#N/A</v>
      </c>
      <c r="U53" s="171" t="e">
        <f ca="1">IF(U$5=$B$2,IF($C50&lt;U51,U49+U52-U51,U49+U52-$C50),U49+U52-U51)</f>
        <v>#N/A</v>
      </c>
      <c r="V53" s="171">
        <f ca="1">IF(V$5=$B$2,IF($C50&lt;V51,V49+V52-V51,V49+V52-$C50),V49+V52-V51)</f>
        <v>39</v>
      </c>
      <c r="W53" s="171">
        <f ca="1">IF(W$5=$B$2,IF($C50&lt;W51,W49+W52-W51,W49+W52-$C50),W49+W52-W51)</f>
        <v>31</v>
      </c>
      <c r="X53" s="171">
        <f ca="1">IF(X$5=$B$2,IF($C50&lt;X51,X49+X52-X51,X49+X52-$C50),X49+X52-X51)</f>
        <v>27</v>
      </c>
    </row>
    <row r="54" spans="2:24" ht="13.5" thickBot="1" x14ac:dyDescent="0.3">
      <c r="B54" s="21"/>
      <c r="C54" s="161"/>
      <c r="E54" s="18"/>
      <c r="F54" s="50"/>
      <c r="H54" s="51"/>
      <c r="I54" s="51"/>
      <c r="J54" s="51"/>
      <c r="K54" s="51"/>
      <c r="L54" s="30"/>
      <c r="M54" s="51"/>
      <c r="N54" s="51"/>
      <c r="O54" s="24"/>
      <c r="P54" s="14"/>
      <c r="Q54" s="172" t="s">
        <v>307</v>
      </c>
      <c r="R54" s="170" t="e">
        <f t="shared" ref="R54" ca="1" si="14">R53/S51</f>
        <v>#N/A</v>
      </c>
      <c r="S54" s="170" t="e">
        <f t="shared" ref="S54" ca="1" si="15">S53/T51</f>
        <v>#N/A</v>
      </c>
      <c r="T54" s="170" t="e">
        <f t="shared" ref="T54" ca="1" si="16">T53/U51</f>
        <v>#N/A</v>
      </c>
      <c r="U54" s="170" t="e">
        <f t="shared" ref="U54" ca="1" si="17">U53/V51</f>
        <v>#N/A</v>
      </c>
      <c r="V54" s="170">
        <f t="shared" ref="V54" ca="1" si="18">V53/W51</f>
        <v>4.875</v>
      </c>
      <c r="W54" s="170">
        <f t="shared" ref="W54" ca="1" si="19">W53/X51</f>
        <v>7.75</v>
      </c>
      <c r="X54" s="170" t="e">
        <f ca="1">X53/Y49</f>
        <v>#DIV/0!</v>
      </c>
    </row>
    <row r="55" spans="2:24" ht="13" x14ac:dyDescent="0.25">
      <c r="B55" s="21"/>
      <c r="C55" s="161"/>
      <c r="E55" s="18"/>
      <c r="F55" s="50"/>
      <c r="H55" s="51"/>
      <c r="I55" s="51"/>
      <c r="J55" s="51"/>
      <c r="K55" s="51"/>
      <c r="L55" s="30"/>
      <c r="M55" s="51"/>
      <c r="N55" s="51"/>
      <c r="O55" s="24"/>
      <c r="P55" s="14"/>
    </row>
    <row r="56" spans="2:24" ht="13.5" thickBot="1" x14ac:dyDescent="0.3">
      <c r="B56" s="154"/>
      <c r="C56" s="162"/>
      <c r="D56" s="155"/>
      <c r="E56" s="156"/>
      <c r="F56" s="157"/>
      <c r="G56" s="155"/>
      <c r="H56" s="158"/>
      <c r="I56" s="158"/>
      <c r="J56" s="158"/>
      <c r="K56" s="158"/>
      <c r="L56" s="159"/>
      <c r="M56" s="158"/>
      <c r="N56" s="158"/>
      <c r="O56" s="159"/>
      <c r="P56" s="14"/>
      <c r="Q56" s="14"/>
      <c r="R56" s="112"/>
      <c r="S56" s="47"/>
      <c r="U56" s="108"/>
      <c r="V56" s="108"/>
      <c r="W56" s="47"/>
    </row>
  </sheetData>
  <mergeCells count="56">
    <mergeCell ref="N35:N36"/>
    <mergeCell ref="O35:O36"/>
    <mergeCell ref="H35:H36"/>
    <mergeCell ref="I35:I36"/>
    <mergeCell ref="J35:J36"/>
    <mergeCell ref="K35:K36"/>
    <mergeCell ref="L35:L36"/>
    <mergeCell ref="M35:M36"/>
    <mergeCell ref="B35:B36"/>
    <mergeCell ref="C35:C36"/>
    <mergeCell ref="D35:D36"/>
    <mergeCell ref="E35:E36"/>
    <mergeCell ref="F35:F36"/>
    <mergeCell ref="G35:G36"/>
    <mergeCell ref="J23:J24"/>
    <mergeCell ref="K23:K24"/>
    <mergeCell ref="L23:L24"/>
    <mergeCell ref="M23:M24"/>
    <mergeCell ref="N23:N24"/>
    <mergeCell ref="O23:O24"/>
    <mergeCell ref="N4:N5"/>
    <mergeCell ref="O4:O5"/>
    <mergeCell ref="B23:B24"/>
    <mergeCell ref="C23:C24"/>
    <mergeCell ref="D23:D24"/>
    <mergeCell ref="E23:E24"/>
    <mergeCell ref="F23:F24"/>
    <mergeCell ref="G23:G24"/>
    <mergeCell ref="H23:H24"/>
    <mergeCell ref="I23:I24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G4:G5"/>
    <mergeCell ref="B47:B48"/>
    <mergeCell ref="C47:C48"/>
    <mergeCell ref="D47:D48"/>
    <mergeCell ref="E47:E48"/>
    <mergeCell ref="F47:F48"/>
    <mergeCell ref="L47:L48"/>
    <mergeCell ref="M47:M48"/>
    <mergeCell ref="N47:N48"/>
    <mergeCell ref="O47:O48"/>
    <mergeCell ref="G47:G48"/>
    <mergeCell ref="H47:H48"/>
    <mergeCell ref="I47:I48"/>
    <mergeCell ref="J47:J48"/>
    <mergeCell ref="K47:K48"/>
  </mergeCells>
  <conditionalFormatting sqref="R7:Y7">
    <cfRule type="cellIs" dxfId="123" priority="37" operator="lessThan">
      <formula>1</formula>
    </cfRule>
  </conditionalFormatting>
  <conditionalFormatting sqref="K1:K5 K11 K19:K26 K42:K46 K40 K30:K37">
    <cfRule type="cellIs" dxfId="122" priority="36" operator="equal">
      <formula>"BR08"</formula>
    </cfRule>
  </conditionalFormatting>
  <conditionalFormatting sqref="R26:Y26">
    <cfRule type="cellIs" dxfId="121" priority="35" operator="lessThan">
      <formula>1</formula>
    </cfRule>
  </conditionalFormatting>
  <conditionalFormatting sqref="R38:X38">
    <cfRule type="cellIs" dxfId="120" priority="33" operator="lessThan">
      <formula>1</formula>
    </cfRule>
  </conditionalFormatting>
  <conditionalFormatting sqref="L15 L6:L10 L25:L31">
    <cfRule type="cellIs" dxfId="119" priority="28" operator="greaterThan">
      <formula>0</formula>
    </cfRule>
  </conditionalFormatting>
  <conditionalFormatting sqref="L37:L43">
    <cfRule type="cellIs" dxfId="118" priority="26" operator="greaterThan">
      <formula>0</formula>
    </cfRule>
  </conditionalFormatting>
  <conditionalFormatting sqref="L16:L18">
    <cfRule type="cellIs" dxfId="117" priority="23" operator="greaterThan">
      <formula>0</formula>
    </cfRule>
  </conditionalFormatting>
  <conditionalFormatting sqref="K11:K12">
    <cfRule type="cellIs" dxfId="116" priority="20" operator="equal">
      <formula>"BR08"</formula>
    </cfRule>
  </conditionalFormatting>
  <conditionalFormatting sqref="K13">
    <cfRule type="cellIs" dxfId="115" priority="19" operator="equal">
      <formula>"BR08"</formula>
    </cfRule>
  </conditionalFormatting>
  <conditionalFormatting sqref="K14">
    <cfRule type="cellIs" dxfId="114" priority="18" operator="equal">
      <formula>"BR08"</formula>
    </cfRule>
  </conditionalFormatting>
  <conditionalFormatting sqref="K14">
    <cfRule type="cellIs" dxfId="113" priority="17" operator="equal">
      <formula>"BR08"</formula>
    </cfRule>
  </conditionalFormatting>
  <conditionalFormatting sqref="K15">
    <cfRule type="cellIs" dxfId="112" priority="16" operator="equal">
      <formula>"BR08"</formula>
    </cfRule>
  </conditionalFormatting>
  <conditionalFormatting sqref="K15">
    <cfRule type="cellIs" dxfId="111" priority="15" operator="equal">
      <formula>"BR08"</formula>
    </cfRule>
  </conditionalFormatting>
  <conditionalFormatting sqref="K16">
    <cfRule type="cellIs" dxfId="110" priority="14" operator="equal">
      <formula>"BR08"</formula>
    </cfRule>
  </conditionalFormatting>
  <conditionalFormatting sqref="K17">
    <cfRule type="cellIs" dxfId="109" priority="13" operator="equal">
      <formula>"BR08"</formula>
    </cfRule>
  </conditionalFormatting>
  <conditionalFormatting sqref="K6">
    <cfRule type="cellIs" dxfId="108" priority="12" operator="equal">
      <formula>"BR08"</formula>
    </cfRule>
  </conditionalFormatting>
  <conditionalFormatting sqref="K7">
    <cfRule type="cellIs" dxfId="107" priority="11" operator="equal">
      <formula>"BR08"</formula>
    </cfRule>
  </conditionalFormatting>
  <conditionalFormatting sqref="K7">
    <cfRule type="cellIs" dxfId="106" priority="10" operator="equal">
      <formula>"BR08"</formula>
    </cfRule>
  </conditionalFormatting>
  <conditionalFormatting sqref="K8">
    <cfRule type="cellIs" dxfId="105" priority="9" operator="equal">
      <formula>"BR08"</formula>
    </cfRule>
  </conditionalFormatting>
  <conditionalFormatting sqref="K8">
    <cfRule type="cellIs" dxfId="104" priority="8" operator="equal">
      <formula>"BR08"</formula>
    </cfRule>
  </conditionalFormatting>
  <conditionalFormatting sqref="K9">
    <cfRule type="cellIs" dxfId="103" priority="7" operator="equal">
      <formula>"BR08"</formula>
    </cfRule>
  </conditionalFormatting>
  <conditionalFormatting sqref="K6:K10">
    <cfRule type="cellIs" dxfId="102" priority="6" operator="equal">
      <formula>"BR08"</formula>
    </cfRule>
  </conditionalFormatting>
  <conditionalFormatting sqref="K27">
    <cfRule type="cellIs" dxfId="101" priority="5" operator="equal">
      <formula>"BR08"</formula>
    </cfRule>
  </conditionalFormatting>
  <conditionalFormatting sqref="K28">
    <cfRule type="cellIs" dxfId="100" priority="4" operator="equal">
      <formula>"BR08"</formula>
    </cfRule>
  </conditionalFormatting>
  <conditionalFormatting sqref="K54:K56 K52 K47:K49">
    <cfRule type="cellIs" dxfId="99" priority="3" operator="equal">
      <formula>"BR08"</formula>
    </cfRule>
  </conditionalFormatting>
  <conditionalFormatting sqref="R50:X50">
    <cfRule type="cellIs" dxfId="98" priority="2" operator="lessThan">
      <formula>1</formula>
    </cfRule>
  </conditionalFormatting>
  <conditionalFormatting sqref="L49:L55">
    <cfRule type="cellIs" dxfId="97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&amp;C&amp;"Calibri"&amp;10&amp;K737373Classification: Public&amp;1#</oddHeader>
  </headerFooter>
  <customProperties>
    <customPr name="Ibp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5297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0</xdr:row>
                <xdr:rowOff>0</xdr:rowOff>
              </to>
            </anchor>
          </controlPr>
        </control>
      </mc:Choice>
      <mc:Fallback>
        <control shapeId="55297" r:id="rId5" name="FPMExcelClientSheetOptionstb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0FA-A7BF-4097-9EBA-73642EF33FD7}">
  <sheetPr codeName="Planilha8">
    <tabColor rgb="FFFFC000"/>
  </sheetPr>
  <dimension ref="A1:AA151"/>
  <sheetViews>
    <sheetView showGridLines="0" tabSelected="1" zoomScale="90" zoomScaleNormal="90" workbookViewId="0">
      <pane xSplit="9" ySplit="5" topLeftCell="O51" activePane="bottomRight" state="frozen"/>
      <selection pane="topRight" activeCell="J1" sqref="J1"/>
      <selection pane="bottomLeft" activeCell="A6" sqref="A6"/>
      <selection pane="bottomRight" activeCell="W58" sqref="W58"/>
    </sheetView>
  </sheetViews>
  <sheetFormatPr defaultColWidth="9.08984375" defaultRowHeight="12.5" x14ac:dyDescent="0.25"/>
  <cols>
    <col min="1" max="1" width="1.6328125" style="1" customWidth="1"/>
    <col min="2" max="2" width="11.453125" style="3" bestFit="1" customWidth="1"/>
    <col min="3" max="3" width="41.08984375" style="3" bestFit="1" customWidth="1"/>
    <col min="4" max="4" width="11.54296875" style="3" bestFit="1" customWidth="1"/>
    <col min="5" max="5" width="9.453125" style="3" customWidth="1"/>
    <col min="6" max="6" width="13.6328125" style="3" bestFit="1" customWidth="1"/>
    <col min="7" max="7" width="6.6328125" style="3" bestFit="1" customWidth="1"/>
    <col min="8" max="8" width="6.6328125" style="2" bestFit="1" customWidth="1"/>
    <col min="9" max="9" width="10.26953125" style="2" customWidth="1"/>
    <col min="10" max="10" width="5.26953125" style="2" bestFit="1" customWidth="1"/>
    <col min="11" max="11" width="5.81640625" style="2" bestFit="1" customWidth="1"/>
    <col min="12" max="12" width="9.1796875" style="2" bestFit="1" customWidth="1"/>
    <col min="13" max="13" width="15.1796875" style="2" bestFit="1" customWidth="1"/>
    <col min="14" max="14" width="17.7265625" style="2" bestFit="1" customWidth="1"/>
    <col min="15" max="15" width="10.08984375" style="2" bestFit="1" customWidth="1"/>
    <col min="16" max="16" width="7.08984375" style="1" customWidth="1"/>
    <col min="17" max="17" width="16.08984375" style="1" customWidth="1"/>
    <col min="18" max="18" width="9.08984375" style="1" hidden="1" customWidth="1"/>
    <col min="19" max="19" width="11.1796875" style="1" hidden="1" customWidth="1"/>
    <col min="20" max="20" width="13.6328125" style="1" hidden="1" customWidth="1"/>
    <col min="21" max="21" width="11" style="1" hidden="1" customWidth="1"/>
    <col min="22" max="22" width="9.90625" style="1" bestFit="1" customWidth="1"/>
    <col min="23" max="23" width="9.08984375" style="1" customWidth="1"/>
    <col min="24" max="16384" width="9.08984375" style="1"/>
  </cols>
  <sheetData>
    <row r="1" spans="1:25" x14ac:dyDescent="0.25">
      <c r="A1" s="179" t="s">
        <v>309</v>
      </c>
    </row>
    <row r="2" spans="1:25" ht="17" x14ac:dyDescent="0.25">
      <c r="B2" s="222">
        <f ca="1">DATE(YEAR(TODAY()),MONTH(TODAY()),1)</f>
        <v>44470</v>
      </c>
      <c r="C2" s="49"/>
    </row>
    <row r="3" spans="1:25" ht="13.5" thickBot="1" x14ac:dyDescent="0.35">
      <c r="E3" s="18"/>
      <c r="T3" s="47"/>
      <c r="X3" s="251"/>
    </row>
    <row r="4" spans="1:25" ht="15" customHeight="1" thickBot="1" x14ac:dyDescent="0.3">
      <c r="B4" s="311" t="s">
        <v>4</v>
      </c>
      <c r="C4" s="313" t="s">
        <v>3</v>
      </c>
      <c r="D4" s="315" t="s">
        <v>2</v>
      </c>
      <c r="E4" s="307" t="s">
        <v>12</v>
      </c>
      <c r="F4" s="307" t="s">
        <v>13</v>
      </c>
      <c r="G4" s="307" t="s">
        <v>14</v>
      </c>
      <c r="H4" s="307" t="s">
        <v>15</v>
      </c>
      <c r="I4" s="307" t="s">
        <v>295</v>
      </c>
      <c r="J4" s="309" t="s">
        <v>240</v>
      </c>
      <c r="K4" s="309" t="s">
        <v>288</v>
      </c>
      <c r="L4" s="305" t="s">
        <v>308</v>
      </c>
      <c r="M4" s="309" t="s">
        <v>250</v>
      </c>
      <c r="N4" s="309" t="s">
        <v>251</v>
      </c>
      <c r="O4" s="305" t="s">
        <v>259</v>
      </c>
      <c r="R4" s="163"/>
      <c r="S4" s="163"/>
      <c r="T4" s="248"/>
      <c r="U4" s="248"/>
      <c r="V4" s="248"/>
      <c r="W4" s="248"/>
      <c r="X4" s="248"/>
    </row>
    <row r="5" spans="1:25" ht="15" customHeight="1" thickBot="1" x14ac:dyDescent="0.3">
      <c r="B5" s="312"/>
      <c r="C5" s="314"/>
      <c r="D5" s="316"/>
      <c r="E5" s="308"/>
      <c r="F5" s="308"/>
      <c r="G5" s="308" t="s">
        <v>1</v>
      </c>
      <c r="H5" s="308" t="s">
        <v>1</v>
      </c>
      <c r="I5" s="308"/>
      <c r="J5" s="310"/>
      <c r="K5" s="310"/>
      <c r="L5" s="322"/>
      <c r="M5" s="317"/>
      <c r="N5" s="317"/>
      <c r="O5" s="306"/>
      <c r="R5" s="164">
        <v>44348</v>
      </c>
      <c r="S5" s="165">
        <v>44378</v>
      </c>
      <c r="T5" s="165">
        <v>44409</v>
      </c>
      <c r="U5" s="165">
        <v>44440</v>
      </c>
      <c r="V5" s="165">
        <v>44470</v>
      </c>
      <c r="W5" s="165">
        <v>44501</v>
      </c>
      <c r="X5" s="166">
        <v>44531</v>
      </c>
      <c r="Y5" s="165">
        <v>44562</v>
      </c>
    </row>
    <row r="6" spans="1:25" ht="13.5" thickBot="1" x14ac:dyDescent="0.35">
      <c r="B6" s="296" t="s">
        <v>130</v>
      </c>
      <c r="C6" s="31" t="s">
        <v>131</v>
      </c>
      <c r="D6" s="59" t="s">
        <v>377</v>
      </c>
      <c r="E6" s="280">
        <v>10068</v>
      </c>
      <c r="F6" s="125">
        <v>44926</v>
      </c>
      <c r="G6" s="8">
        <f ca="1">TODAY()-F6</f>
        <v>-442</v>
      </c>
      <c r="H6" s="147">
        <f ca="1">G6/30</f>
        <v>-14.733333333333333</v>
      </c>
      <c r="I6" s="7">
        <f>F6-30*9</f>
        <v>44656</v>
      </c>
      <c r="J6" s="185">
        <v>3</v>
      </c>
      <c r="K6" s="186" t="s">
        <v>255</v>
      </c>
      <c r="L6" s="30"/>
      <c r="M6" s="198"/>
      <c r="N6" s="198"/>
      <c r="O6" s="197"/>
      <c r="Q6" s="172" t="s">
        <v>303</v>
      </c>
      <c r="R6" s="168" t="e">
        <f>SUM(#REF!)+C7</f>
        <v>#REF!</v>
      </c>
      <c r="S6" s="169">
        <v>7967</v>
      </c>
      <c r="T6" s="169">
        <v>7871</v>
      </c>
      <c r="U6" s="169">
        <v>13233</v>
      </c>
      <c r="V6" s="169">
        <v>7670</v>
      </c>
      <c r="W6" s="169">
        <f ca="1">V10</f>
        <v>10738</v>
      </c>
      <c r="X6" s="169">
        <f ca="1">W10</f>
        <v>10938</v>
      </c>
      <c r="Y6" s="169">
        <f ca="1">X10</f>
        <v>14438</v>
      </c>
    </row>
    <row r="7" spans="1:25" ht="13.5" thickBot="1" x14ac:dyDescent="0.35">
      <c r="B7" s="20" t="s">
        <v>22</v>
      </c>
      <c r="C7" s="32">
        <f>SUMIF(Venda!$A:$A,$B6,Venda!$I:$I)*-1</f>
        <v>1272</v>
      </c>
      <c r="D7" s="242" t="s">
        <v>319</v>
      </c>
      <c r="E7" s="243">
        <v>6544</v>
      </c>
      <c r="F7" s="244">
        <v>44926</v>
      </c>
      <c r="G7" s="8">
        <f ca="1">TODAY()-F7</f>
        <v>-442</v>
      </c>
      <c r="H7" s="147">
        <f ca="1">G7/30</f>
        <v>-14.733333333333333</v>
      </c>
      <c r="I7" s="7">
        <f>F7-30*9</f>
        <v>44656</v>
      </c>
      <c r="J7" s="245">
        <v>0</v>
      </c>
      <c r="K7" s="186" t="s">
        <v>258</v>
      </c>
      <c r="L7" s="30"/>
      <c r="M7" s="198"/>
      <c r="N7" s="198"/>
      <c r="O7" s="197"/>
      <c r="Q7" s="172" t="s">
        <v>304</v>
      </c>
      <c r="R7" s="170" t="e">
        <f t="shared" ref="R7:X7" si="0">R6/R8</f>
        <v>#REF!</v>
      </c>
      <c r="S7" s="170">
        <f t="shared" si="0"/>
        <v>1.1391192450672005</v>
      </c>
      <c r="T7" s="170">
        <f t="shared" si="0"/>
        <v>1.6883311883311882</v>
      </c>
      <c r="U7" s="170">
        <f t="shared" si="0"/>
        <v>2.378752471687938</v>
      </c>
      <c r="V7" s="170">
        <f t="shared" si="0"/>
        <v>1.0957142857142856</v>
      </c>
      <c r="W7" s="170">
        <f t="shared" ca="1" si="0"/>
        <v>1.470958904109589</v>
      </c>
      <c r="X7" s="170">
        <f t="shared" ca="1" si="0"/>
        <v>2.7345000000000002</v>
      </c>
      <c r="Y7" s="170">
        <f ca="1">Y6/Y8</f>
        <v>2.7980620155038758</v>
      </c>
    </row>
    <row r="8" spans="1:25" ht="13.5" thickBot="1" x14ac:dyDescent="0.35">
      <c r="B8" s="20" t="s">
        <v>24</v>
      </c>
      <c r="C8" s="32">
        <f>C9-C7</f>
        <v>-1272</v>
      </c>
      <c r="D8" s="59" t="s">
        <v>311</v>
      </c>
      <c r="E8" s="126">
        <v>2534</v>
      </c>
      <c r="F8" s="125">
        <v>44804</v>
      </c>
      <c r="G8" s="8">
        <f ca="1">TODAY()-F8</f>
        <v>-320</v>
      </c>
      <c r="H8" s="147">
        <f ca="1">G8/30</f>
        <v>-10.666666666666666</v>
      </c>
      <c r="I8" s="7">
        <f>F8-30*9</f>
        <v>44534</v>
      </c>
      <c r="J8" s="185">
        <v>3</v>
      </c>
      <c r="K8" s="186" t="s">
        <v>255</v>
      </c>
      <c r="L8" s="30"/>
      <c r="M8" s="246"/>
      <c r="N8" s="246"/>
      <c r="O8" s="197"/>
      <c r="Q8" s="172" t="s">
        <v>302</v>
      </c>
      <c r="R8" s="167">
        <f>INDEX(Forecast!$E$3:$AB$25,MATCH($B6,Forecast!$A$3:$A$25,0),MATCH(R$5,Forecast!$E$2:$AB$2,0))</f>
        <v>5243</v>
      </c>
      <c r="S8" s="167">
        <f>INDEX(Forecast!$E$3:$AB$25,MATCH($B6,Forecast!$A$3:$A$25,0),MATCH(S$5,Forecast!$E$2:$AB$2,0))</f>
        <v>6994</v>
      </c>
      <c r="T8" s="167">
        <f>INDEX(Forecast!$E$3:$AB$25,MATCH($B6,Forecast!$A$3:$A$25,0),MATCH(T$5,Forecast!$E$2:$AB$2,0))</f>
        <v>4662</v>
      </c>
      <c r="U8" s="167">
        <f>INDEX(Forecast!$E$3:$AB$25,MATCH($B6,Forecast!$A$3:$A$25,0),MATCH(U$5,Forecast!$E$2:$AB$2,0))</f>
        <v>5563</v>
      </c>
      <c r="V8" s="167">
        <f>INDEX(Forecast!$E$3:$AB$25,MATCH($B6,Forecast!$A$3:$A$25,0),MATCH(V$5,Forecast!$E$2:$AB$2,0))</f>
        <v>7000</v>
      </c>
      <c r="W8" s="167">
        <f>INDEX(Forecast!$E$3:$AB$25,MATCH($B6,Forecast!$A$3:$A$25,0),MATCH(W$5,Forecast!$E$2:$AB$2,0))</f>
        <v>7300</v>
      </c>
      <c r="X8" s="167">
        <f>INDEX(Forecast!$E$3:$AB$25,MATCH($B6,Forecast!$A$3:$A$25,0),MATCH(X$5,Forecast!$E$2:$AB$2,0))</f>
        <v>4000</v>
      </c>
      <c r="Y8" s="167">
        <f>INDEX(Forecast!$E$3:$AB$25,MATCH($B6,Forecast!$A$3:$A$25,0),MATCH(Y$5,Forecast!$E$2:$AB$2,0))</f>
        <v>5160</v>
      </c>
    </row>
    <row r="9" spans="1:25" ht="13.5" thickBot="1" x14ac:dyDescent="0.35">
      <c r="B9" s="20" t="s">
        <v>260</v>
      </c>
      <c r="C9" s="32">
        <f>VLOOKUP($B6,Colocado!$A:$C,3,0)</f>
        <v>0</v>
      </c>
      <c r="D9" s="59" t="s">
        <v>475</v>
      </c>
      <c r="E9" s="280">
        <v>7495</v>
      </c>
      <c r="F9" s="125">
        <v>45046</v>
      </c>
      <c r="G9" s="8">
        <f ca="1">TODAY()-F9</f>
        <v>-562</v>
      </c>
      <c r="H9" s="147">
        <f ca="1">G9/30</f>
        <v>-18.733333333333334</v>
      </c>
      <c r="I9" s="7">
        <f>F9-30*9</f>
        <v>44776</v>
      </c>
      <c r="J9" s="185">
        <v>4</v>
      </c>
      <c r="K9" s="186" t="s">
        <v>255</v>
      </c>
      <c r="L9" s="24"/>
      <c r="M9" s="198"/>
      <c r="N9" s="198"/>
      <c r="O9" s="197"/>
      <c r="P9" s="14"/>
      <c r="Q9" s="172" t="s">
        <v>305</v>
      </c>
      <c r="R9" s="168"/>
      <c r="S9" s="168" t="e">
        <f>SUM(#REF!)+E7</f>
        <v>#REF!</v>
      </c>
      <c r="T9" s="168">
        <v>10024</v>
      </c>
      <c r="U9" s="168">
        <f>10123</f>
        <v>10123</v>
      </c>
      <c r="V9" s="168">
        <v>10068</v>
      </c>
      <c r="W9" s="168">
        <v>7500</v>
      </c>
      <c r="X9" s="168">
        <v>7500</v>
      </c>
      <c r="Y9" s="168"/>
    </row>
    <row r="10" spans="1:25" ht="13.5" thickBot="1" x14ac:dyDescent="0.35">
      <c r="B10" s="21"/>
      <c r="C10" s="161"/>
      <c r="D10" s="61"/>
      <c r="E10" s="62"/>
      <c r="F10" s="207"/>
      <c r="G10" s="11"/>
      <c r="H10" s="208"/>
      <c r="I10" s="10"/>
      <c r="J10" s="185"/>
      <c r="K10" s="186"/>
      <c r="L10" s="24"/>
      <c r="M10" s="198"/>
      <c r="N10" s="198"/>
      <c r="O10" s="197"/>
      <c r="P10" s="14"/>
      <c r="Q10" s="172" t="s">
        <v>306</v>
      </c>
      <c r="R10" s="171" t="e">
        <f ca="1">IF(R$5=$B$2,IF($C9&lt;R8,R6+R9-R8,R6+R9-$C9),R6+R9-R8)</f>
        <v>#REF!</v>
      </c>
      <c r="S10" s="171" t="e">
        <f t="shared" ref="S10:X10" ca="1" si="1">IF(S$5=$B$2,IF($C7&lt;S8,S6+S9-S8,S6+S9-$C7),S6+S9-S8)</f>
        <v>#REF!</v>
      </c>
      <c r="T10" s="171">
        <f t="shared" ca="1" si="1"/>
        <v>13233</v>
      </c>
      <c r="U10" s="171">
        <f t="shared" ca="1" si="1"/>
        <v>17793</v>
      </c>
      <c r="V10" s="171">
        <f t="shared" ca="1" si="1"/>
        <v>10738</v>
      </c>
      <c r="W10" s="171">
        <f t="shared" ca="1" si="1"/>
        <v>10938</v>
      </c>
      <c r="X10" s="171">
        <f t="shared" ca="1" si="1"/>
        <v>14438</v>
      </c>
      <c r="Y10" s="171">
        <f ca="1">IF(Y$5=$B$2,IF($C7&lt;Y8,Y6+Y9-Y8,Y6+Y9-$C7),Y6+Y9-Y8)</f>
        <v>9278</v>
      </c>
    </row>
    <row r="11" spans="1:25" ht="13.5" thickBot="1" x14ac:dyDescent="0.3">
      <c r="B11" s="21"/>
      <c r="C11" s="161"/>
      <c r="D11" s="59"/>
      <c r="E11" s="126"/>
      <c r="F11" s="125"/>
      <c r="G11" s="8"/>
      <c r="H11" s="147"/>
      <c r="I11" s="7"/>
      <c r="J11" s="185"/>
      <c r="K11" s="174"/>
      <c r="L11" s="24"/>
      <c r="M11" s="234"/>
      <c r="N11" s="234"/>
      <c r="O11" s="197"/>
      <c r="P11" s="14"/>
      <c r="Q11" s="172" t="s">
        <v>307</v>
      </c>
      <c r="R11" s="170" t="e">
        <f t="shared" ref="R11:W11" ca="1" si="2">R10/S8</f>
        <v>#REF!</v>
      </c>
      <c r="S11" s="170" t="e">
        <f t="shared" ca="1" si="2"/>
        <v>#REF!</v>
      </c>
      <c r="T11" s="170">
        <f t="shared" ca="1" si="2"/>
        <v>2.378752471687938</v>
      </c>
      <c r="U11" s="170">
        <f t="shared" ca="1" si="2"/>
        <v>2.5418571428571428</v>
      </c>
      <c r="V11" s="170">
        <f t="shared" ca="1" si="2"/>
        <v>1.470958904109589</v>
      </c>
      <c r="W11" s="170">
        <f t="shared" ca="1" si="2"/>
        <v>2.7345000000000002</v>
      </c>
      <c r="X11" s="170">
        <f ca="1">X10/Y6</f>
        <v>1</v>
      </c>
      <c r="Y11" s="170" t="e">
        <f ca="1">Y10/Z6</f>
        <v>#DIV/0!</v>
      </c>
    </row>
    <row r="12" spans="1:25" ht="13" x14ac:dyDescent="0.25">
      <c r="B12" s="21"/>
      <c r="C12" s="161"/>
      <c r="L12" s="24"/>
      <c r="O12" s="197"/>
      <c r="P12" s="14"/>
      <c r="S12" s="47"/>
    </row>
    <row r="13" spans="1:25" ht="13" x14ac:dyDescent="0.25">
      <c r="B13" s="21"/>
      <c r="C13" s="161"/>
      <c r="L13" s="24"/>
      <c r="M13" s="234"/>
      <c r="N13" s="234"/>
      <c r="O13" s="197"/>
      <c r="P13" s="14"/>
      <c r="T13" s="19"/>
    </row>
    <row r="14" spans="1:25" ht="13" x14ac:dyDescent="0.25">
      <c r="B14" s="21"/>
      <c r="C14" s="161"/>
      <c r="D14" s="180"/>
      <c r="E14" s="180"/>
      <c r="F14" s="180"/>
      <c r="G14" s="180"/>
      <c r="H14" s="234"/>
      <c r="I14" s="234"/>
      <c r="J14" s="234"/>
      <c r="K14" s="234"/>
      <c r="L14" s="24"/>
      <c r="M14" s="234"/>
      <c r="N14" s="234"/>
      <c r="O14" s="197"/>
      <c r="P14" s="14"/>
    </row>
    <row r="15" spans="1:25" ht="13" x14ac:dyDescent="0.25">
      <c r="B15" s="21"/>
      <c r="C15" s="161"/>
      <c r="D15" s="180"/>
      <c r="E15" s="180"/>
      <c r="F15" s="180"/>
      <c r="G15" s="180"/>
      <c r="H15" s="234"/>
      <c r="I15" s="234"/>
      <c r="J15" s="234"/>
      <c r="K15" s="234"/>
      <c r="L15" s="24"/>
      <c r="M15" s="234"/>
      <c r="N15" s="234"/>
      <c r="O15" s="197"/>
      <c r="P15" s="14"/>
    </row>
    <row r="16" spans="1:25" ht="13" x14ac:dyDescent="0.25">
      <c r="B16" s="21"/>
      <c r="C16" s="161"/>
      <c r="D16" s="180"/>
      <c r="E16" s="180"/>
      <c r="F16" s="180"/>
      <c r="G16" s="180"/>
      <c r="H16" s="234"/>
      <c r="I16" s="234"/>
      <c r="J16" s="234"/>
      <c r="K16" s="234"/>
      <c r="L16" s="24"/>
      <c r="M16" s="234"/>
      <c r="N16" s="234"/>
      <c r="O16" s="197"/>
      <c r="P16" s="14"/>
    </row>
    <row r="17" spans="2:24" ht="13.5" thickBot="1" x14ac:dyDescent="0.3">
      <c r="B17" s="154"/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14"/>
      <c r="Q17" s="14"/>
      <c r="R17" s="112"/>
      <c r="S17" s="108"/>
      <c r="U17" s="108"/>
      <c r="V17" s="108"/>
      <c r="W17" s="47"/>
    </row>
    <row r="19" spans="2:24" ht="13" thickBot="1" x14ac:dyDescent="0.3">
      <c r="G19" s="18"/>
    </row>
    <row r="20" spans="2:24" ht="15" customHeight="1" thickBot="1" x14ac:dyDescent="0.3">
      <c r="B20" s="311" t="s">
        <v>4</v>
      </c>
      <c r="C20" s="313" t="s">
        <v>3</v>
      </c>
      <c r="D20" s="315" t="s">
        <v>2</v>
      </c>
      <c r="E20" s="307" t="s">
        <v>12</v>
      </c>
      <c r="F20" s="307" t="s">
        <v>13</v>
      </c>
      <c r="G20" s="307" t="s">
        <v>14</v>
      </c>
      <c r="H20" s="307" t="s">
        <v>15</v>
      </c>
      <c r="I20" s="307" t="s">
        <v>295</v>
      </c>
      <c r="J20" s="309" t="s">
        <v>240</v>
      </c>
      <c r="K20" s="309" t="s">
        <v>288</v>
      </c>
      <c r="L20" s="305" t="s">
        <v>308</v>
      </c>
      <c r="M20" s="309" t="s">
        <v>250</v>
      </c>
      <c r="N20" s="309" t="s">
        <v>251</v>
      </c>
      <c r="O20" s="305" t="s">
        <v>259</v>
      </c>
      <c r="R20" s="163"/>
      <c r="S20" s="163"/>
      <c r="T20" s="163"/>
      <c r="U20" s="163"/>
      <c r="V20" s="163"/>
      <c r="W20" s="163"/>
      <c r="X20" s="163"/>
    </row>
    <row r="21" spans="2:24" ht="15" customHeight="1" thickBot="1" x14ac:dyDescent="0.3">
      <c r="B21" s="312"/>
      <c r="C21" s="314"/>
      <c r="D21" s="316"/>
      <c r="E21" s="308"/>
      <c r="F21" s="308"/>
      <c r="G21" s="308" t="s">
        <v>1</v>
      </c>
      <c r="H21" s="308" t="s">
        <v>1</v>
      </c>
      <c r="I21" s="308"/>
      <c r="J21" s="310"/>
      <c r="K21" s="310"/>
      <c r="L21" s="322"/>
      <c r="M21" s="317"/>
      <c r="N21" s="317"/>
      <c r="O21" s="306"/>
      <c r="R21" s="164">
        <v>44348</v>
      </c>
      <c r="S21" s="165">
        <v>44378</v>
      </c>
      <c r="T21" s="165">
        <v>44409</v>
      </c>
      <c r="U21" s="165">
        <v>44440</v>
      </c>
      <c r="V21" s="165">
        <v>44470</v>
      </c>
      <c r="W21" s="165">
        <v>44501</v>
      </c>
      <c r="X21" s="166">
        <v>44531</v>
      </c>
    </row>
    <row r="22" spans="2:24" ht="13.5" thickBot="1" x14ac:dyDescent="0.3">
      <c r="B22" s="23" t="s">
        <v>154</v>
      </c>
      <c r="C22" s="31" t="s">
        <v>155</v>
      </c>
      <c r="D22" s="124" t="s">
        <v>156</v>
      </c>
      <c r="E22" s="114">
        <v>47</v>
      </c>
      <c r="F22" s="142">
        <v>44592</v>
      </c>
      <c r="G22" s="8">
        <f ca="1">TODAY()-F22</f>
        <v>-108</v>
      </c>
      <c r="H22" s="147">
        <f ca="1">G22/30</f>
        <v>-3.6</v>
      </c>
      <c r="I22" s="7">
        <f>F22-30*9</f>
        <v>44322</v>
      </c>
      <c r="J22" s="143">
        <v>0</v>
      </c>
      <c r="K22" s="174" t="s">
        <v>258</v>
      </c>
      <c r="L22" s="113">
        <v>47</v>
      </c>
      <c r="M22" s="196"/>
      <c r="N22" s="196"/>
      <c r="O22" s="197"/>
      <c r="Q22" s="172" t="s">
        <v>303</v>
      </c>
      <c r="R22" s="168">
        <f>SUM(E22)+C23</f>
        <v>47</v>
      </c>
      <c r="S22" s="169">
        <f t="shared" ref="S22:X22" ca="1" si="3">R26</f>
        <v>47</v>
      </c>
      <c r="T22" s="169">
        <f t="shared" ca="1" si="3"/>
        <v>47</v>
      </c>
      <c r="U22" s="169">
        <f t="shared" ca="1" si="3"/>
        <v>47</v>
      </c>
      <c r="V22" s="169">
        <f t="shared" ca="1" si="3"/>
        <v>47</v>
      </c>
      <c r="W22" s="169">
        <f t="shared" ca="1" si="3"/>
        <v>47</v>
      </c>
      <c r="X22" s="169">
        <f t="shared" ca="1" si="3"/>
        <v>47</v>
      </c>
    </row>
    <row r="23" spans="2:24" ht="13.5" thickBot="1" x14ac:dyDescent="0.35">
      <c r="B23" s="20" t="s">
        <v>22</v>
      </c>
      <c r="C23" s="32">
        <f>SUMIF(Venda!$A:$A,$B22,Venda!$I:$I)*-1</f>
        <v>0</v>
      </c>
      <c r="D23" s="124"/>
      <c r="E23" s="114"/>
      <c r="F23" s="142"/>
      <c r="G23" s="143"/>
      <c r="H23" s="144"/>
      <c r="I23" s="142"/>
      <c r="J23" s="143"/>
      <c r="K23" s="174"/>
      <c r="L23" s="30"/>
      <c r="M23" s="198"/>
      <c r="N23" s="198"/>
      <c r="O23" s="197"/>
      <c r="Q23" s="172" t="s">
        <v>304</v>
      </c>
      <c r="R23" s="170" t="e">
        <f t="shared" ref="R23:X23" si="4">R22/R24</f>
        <v>#DIV/0!</v>
      </c>
      <c r="S23" s="170" t="e">
        <f t="shared" ca="1" si="4"/>
        <v>#DIV/0!</v>
      </c>
      <c r="T23" s="170" t="e">
        <f t="shared" ca="1" si="4"/>
        <v>#DIV/0!</v>
      </c>
      <c r="U23" s="170" t="e">
        <f t="shared" ca="1" si="4"/>
        <v>#DIV/0!</v>
      </c>
      <c r="V23" s="170" t="e">
        <f t="shared" ca="1" si="4"/>
        <v>#DIV/0!</v>
      </c>
      <c r="W23" s="170" t="e">
        <f t="shared" ca="1" si="4"/>
        <v>#DIV/0!</v>
      </c>
      <c r="X23" s="170" t="e">
        <f t="shared" ca="1" si="4"/>
        <v>#DIV/0!</v>
      </c>
    </row>
    <row r="24" spans="2:24" ht="13.5" thickBot="1" x14ac:dyDescent="0.35">
      <c r="B24" s="20" t="s">
        <v>24</v>
      </c>
      <c r="C24" s="32">
        <f>C25-C23</f>
        <v>0</v>
      </c>
      <c r="D24" s="123"/>
      <c r="E24" s="152"/>
      <c r="F24" s="149"/>
      <c r="G24" s="143"/>
      <c r="H24" s="144"/>
      <c r="I24" s="142"/>
      <c r="J24" s="178"/>
      <c r="K24" s="177"/>
      <c r="L24" s="30"/>
      <c r="M24" s="198"/>
      <c r="N24" s="198"/>
      <c r="O24" s="197"/>
      <c r="Q24" s="172" t="s">
        <v>302</v>
      </c>
      <c r="R24" s="167">
        <f>INDEX(Forecast!$E$3:$AB$25,MATCH($B22,Forecast!$A$3:$A$25,0),MATCH(R$5,Forecast!$E$2:$AB$2,0))</f>
        <v>0</v>
      </c>
      <c r="S24" s="167">
        <f>INDEX(Forecast!$E$3:$AB$25,MATCH($B22,Forecast!$A$3:$A$25,0),MATCH(S$5,Forecast!$E$2:$AB$2,0))</f>
        <v>0</v>
      </c>
      <c r="T24" s="167">
        <f>INDEX(Forecast!$E$3:$AB$25,MATCH($B22,Forecast!$A$3:$A$25,0),MATCH(T$5,Forecast!$E$2:$AB$2,0))</f>
        <v>0</v>
      </c>
      <c r="U24" s="167">
        <f>INDEX(Forecast!$E$3:$AB$25,MATCH($B22,Forecast!$A$3:$A$25,0),MATCH(U$5,Forecast!$E$2:$AB$2,0))</f>
        <v>0</v>
      </c>
      <c r="V24" s="167">
        <f>INDEX(Forecast!$E$3:$AB$25,MATCH($B22,Forecast!$A$3:$A$25,0),MATCH(V$5,Forecast!$E$2:$AB$2,0))</f>
        <v>0</v>
      </c>
      <c r="W24" s="167">
        <f>INDEX(Forecast!$E$3:$AB$25,MATCH($B22,Forecast!$A$3:$A$25,0),MATCH(W$5,Forecast!$E$2:$AB$2,0))</f>
        <v>0</v>
      </c>
      <c r="X24" s="167">
        <f>INDEX(Forecast!$E$3:$AB$25,MATCH($B22,Forecast!$A$3:$A$25,0),MATCH(X$5,Forecast!$E$2:$AB$2,0))</f>
        <v>0</v>
      </c>
    </row>
    <row r="25" spans="2:24" ht="13.5" thickBot="1" x14ac:dyDescent="0.35">
      <c r="B25" s="20" t="s">
        <v>260</v>
      </c>
      <c r="C25" s="32">
        <f>VLOOKUP($B22,Colocado!$A:$C,3,0)</f>
        <v>0</v>
      </c>
      <c r="D25" s="123"/>
      <c r="E25" s="152"/>
      <c r="F25" s="142"/>
      <c r="G25" s="143"/>
      <c r="H25" s="144"/>
      <c r="I25" s="142"/>
      <c r="J25" s="178"/>
      <c r="K25" s="177"/>
      <c r="L25" s="30"/>
      <c r="M25" s="198"/>
      <c r="N25" s="198"/>
      <c r="O25" s="197"/>
      <c r="P25" s="14"/>
      <c r="Q25" s="172" t="s">
        <v>305</v>
      </c>
      <c r="R25" s="168">
        <v>0</v>
      </c>
      <c r="S25" s="168">
        <v>0</v>
      </c>
      <c r="T25" s="168">
        <v>0</v>
      </c>
      <c r="U25" s="168">
        <v>0</v>
      </c>
      <c r="V25" s="168">
        <v>0</v>
      </c>
      <c r="W25" s="168">
        <v>0</v>
      </c>
      <c r="X25" s="168">
        <v>0</v>
      </c>
    </row>
    <row r="26" spans="2:24" ht="13.5" thickBot="1" x14ac:dyDescent="0.35">
      <c r="B26" s="21"/>
      <c r="C26" s="161"/>
      <c r="E26" s="18"/>
      <c r="F26" s="50"/>
      <c r="G26" s="8"/>
      <c r="H26" s="66"/>
      <c r="I26" s="66"/>
      <c r="J26" s="51"/>
      <c r="K26" s="51"/>
      <c r="L26" s="30"/>
      <c r="M26" s="198"/>
      <c r="N26" s="198"/>
      <c r="O26" s="197"/>
      <c r="P26" s="14"/>
      <c r="Q26" s="172" t="s">
        <v>306</v>
      </c>
      <c r="R26" s="171">
        <f ca="1">IF(R$5=$B$2,IF($C25&lt;R24,R22+R25-R24,R22+R25-$C25),R22+R25-R24)</f>
        <v>47</v>
      </c>
      <c r="S26" s="171">
        <f t="shared" ref="S26:X26" ca="1" si="5">IF(S$5=$B$2,IF($C23&lt;S24,S22+S25-S24,S22+S25-$C23),S22+S25-S24)</f>
        <v>47</v>
      </c>
      <c r="T26" s="171">
        <f t="shared" ca="1" si="5"/>
        <v>47</v>
      </c>
      <c r="U26" s="171">
        <f t="shared" ca="1" si="5"/>
        <v>47</v>
      </c>
      <c r="V26" s="171">
        <f t="shared" ca="1" si="5"/>
        <v>47</v>
      </c>
      <c r="W26" s="171">
        <f t="shared" ca="1" si="5"/>
        <v>47</v>
      </c>
      <c r="X26" s="171">
        <f t="shared" ca="1" si="5"/>
        <v>47</v>
      </c>
    </row>
    <row r="27" spans="2:24" ht="13.5" thickBot="1" x14ac:dyDescent="0.3">
      <c r="B27" s="21"/>
      <c r="C27" s="161"/>
      <c r="E27" s="18"/>
      <c r="F27" s="50"/>
      <c r="H27" s="51"/>
      <c r="I27" s="51"/>
      <c r="J27" s="51"/>
      <c r="K27" s="51"/>
      <c r="L27" s="30"/>
      <c r="M27" s="198"/>
      <c r="N27" s="198"/>
      <c r="O27" s="197"/>
      <c r="P27" s="14"/>
      <c r="Q27" s="172" t="s">
        <v>307</v>
      </c>
      <c r="R27" s="170" t="e">
        <f t="shared" ref="R27:W27" ca="1" si="6">R26/S24</f>
        <v>#DIV/0!</v>
      </c>
      <c r="S27" s="170" t="e">
        <f t="shared" ca="1" si="6"/>
        <v>#DIV/0!</v>
      </c>
      <c r="T27" s="170" t="e">
        <f t="shared" ca="1" si="6"/>
        <v>#DIV/0!</v>
      </c>
      <c r="U27" s="170" t="e">
        <f t="shared" ca="1" si="6"/>
        <v>#DIV/0!</v>
      </c>
      <c r="V27" s="170" t="e">
        <f t="shared" ca="1" si="6"/>
        <v>#DIV/0!</v>
      </c>
      <c r="W27" s="170" t="e">
        <f t="shared" ca="1" si="6"/>
        <v>#DIV/0!</v>
      </c>
      <c r="X27" s="170" t="e">
        <f ca="1">X26/Y22</f>
        <v>#DIV/0!</v>
      </c>
    </row>
    <row r="28" spans="2:24" ht="13" x14ac:dyDescent="0.25">
      <c r="B28" s="21"/>
      <c r="C28" s="161"/>
      <c r="E28" s="18"/>
      <c r="F28" s="50"/>
      <c r="H28" s="51"/>
      <c r="I28" s="51"/>
      <c r="J28" s="51"/>
      <c r="K28" s="51"/>
      <c r="L28" s="30"/>
      <c r="M28" s="198"/>
      <c r="N28" s="198"/>
      <c r="O28" s="197"/>
      <c r="P28" s="14"/>
    </row>
    <row r="29" spans="2:24" ht="13.5" thickBot="1" x14ac:dyDescent="0.3">
      <c r="B29" s="154"/>
      <c r="C29" s="162"/>
      <c r="D29" s="155"/>
      <c r="E29" s="156"/>
      <c r="F29" s="157"/>
      <c r="G29" s="155"/>
      <c r="H29" s="158"/>
      <c r="I29" s="158"/>
      <c r="J29" s="158"/>
      <c r="K29" s="158"/>
      <c r="L29" s="159"/>
      <c r="M29" s="199"/>
      <c r="N29" s="199"/>
      <c r="O29" s="200"/>
      <c r="P29" s="14"/>
      <c r="Q29" s="14"/>
      <c r="R29" s="112"/>
      <c r="S29" s="108"/>
      <c r="U29" s="108"/>
      <c r="V29" s="108"/>
      <c r="W29" s="47"/>
    </row>
    <row r="31" spans="2:24" ht="13" thickBot="1" x14ac:dyDescent="0.3"/>
    <row r="32" spans="2:24" ht="15" customHeight="1" thickBot="1" x14ac:dyDescent="0.3">
      <c r="B32" s="311" t="s">
        <v>4</v>
      </c>
      <c r="C32" s="313" t="s">
        <v>3</v>
      </c>
      <c r="D32" s="315" t="s">
        <v>2</v>
      </c>
      <c r="E32" s="307" t="s">
        <v>12</v>
      </c>
      <c r="F32" s="307" t="s">
        <v>13</v>
      </c>
      <c r="G32" s="307" t="s">
        <v>14</v>
      </c>
      <c r="H32" s="307" t="s">
        <v>15</v>
      </c>
      <c r="I32" s="307" t="s">
        <v>295</v>
      </c>
      <c r="J32" s="309" t="s">
        <v>240</v>
      </c>
      <c r="K32" s="309" t="s">
        <v>288</v>
      </c>
      <c r="L32" s="305" t="s">
        <v>308</v>
      </c>
      <c r="M32" s="309" t="s">
        <v>250</v>
      </c>
      <c r="N32" s="309" t="s">
        <v>251</v>
      </c>
      <c r="O32" s="305" t="s">
        <v>259</v>
      </c>
      <c r="R32" s="163"/>
      <c r="S32" s="163"/>
      <c r="T32" s="163"/>
      <c r="U32" s="163"/>
      <c r="V32" s="163"/>
      <c r="W32" s="163"/>
      <c r="X32" s="163"/>
    </row>
    <row r="33" spans="2:24" ht="15" customHeight="1" thickBot="1" x14ac:dyDescent="0.3">
      <c r="B33" s="312"/>
      <c r="C33" s="314"/>
      <c r="D33" s="316"/>
      <c r="E33" s="308"/>
      <c r="F33" s="308"/>
      <c r="G33" s="308" t="s">
        <v>1</v>
      </c>
      <c r="H33" s="308" t="s">
        <v>1</v>
      </c>
      <c r="I33" s="308"/>
      <c r="J33" s="310"/>
      <c r="K33" s="310"/>
      <c r="L33" s="322"/>
      <c r="M33" s="317"/>
      <c r="N33" s="317"/>
      <c r="O33" s="306"/>
      <c r="R33" s="164">
        <v>44348</v>
      </c>
      <c r="S33" s="165">
        <v>44378</v>
      </c>
      <c r="T33" s="165">
        <v>44409</v>
      </c>
      <c r="U33" s="165">
        <v>44440</v>
      </c>
      <c r="V33" s="165">
        <v>44470</v>
      </c>
      <c r="W33" s="165">
        <v>44501</v>
      </c>
      <c r="X33" s="166">
        <v>44531</v>
      </c>
    </row>
    <row r="34" spans="2:24" ht="13.5" thickBot="1" x14ac:dyDescent="0.3">
      <c r="B34" s="296" t="s">
        <v>158</v>
      </c>
      <c r="C34" s="31" t="s">
        <v>159</v>
      </c>
      <c r="D34" s="124" t="s">
        <v>342</v>
      </c>
      <c r="E34" s="114">
        <v>4412</v>
      </c>
      <c r="F34" s="142">
        <v>45350</v>
      </c>
      <c r="G34" s="8">
        <f ca="1">TODAY()-F34</f>
        <v>-866</v>
      </c>
      <c r="H34" s="147">
        <f ca="1">G34/30</f>
        <v>-28.866666666666667</v>
      </c>
      <c r="I34" s="7">
        <f>F34-30*9</f>
        <v>45080</v>
      </c>
      <c r="J34" s="143">
        <v>0</v>
      </c>
      <c r="K34" s="174" t="s">
        <v>258</v>
      </c>
      <c r="L34" s="30"/>
      <c r="M34" s="196"/>
      <c r="N34" s="196"/>
      <c r="O34" s="197"/>
      <c r="Q34" s="172" t="s">
        <v>303</v>
      </c>
      <c r="R34" s="168" t="e">
        <f>SUM(#REF!)+C35</f>
        <v>#REF!</v>
      </c>
      <c r="S34" s="169">
        <v>1878</v>
      </c>
      <c r="T34" s="169">
        <v>1177</v>
      </c>
      <c r="U34" s="169">
        <v>1153</v>
      </c>
      <c r="V34" s="169">
        <v>4467</v>
      </c>
      <c r="W34" s="169">
        <f ca="1">V38</f>
        <v>3738</v>
      </c>
      <c r="X34" s="169">
        <f ca="1">W38</f>
        <v>2989</v>
      </c>
    </row>
    <row r="35" spans="2:24" ht="13.5" thickBot="1" x14ac:dyDescent="0.3">
      <c r="B35" s="20" t="s">
        <v>22</v>
      </c>
      <c r="C35" s="32">
        <f>SUMIF(Venda!$A:$A,$B34,Venda!$I:$I)*-1</f>
        <v>105</v>
      </c>
      <c r="L35" s="30"/>
      <c r="M35" s="198"/>
      <c r="N35" s="198"/>
      <c r="O35" s="197"/>
      <c r="Q35" s="172" t="s">
        <v>304</v>
      </c>
      <c r="R35" s="170" t="e">
        <f t="shared" ref="R35:X35" si="7">R34/R36</f>
        <v>#REF!</v>
      </c>
      <c r="S35" s="170">
        <f t="shared" si="7"/>
        <v>2.6982758620689653</v>
      </c>
      <c r="T35" s="170">
        <f t="shared" si="7"/>
        <v>2.6449438202247193</v>
      </c>
      <c r="U35" s="170">
        <f t="shared" si="7"/>
        <v>1.4129901960784315</v>
      </c>
      <c r="V35" s="170">
        <f t="shared" si="7"/>
        <v>6.1275720164609053</v>
      </c>
      <c r="W35" s="170">
        <f t="shared" ca="1" si="7"/>
        <v>4.990654205607477</v>
      </c>
      <c r="X35" s="170">
        <f t="shared" ca="1" si="7"/>
        <v>5.9779999999999998</v>
      </c>
    </row>
    <row r="36" spans="2:24" ht="13.5" thickBot="1" x14ac:dyDescent="0.35">
      <c r="B36" s="20" t="s">
        <v>24</v>
      </c>
      <c r="C36" s="32">
        <f>C37-C35</f>
        <v>-105</v>
      </c>
      <c r="D36" s="123"/>
      <c r="E36" s="152"/>
      <c r="F36" s="149"/>
      <c r="G36" s="143"/>
      <c r="H36" s="144"/>
      <c r="I36" s="142"/>
      <c r="J36" s="178"/>
      <c r="K36" s="177"/>
      <c r="L36" s="30"/>
      <c r="M36" s="198"/>
      <c r="N36" s="198"/>
      <c r="O36" s="197"/>
      <c r="Q36" s="172" t="s">
        <v>302</v>
      </c>
      <c r="R36" s="167">
        <f>INDEX(Forecast!$E$3:$AB$25,MATCH($B34,Forecast!$A$3:$A$25,0),MATCH(R$5,Forecast!$E$2:$AB$2,0))</f>
        <v>753</v>
      </c>
      <c r="S36" s="167">
        <f>INDEX(Forecast!$E$3:$AB$25,MATCH($B34,Forecast!$A$3:$A$25,0),MATCH(S$5,Forecast!$E$2:$AB$2,0))</f>
        <v>696</v>
      </c>
      <c r="T36" s="167">
        <f>INDEX(Forecast!$E$3:$AB$25,MATCH($B34,Forecast!$A$3:$A$25,0),MATCH(T$5,Forecast!$E$2:$AB$2,0))</f>
        <v>445</v>
      </c>
      <c r="U36" s="167">
        <f>INDEX(Forecast!$E$3:$AB$25,MATCH($B34,Forecast!$A$3:$A$25,0),MATCH(U$5,Forecast!$E$2:$AB$2,0))</f>
        <v>816</v>
      </c>
      <c r="V36" s="167">
        <f>INDEX(Forecast!$E$3:$AB$25,MATCH($B34,Forecast!$A$3:$A$25,0),MATCH(V$5,Forecast!$E$2:$AB$2,0))</f>
        <v>729</v>
      </c>
      <c r="W36" s="167">
        <f>INDEX(Forecast!$E$3:$AB$25,MATCH($B34,Forecast!$A$3:$A$25,0),MATCH(W$5,Forecast!$E$2:$AB$2,0))</f>
        <v>749</v>
      </c>
      <c r="X36" s="167">
        <f>INDEX(Forecast!$E$3:$AB$25,MATCH($B34,Forecast!$A$3:$A$25,0),MATCH(X$5,Forecast!$E$2:$AB$2,0))</f>
        <v>500</v>
      </c>
    </row>
    <row r="37" spans="2:24" ht="13.5" thickBot="1" x14ac:dyDescent="0.35">
      <c r="B37" s="20" t="s">
        <v>260</v>
      </c>
      <c r="C37" s="32">
        <f>VLOOKUP($B34,Colocado!$A:$C,3,0)</f>
        <v>0</v>
      </c>
      <c r="D37" s="123"/>
      <c r="E37" s="152"/>
      <c r="F37" s="142"/>
      <c r="G37" s="143"/>
      <c r="H37" s="144"/>
      <c r="I37" s="142"/>
      <c r="J37" s="178"/>
      <c r="K37" s="177"/>
      <c r="L37" s="30"/>
      <c r="M37" s="198"/>
      <c r="N37" s="198"/>
      <c r="O37" s="197"/>
      <c r="P37" s="14"/>
      <c r="Q37" s="172" t="s">
        <v>305</v>
      </c>
      <c r="R37" s="168"/>
      <c r="S37" s="168"/>
      <c r="T37" s="168"/>
      <c r="U37" s="168">
        <f>E34</f>
        <v>4412</v>
      </c>
      <c r="V37" s="168">
        <v>0</v>
      </c>
      <c r="W37" s="168">
        <v>0</v>
      </c>
      <c r="X37" s="168">
        <v>0</v>
      </c>
    </row>
    <row r="38" spans="2:24" ht="13.5" thickBot="1" x14ac:dyDescent="0.35">
      <c r="B38" s="21"/>
      <c r="C38" s="161"/>
      <c r="E38" s="18"/>
      <c r="F38" s="50"/>
      <c r="G38" s="8"/>
      <c r="H38" s="66"/>
      <c r="I38" s="66"/>
      <c r="J38" s="51"/>
      <c r="K38" s="51"/>
      <c r="L38" s="30"/>
      <c r="M38" s="198"/>
      <c r="N38" s="198"/>
      <c r="O38" s="197"/>
      <c r="P38" s="14"/>
      <c r="Q38" s="172" t="s">
        <v>306</v>
      </c>
      <c r="R38" s="171" t="e">
        <f ca="1">IF(R$5=$B$2,IF($C37&lt;R36,R34+R37-R36,R34+R37-$C37),R34+R37-R36)</f>
        <v>#REF!</v>
      </c>
      <c r="S38" s="171">
        <f t="shared" ref="S38:X38" ca="1" si="8">IF(S$5=$B$2,IF($C35&lt;S36,S34+S37-S36,S34+S37-$C35),S34+S37-S36)</f>
        <v>1182</v>
      </c>
      <c r="T38" s="171">
        <f t="shared" ca="1" si="8"/>
        <v>732</v>
      </c>
      <c r="U38" s="171">
        <f t="shared" ca="1" si="8"/>
        <v>4749</v>
      </c>
      <c r="V38" s="171">
        <f t="shared" ca="1" si="8"/>
        <v>3738</v>
      </c>
      <c r="W38" s="171">
        <f t="shared" ca="1" si="8"/>
        <v>2989</v>
      </c>
      <c r="X38" s="171">
        <f t="shared" ca="1" si="8"/>
        <v>2489</v>
      </c>
    </row>
    <row r="39" spans="2:24" ht="13.5" thickBot="1" x14ac:dyDescent="0.3">
      <c r="B39" s="21"/>
      <c r="C39" s="161"/>
      <c r="E39" s="18"/>
      <c r="F39" s="50"/>
      <c r="H39" s="51"/>
      <c r="I39" s="51"/>
      <c r="J39" s="51"/>
      <c r="K39" s="51"/>
      <c r="L39" s="30"/>
      <c r="M39" s="198"/>
      <c r="N39" s="198"/>
      <c r="O39" s="197"/>
      <c r="P39" s="14"/>
      <c r="Q39" s="172" t="s">
        <v>307</v>
      </c>
      <c r="R39" s="170" t="e">
        <f t="shared" ref="R39:W39" ca="1" si="9">R38/S36</f>
        <v>#REF!</v>
      </c>
      <c r="S39" s="170">
        <f t="shared" ca="1" si="9"/>
        <v>2.6561797752808989</v>
      </c>
      <c r="T39" s="170">
        <f t="shared" ca="1" si="9"/>
        <v>0.8970588235294118</v>
      </c>
      <c r="U39" s="170">
        <f t="shared" ca="1" si="9"/>
        <v>6.5144032921810702</v>
      </c>
      <c r="V39" s="170">
        <f t="shared" ca="1" si="9"/>
        <v>4.990654205607477</v>
      </c>
      <c r="W39" s="170">
        <f t="shared" ca="1" si="9"/>
        <v>5.9779999999999998</v>
      </c>
      <c r="X39" s="170" t="e">
        <f ca="1">X38/Y34</f>
        <v>#DIV/0!</v>
      </c>
    </row>
    <row r="40" spans="2:24" ht="13" x14ac:dyDescent="0.25">
      <c r="B40" s="21"/>
      <c r="C40" s="161"/>
      <c r="E40" s="18"/>
      <c r="F40" s="50"/>
      <c r="H40" s="51"/>
      <c r="I40" s="51"/>
      <c r="J40" s="51"/>
      <c r="K40" s="51"/>
      <c r="L40" s="30"/>
      <c r="M40" s="198"/>
      <c r="N40" s="198"/>
      <c r="O40" s="197"/>
      <c r="P40" s="14"/>
      <c r="T40" s="19"/>
    </row>
    <row r="41" spans="2:24" ht="13.5" thickBot="1" x14ac:dyDescent="0.3">
      <c r="B41" s="154"/>
      <c r="C41" s="162"/>
      <c r="D41" s="155"/>
      <c r="E41" s="156"/>
      <c r="F41" s="157"/>
      <c r="G41" s="155"/>
      <c r="H41" s="158"/>
      <c r="I41" s="158"/>
      <c r="J41" s="158"/>
      <c r="K41" s="158"/>
      <c r="L41" s="159"/>
      <c r="M41" s="199"/>
      <c r="N41" s="199"/>
      <c r="O41" s="200"/>
      <c r="P41" s="14"/>
      <c r="Q41" s="14"/>
      <c r="R41" s="112"/>
      <c r="S41" s="108"/>
      <c r="T41" s="47"/>
      <c r="U41" s="108"/>
      <c r="V41" s="108"/>
      <c r="W41" s="47"/>
    </row>
    <row r="42" spans="2:24" ht="13" x14ac:dyDescent="0.25">
      <c r="B42" s="25"/>
      <c r="C42" s="35"/>
      <c r="D42" s="180"/>
      <c r="E42" s="181"/>
      <c r="F42" s="182"/>
      <c r="G42" s="180"/>
      <c r="H42" s="183"/>
      <c r="I42" s="183"/>
      <c r="J42" s="183"/>
      <c r="K42" s="183"/>
      <c r="L42" s="153"/>
      <c r="M42" s="183"/>
      <c r="N42" s="183"/>
      <c r="O42" s="153"/>
      <c r="P42" s="14"/>
      <c r="Q42" s="14"/>
      <c r="R42" s="112"/>
      <c r="S42" s="108"/>
      <c r="U42" s="108"/>
      <c r="V42" s="108"/>
      <c r="W42" s="47"/>
    </row>
    <row r="43" spans="2:24" ht="13" thickBot="1" x14ac:dyDescent="0.3"/>
    <row r="44" spans="2:24" ht="15" customHeight="1" thickBot="1" x14ac:dyDescent="0.3">
      <c r="B44" s="311" t="s">
        <v>4</v>
      </c>
      <c r="C44" s="313" t="s">
        <v>3</v>
      </c>
      <c r="D44" s="315" t="s">
        <v>2</v>
      </c>
      <c r="E44" s="307" t="s">
        <v>12</v>
      </c>
      <c r="F44" s="307" t="s">
        <v>13</v>
      </c>
      <c r="G44" s="307" t="s">
        <v>14</v>
      </c>
      <c r="H44" s="307" t="s">
        <v>15</v>
      </c>
      <c r="I44" s="307" t="s">
        <v>295</v>
      </c>
      <c r="J44" s="309" t="s">
        <v>240</v>
      </c>
      <c r="K44" s="309" t="s">
        <v>288</v>
      </c>
      <c r="L44" s="305" t="s">
        <v>308</v>
      </c>
      <c r="M44" s="309" t="s">
        <v>250</v>
      </c>
      <c r="N44" s="309" t="s">
        <v>251</v>
      </c>
      <c r="O44" s="305" t="s">
        <v>259</v>
      </c>
      <c r="R44" s="163"/>
      <c r="S44" s="163"/>
      <c r="T44" s="163"/>
      <c r="U44" s="163"/>
      <c r="V44" s="163"/>
      <c r="W44" s="163"/>
      <c r="X44" s="163"/>
    </row>
    <row r="45" spans="2:24" ht="15" customHeight="1" thickBot="1" x14ac:dyDescent="0.3">
      <c r="B45" s="312"/>
      <c r="C45" s="314"/>
      <c r="D45" s="316"/>
      <c r="E45" s="308"/>
      <c r="F45" s="308"/>
      <c r="G45" s="308" t="s">
        <v>1</v>
      </c>
      <c r="H45" s="308" t="s">
        <v>1</v>
      </c>
      <c r="I45" s="308"/>
      <c r="J45" s="310"/>
      <c r="K45" s="310"/>
      <c r="L45" s="322"/>
      <c r="M45" s="317"/>
      <c r="N45" s="317"/>
      <c r="O45" s="306"/>
      <c r="R45" s="164">
        <v>44348</v>
      </c>
      <c r="S45" s="165">
        <v>44378</v>
      </c>
      <c r="T45" s="165">
        <v>44409</v>
      </c>
      <c r="U45" s="165">
        <v>44440</v>
      </c>
      <c r="V45" s="165">
        <v>44470</v>
      </c>
      <c r="W45" s="165">
        <v>44501</v>
      </c>
      <c r="X45" s="166">
        <v>44531</v>
      </c>
    </row>
    <row r="46" spans="2:24" ht="13.5" thickBot="1" x14ac:dyDescent="0.3">
      <c r="B46" s="23" t="s">
        <v>188</v>
      </c>
      <c r="C46" s="31" t="s">
        <v>189</v>
      </c>
      <c r="D46" s="124" t="s">
        <v>247</v>
      </c>
      <c r="E46" s="114">
        <v>43</v>
      </c>
      <c r="F46" s="142">
        <v>44895</v>
      </c>
      <c r="G46" s="8">
        <f ca="1">TODAY()-F46</f>
        <v>-411</v>
      </c>
      <c r="H46" s="147">
        <f ca="1">G46/30</f>
        <v>-13.7</v>
      </c>
      <c r="I46" s="7">
        <f>F46-30*9</f>
        <v>44625</v>
      </c>
      <c r="J46" s="143">
        <v>0</v>
      </c>
      <c r="K46" s="174" t="s">
        <v>258</v>
      </c>
      <c r="L46" s="30"/>
      <c r="M46" s="196"/>
      <c r="N46" s="196"/>
      <c r="O46" s="197"/>
      <c r="Q46" s="172" t="s">
        <v>303</v>
      </c>
      <c r="R46" s="168">
        <f>SUM(E46)+C47</f>
        <v>43</v>
      </c>
      <c r="S46" s="169">
        <v>43</v>
      </c>
      <c r="T46" s="169">
        <f ca="1">S50</f>
        <v>43</v>
      </c>
      <c r="U46" s="169">
        <f ca="1">T50</f>
        <v>50</v>
      </c>
      <c r="V46" s="169">
        <f ca="1">U50</f>
        <v>50</v>
      </c>
      <c r="W46" s="169">
        <f ca="1">V50</f>
        <v>50</v>
      </c>
      <c r="X46" s="169">
        <f ca="1">W50</f>
        <v>50</v>
      </c>
    </row>
    <row r="47" spans="2:24" ht="13.5" thickBot="1" x14ac:dyDescent="0.35">
      <c r="B47" s="20" t="s">
        <v>22</v>
      </c>
      <c r="C47" s="32">
        <f>SUMIF(Venda!$A:$A,$B46,Venda!$I:$I)*-1</f>
        <v>0</v>
      </c>
      <c r="D47" s="124"/>
      <c r="E47" s="114"/>
      <c r="F47" s="142"/>
      <c r="G47" s="143"/>
      <c r="H47" s="144"/>
      <c r="I47" s="142"/>
      <c r="J47" s="143"/>
      <c r="K47" s="174"/>
      <c r="L47" s="30"/>
      <c r="M47" s="198"/>
      <c r="N47" s="198"/>
      <c r="O47" s="197"/>
      <c r="Q47" s="172" t="s">
        <v>304</v>
      </c>
      <c r="R47" s="170">
        <f t="shared" ref="R47:X47" si="10">R46/R48</f>
        <v>2.8666666666666667</v>
      </c>
      <c r="S47" s="170" t="e">
        <f t="shared" si="10"/>
        <v>#DIV/0!</v>
      </c>
      <c r="T47" s="170">
        <f t="shared" ca="1" si="10"/>
        <v>-6.1428571428571432</v>
      </c>
      <c r="U47" s="170" t="e">
        <f t="shared" ca="1" si="10"/>
        <v>#DIV/0!</v>
      </c>
      <c r="V47" s="170" t="e">
        <f t="shared" ca="1" si="10"/>
        <v>#DIV/0!</v>
      </c>
      <c r="W47" s="170" t="e">
        <f t="shared" ca="1" si="10"/>
        <v>#DIV/0!</v>
      </c>
      <c r="X47" s="170" t="e">
        <f t="shared" ca="1" si="10"/>
        <v>#DIV/0!</v>
      </c>
    </row>
    <row r="48" spans="2:24" ht="13.5" thickBot="1" x14ac:dyDescent="0.35">
      <c r="B48" s="20" t="s">
        <v>24</v>
      </c>
      <c r="C48" s="32">
        <f>C49-C47</f>
        <v>0</v>
      </c>
      <c r="D48" s="123"/>
      <c r="E48" s="152"/>
      <c r="F48" s="149"/>
      <c r="G48" s="143"/>
      <c r="H48" s="144"/>
      <c r="I48" s="142"/>
      <c r="J48" s="178"/>
      <c r="K48" s="177"/>
      <c r="L48" s="30"/>
      <c r="M48" s="198"/>
      <c r="N48" s="198"/>
      <c r="O48" s="197"/>
      <c r="Q48" s="172" t="s">
        <v>302</v>
      </c>
      <c r="R48" s="167">
        <f>INDEX(Forecast!$E$3:$AB$25,MATCH($B46,Forecast!$A$3:$A$25,0),MATCH(R$5,Forecast!$E$2:$AB$2,0))</f>
        <v>15</v>
      </c>
      <c r="S48" s="167">
        <f>INDEX(Forecast!$E$3:$AB$25,MATCH($B46,Forecast!$A$3:$A$25,0),MATCH(S$5,Forecast!$E$2:$AB$2,0))</f>
        <v>0</v>
      </c>
      <c r="T48" s="167">
        <f>INDEX(Forecast!$E$3:$AB$25,MATCH($B46,Forecast!$A$3:$A$25,0),MATCH(T$5,Forecast!$E$2:$AB$2,0))</f>
        <v>-7</v>
      </c>
      <c r="U48" s="167">
        <f>INDEX(Forecast!$E$3:$AB$25,MATCH($B46,Forecast!$A$3:$A$25,0),MATCH(U$5,Forecast!$E$2:$AB$2,0))</f>
        <v>0</v>
      </c>
      <c r="V48" s="167">
        <f>INDEX(Forecast!$E$3:$AB$25,MATCH($B46,Forecast!$A$3:$A$25,0),MATCH(V$5,Forecast!$E$2:$AB$2,0))</f>
        <v>0</v>
      </c>
      <c r="W48" s="167">
        <f>INDEX(Forecast!$E$3:$AB$25,MATCH($B46,Forecast!$A$3:$A$25,0),MATCH(W$5,Forecast!$E$2:$AB$2,0))</f>
        <v>0</v>
      </c>
      <c r="X48" s="167">
        <f>INDEX(Forecast!$E$3:$AB$25,MATCH($B46,Forecast!$A$3:$A$25,0),MATCH(X$5,Forecast!$E$2:$AB$2,0))</f>
        <v>0</v>
      </c>
    </row>
    <row r="49" spans="2:24" ht="13.5" thickBot="1" x14ac:dyDescent="0.35">
      <c r="B49" s="20" t="s">
        <v>260</v>
      </c>
      <c r="C49" s="32">
        <f>VLOOKUP($B46,Colocado!$A:$C,3,0)</f>
        <v>0</v>
      </c>
      <c r="D49" s="123"/>
      <c r="E49" s="152"/>
      <c r="F49" s="142"/>
      <c r="G49" s="143"/>
      <c r="H49" s="144"/>
      <c r="I49" s="142"/>
      <c r="J49" s="178"/>
      <c r="K49" s="177"/>
      <c r="L49" s="30"/>
      <c r="M49" s="198"/>
      <c r="N49" s="198"/>
      <c r="O49" s="197"/>
      <c r="P49" s="14"/>
      <c r="Q49" s="172" t="s">
        <v>305</v>
      </c>
      <c r="R49" s="168"/>
      <c r="S49" s="168"/>
      <c r="T49" s="168"/>
      <c r="U49" s="168"/>
      <c r="V49" s="168"/>
      <c r="W49" s="168"/>
      <c r="X49" s="168"/>
    </row>
    <row r="50" spans="2:24" ht="13.5" thickBot="1" x14ac:dyDescent="0.35">
      <c r="B50" s="21"/>
      <c r="C50" s="161"/>
      <c r="E50" s="18"/>
      <c r="F50" s="50"/>
      <c r="G50" s="8"/>
      <c r="H50" s="66"/>
      <c r="I50" s="66"/>
      <c r="J50" s="51"/>
      <c r="K50" s="51"/>
      <c r="L50" s="30"/>
      <c r="M50" s="198"/>
      <c r="N50" s="198"/>
      <c r="O50" s="197"/>
      <c r="P50" s="14"/>
      <c r="Q50" s="172" t="s">
        <v>306</v>
      </c>
      <c r="R50" s="171">
        <f ca="1">IF(R$5=$B$2,IF($C49&lt;R48,R46+R49-R48,R46+R49-$C49),R46+R49-R48)</f>
        <v>28</v>
      </c>
      <c r="S50" s="171">
        <f t="shared" ref="S50:X50" ca="1" si="11">IF(S$5=$B$2,IF($C47&lt;S48,S46+S49-S48,S46+S49-$C47),S46+S49-S48)</f>
        <v>43</v>
      </c>
      <c r="T50" s="171">
        <f t="shared" ca="1" si="11"/>
        <v>50</v>
      </c>
      <c r="U50" s="171">
        <f t="shared" ca="1" si="11"/>
        <v>50</v>
      </c>
      <c r="V50" s="171">
        <f t="shared" ca="1" si="11"/>
        <v>50</v>
      </c>
      <c r="W50" s="171">
        <f t="shared" ca="1" si="11"/>
        <v>50</v>
      </c>
      <c r="X50" s="171">
        <f t="shared" ca="1" si="11"/>
        <v>50</v>
      </c>
    </row>
    <row r="51" spans="2:24" ht="13.5" thickBot="1" x14ac:dyDescent="0.3">
      <c r="B51" s="21"/>
      <c r="C51" s="161"/>
      <c r="E51" s="18"/>
      <c r="F51" s="50"/>
      <c r="H51" s="51"/>
      <c r="I51" s="51"/>
      <c r="J51" s="51"/>
      <c r="K51" s="51"/>
      <c r="L51" s="30"/>
      <c r="M51" s="198"/>
      <c r="N51" s="198"/>
      <c r="O51" s="197"/>
      <c r="P51" s="14"/>
      <c r="Q51" s="172" t="s">
        <v>307</v>
      </c>
      <c r="R51" s="170" t="e">
        <f t="shared" ref="R51:W51" ca="1" si="12">R50/S48</f>
        <v>#DIV/0!</v>
      </c>
      <c r="S51" s="170">
        <f t="shared" ca="1" si="12"/>
        <v>-6.1428571428571432</v>
      </c>
      <c r="T51" s="170" t="e">
        <f t="shared" ca="1" si="12"/>
        <v>#DIV/0!</v>
      </c>
      <c r="U51" s="170" t="e">
        <f t="shared" ca="1" si="12"/>
        <v>#DIV/0!</v>
      </c>
      <c r="V51" s="170" t="e">
        <f t="shared" ca="1" si="12"/>
        <v>#DIV/0!</v>
      </c>
      <c r="W51" s="170" t="e">
        <f t="shared" ca="1" si="12"/>
        <v>#DIV/0!</v>
      </c>
      <c r="X51" s="170" t="e">
        <f ca="1">X50/Y46</f>
        <v>#DIV/0!</v>
      </c>
    </row>
    <row r="52" spans="2:24" ht="13" x14ac:dyDescent="0.25">
      <c r="B52" s="21"/>
      <c r="C52" s="161"/>
      <c r="E52" s="18"/>
      <c r="F52" s="50"/>
      <c r="H52" s="51"/>
      <c r="I52" s="51"/>
      <c r="J52" s="51"/>
      <c r="K52" s="51"/>
      <c r="L52" s="30"/>
      <c r="M52" s="198"/>
      <c r="N52" s="198"/>
      <c r="O52" s="197"/>
      <c r="P52" s="14"/>
    </row>
    <row r="53" spans="2:24" ht="13.5" thickBot="1" x14ac:dyDescent="0.3">
      <c r="B53" s="154"/>
      <c r="C53" s="162"/>
      <c r="D53" s="155"/>
      <c r="E53" s="156"/>
      <c r="F53" s="157"/>
      <c r="G53" s="155"/>
      <c r="H53" s="158"/>
      <c r="I53" s="158"/>
      <c r="J53" s="158"/>
      <c r="K53" s="158"/>
      <c r="L53" s="159"/>
      <c r="M53" s="199"/>
      <c r="N53" s="199"/>
      <c r="O53" s="200"/>
      <c r="P53" s="14"/>
      <c r="Q53" s="14"/>
      <c r="R53" s="112"/>
      <c r="S53" s="108"/>
      <c r="U53" s="108"/>
      <c r="V53" s="108"/>
      <c r="W53" s="47"/>
    </row>
    <row r="55" spans="2:24" ht="13.5" thickBot="1" x14ac:dyDescent="0.35">
      <c r="T55" s="47"/>
      <c r="W55" s="19"/>
      <c r="X55" s="251"/>
    </row>
    <row r="56" spans="2:24" ht="15" customHeight="1" thickBot="1" x14ac:dyDescent="0.3">
      <c r="B56" s="311" t="s">
        <v>4</v>
      </c>
      <c r="C56" s="313" t="s">
        <v>3</v>
      </c>
      <c r="D56" s="315" t="s">
        <v>2</v>
      </c>
      <c r="E56" s="307" t="s">
        <v>12</v>
      </c>
      <c r="F56" s="307" t="s">
        <v>13</v>
      </c>
      <c r="G56" s="307" t="s">
        <v>14</v>
      </c>
      <c r="H56" s="307" t="s">
        <v>15</v>
      </c>
      <c r="I56" s="307" t="s">
        <v>295</v>
      </c>
      <c r="J56" s="309" t="s">
        <v>240</v>
      </c>
      <c r="K56" s="309" t="s">
        <v>288</v>
      </c>
      <c r="L56" s="305" t="s">
        <v>308</v>
      </c>
      <c r="M56" s="309" t="s">
        <v>250</v>
      </c>
      <c r="N56" s="309" t="s">
        <v>251</v>
      </c>
      <c r="O56" s="305" t="s">
        <v>259</v>
      </c>
      <c r="R56" s="163"/>
      <c r="S56" s="163"/>
      <c r="T56" s="248"/>
      <c r="U56" s="248"/>
      <c r="V56" s="248"/>
      <c r="W56" s="248"/>
      <c r="X56" s="248"/>
    </row>
    <row r="57" spans="2:24" ht="15" customHeight="1" thickBot="1" x14ac:dyDescent="0.3">
      <c r="B57" s="312"/>
      <c r="C57" s="314"/>
      <c r="D57" s="316"/>
      <c r="E57" s="308"/>
      <c r="F57" s="308"/>
      <c r="G57" s="308" t="s">
        <v>1</v>
      </c>
      <c r="H57" s="308" t="s">
        <v>1</v>
      </c>
      <c r="I57" s="308"/>
      <c r="J57" s="310"/>
      <c r="K57" s="310"/>
      <c r="L57" s="322"/>
      <c r="M57" s="317"/>
      <c r="N57" s="317"/>
      <c r="O57" s="306"/>
      <c r="R57" s="164">
        <v>44348</v>
      </c>
      <c r="S57" s="165">
        <v>44378</v>
      </c>
      <c r="T57" s="165">
        <v>44409</v>
      </c>
      <c r="U57" s="165">
        <v>44440</v>
      </c>
      <c r="V57" s="165">
        <v>44470</v>
      </c>
      <c r="W57" s="165">
        <v>44501</v>
      </c>
      <c r="X57" s="166">
        <v>44531</v>
      </c>
    </row>
    <row r="58" spans="2:24" ht="13.5" thickBot="1" x14ac:dyDescent="0.3">
      <c r="B58" s="296" t="s">
        <v>193</v>
      </c>
      <c r="C58" s="31" t="s">
        <v>194</v>
      </c>
      <c r="D58" s="123" t="s">
        <v>343</v>
      </c>
      <c r="E58" s="152">
        <v>3399</v>
      </c>
      <c r="F58" s="142">
        <v>44895</v>
      </c>
      <c r="G58" s="8">
        <f ca="1">TODAY()-F58</f>
        <v>-411</v>
      </c>
      <c r="H58" s="147">
        <f ca="1">G58/30</f>
        <v>-13.7</v>
      </c>
      <c r="I58" s="7">
        <f>F58-30*9</f>
        <v>44625</v>
      </c>
      <c r="J58" s="143">
        <v>0</v>
      </c>
      <c r="K58" s="174" t="s">
        <v>258</v>
      </c>
      <c r="L58" s="30"/>
      <c r="M58" s="196"/>
      <c r="N58" s="196"/>
      <c r="O58" s="197"/>
      <c r="Q58" s="172" t="s">
        <v>856</v>
      </c>
      <c r="R58" s="170">
        <f ca="1">R64/S62</f>
        <v>6.9317585187949368E-4</v>
      </c>
      <c r="S58" s="170">
        <f ca="1">S64/T62</f>
        <v>1.5458735038918517E-4</v>
      </c>
      <c r="T58" s="170">
        <f ca="1">T64/U62</f>
        <v>4.7797877609413877E-4</v>
      </c>
      <c r="U58" s="170">
        <f ca="1">U64/V62</f>
        <v>3.1118561780469635E-4</v>
      </c>
      <c r="V58" s="169">
        <f>V61+W61/3</f>
        <v>4441.333333333333</v>
      </c>
      <c r="W58" s="169">
        <f>W61+X61/3</f>
        <v>3835.3333333333335</v>
      </c>
      <c r="X58" s="169">
        <f>X61+Y60/3</f>
        <v>1684</v>
      </c>
    </row>
    <row r="59" spans="2:24" ht="13.5" thickBot="1" x14ac:dyDescent="0.3">
      <c r="B59" s="20" t="s">
        <v>22</v>
      </c>
      <c r="C59" s="32">
        <f>SUMIF(Venda!$A:$A,$B58,Venda!$I:$I)*-1</f>
        <v>999</v>
      </c>
      <c r="D59" s="123" t="s">
        <v>320</v>
      </c>
      <c r="E59" s="152">
        <v>924</v>
      </c>
      <c r="F59" s="142">
        <v>44895</v>
      </c>
      <c r="G59" s="8">
        <f ca="1">TODAY()-F59</f>
        <v>-411</v>
      </c>
      <c r="H59" s="147">
        <f ca="1">G59/30</f>
        <v>-13.7</v>
      </c>
      <c r="I59" s="7">
        <f>F59-30*9</f>
        <v>44625</v>
      </c>
      <c r="J59" s="143">
        <v>0</v>
      </c>
      <c r="K59" s="174" t="s">
        <v>258</v>
      </c>
      <c r="L59" s="30"/>
      <c r="M59" s="198"/>
      <c r="N59" s="198"/>
      <c r="O59" s="197"/>
      <c r="Q59" s="172" t="s">
        <v>303</v>
      </c>
      <c r="R59" s="168">
        <f>SUM(E58:E58)+C59</f>
        <v>4398</v>
      </c>
      <c r="S59" s="169">
        <v>4052</v>
      </c>
      <c r="T59" s="169">
        <v>4530</v>
      </c>
      <c r="U59" s="169">
        <v>4636</v>
      </c>
      <c r="V59" s="169">
        <v>5177</v>
      </c>
      <c r="W59" s="169">
        <f ca="1">V63</f>
        <v>6795</v>
      </c>
      <c r="X59" s="169">
        <f ca="1">W63</f>
        <v>7363</v>
      </c>
    </row>
    <row r="60" spans="2:24" ht="13.5" thickBot="1" x14ac:dyDescent="0.3">
      <c r="B60" s="20" t="s">
        <v>24</v>
      </c>
      <c r="C60" s="32">
        <f>C61-C59</f>
        <v>-999</v>
      </c>
      <c r="D60" s="217" t="s">
        <v>343</v>
      </c>
      <c r="E60" s="218">
        <v>1126</v>
      </c>
      <c r="F60" s="219">
        <v>44895</v>
      </c>
      <c r="G60" s="11">
        <f ca="1">TODAY()-F60</f>
        <v>-411</v>
      </c>
      <c r="H60" s="208">
        <f ca="1">G60/30</f>
        <v>-13.7</v>
      </c>
      <c r="I60" s="10">
        <f>F60-30*9</f>
        <v>44625</v>
      </c>
      <c r="K60" s="174"/>
      <c r="L60" s="30"/>
      <c r="M60" s="198"/>
      <c r="N60" s="198"/>
      <c r="O60" s="197"/>
      <c r="Q60" s="172" t="s">
        <v>304</v>
      </c>
      <c r="R60" s="170">
        <f t="shared" ref="R60:X60" si="13">R59/R61</f>
        <v>1.7726723095525998</v>
      </c>
      <c r="S60" s="170">
        <f t="shared" si="13"/>
        <v>1.353825593050451</v>
      </c>
      <c r="T60" s="170">
        <f t="shared" si="13"/>
        <v>1.2843776580663453</v>
      </c>
      <c r="U60" s="170">
        <f t="shared" si="13"/>
        <v>1.623249299719888</v>
      </c>
      <c r="V60" s="170">
        <f t="shared" si="13"/>
        <v>1.5453731343283581</v>
      </c>
      <c r="W60" s="170">
        <f t="shared" ca="1" si="13"/>
        <v>2.0754428833231522</v>
      </c>
      <c r="X60" s="170">
        <f t="shared" ca="1" si="13"/>
        <v>4.3723277909738716</v>
      </c>
    </row>
    <row r="61" spans="2:24" ht="13.5" thickBot="1" x14ac:dyDescent="0.3">
      <c r="B61" s="20" t="s">
        <v>260</v>
      </c>
      <c r="C61" s="32">
        <f>VLOOKUP($B58,Colocado!$A:$C,3,0)</f>
        <v>0</v>
      </c>
      <c r="D61" s="217" t="s">
        <v>476</v>
      </c>
      <c r="E61" s="218">
        <v>3842</v>
      </c>
      <c r="F61" s="219">
        <v>45046</v>
      </c>
      <c r="G61" s="11">
        <f ca="1">TODAY()-F61</f>
        <v>-562</v>
      </c>
      <c r="H61" s="208">
        <f ca="1">G61/30</f>
        <v>-18.733333333333334</v>
      </c>
      <c r="I61" s="10">
        <f>F61-30*9</f>
        <v>44776</v>
      </c>
      <c r="L61" s="30"/>
      <c r="M61" s="198"/>
      <c r="N61" s="198"/>
      <c r="O61" s="197"/>
      <c r="P61" s="14"/>
      <c r="Q61" s="172" t="s">
        <v>302</v>
      </c>
      <c r="R61" s="167">
        <f>INDEX(Forecast!$E$3:$AB$25,MATCH($B58,Forecast!$A$3:$A$25,0),MATCH(R$5,Forecast!$E$2:$AB$2,0))</f>
        <v>2481</v>
      </c>
      <c r="S61" s="167">
        <f>INDEX(Forecast!$E$3:$AB$25,MATCH($B58,Forecast!$A$3:$A$25,0),MATCH(S$5,Forecast!$E$2:$AB$2,0))</f>
        <v>2993</v>
      </c>
      <c r="T61" s="167">
        <f>INDEX(Forecast!$E$3:$AB$25,MATCH($B58,Forecast!$A$3:$A$25,0),MATCH(T$5,Forecast!$E$2:$AB$2,0))</f>
        <v>3527</v>
      </c>
      <c r="U61" s="167">
        <f>INDEX(Forecast!$E$3:$AB$25,MATCH($B58,Forecast!$A$3:$A$25,0),MATCH(U$5,Forecast!$E$2:$AB$2,0))</f>
        <v>2856</v>
      </c>
      <c r="V61" s="167">
        <f>INDEX(Forecast!$E$3:$AB$25,MATCH($B58,Forecast!$A$3:$A$25,0),MATCH(V$5,Forecast!$E$2:$AB$2,0))</f>
        <v>3350</v>
      </c>
      <c r="W61" s="167">
        <f>INDEX(Forecast!$E$3:$AB$25,MATCH($B58,Forecast!$A$3:$A$25,0),MATCH(W$5,Forecast!$E$2:$AB$2,0))</f>
        <v>3274</v>
      </c>
      <c r="X61" s="167">
        <f>INDEX(Forecast!$E$3:$AB$25,MATCH($B58,Forecast!$A$3:$A$25,0),MATCH(X$5,Forecast!$E$2:$AB$2,0))</f>
        <v>1684</v>
      </c>
    </row>
    <row r="62" spans="2:24" ht="13.5" thickBot="1" x14ac:dyDescent="0.3">
      <c r="B62" s="21"/>
      <c r="C62" s="161"/>
      <c r="L62" s="24"/>
      <c r="O62" s="197"/>
      <c r="P62" s="14"/>
      <c r="Q62" s="172" t="s">
        <v>305</v>
      </c>
      <c r="R62" s="168">
        <v>0</v>
      </c>
      <c r="S62" s="168">
        <f>SUM(E59)</f>
        <v>924</v>
      </c>
      <c r="T62" s="168">
        <v>3637</v>
      </c>
      <c r="U62" s="168">
        <f>SUM(E58)</f>
        <v>3399</v>
      </c>
      <c r="V62" s="168">
        <f>SUM(E60:E61)</f>
        <v>4968</v>
      </c>
      <c r="W62" s="168">
        <v>3842</v>
      </c>
      <c r="X62" s="168">
        <v>2000</v>
      </c>
    </row>
    <row r="63" spans="2:24" ht="13.5" thickBot="1" x14ac:dyDescent="0.3">
      <c r="B63" s="21"/>
      <c r="C63" s="161"/>
      <c r="L63" s="24"/>
      <c r="O63" s="197"/>
      <c r="P63" s="14"/>
      <c r="Q63" s="172" t="s">
        <v>306</v>
      </c>
      <c r="R63" s="171">
        <f ca="1">IF(R$5=$B$2,IF($C61&lt;R61,R59+R62-R61,R59+R62-$C61),R59+R62-R61)</f>
        <v>1917</v>
      </c>
      <c r="S63" s="171">
        <f ca="1">IF(S$5=$B$2,IF($C59&lt;S61,S59+S62-S61,S59+S62-$C59),S59+S62-S61)</f>
        <v>1983</v>
      </c>
      <c r="T63" s="171">
        <f ca="1">IF(T$5=$B$2,IF($C59&lt;T61,T59+T62-T61,T59+T62-$C59),T59+T62-T61)</f>
        <v>4640</v>
      </c>
      <c r="U63" s="171">
        <f ca="1">IF(U$5=$B$2,IF($C59&lt;U61,U59+U62-U61,U59+U62-$C59),U59+U62-U61)</f>
        <v>5179</v>
      </c>
      <c r="V63" s="171">
        <f ca="1">IF(V$5=$B$2,IF($C59&lt;V61,V59+V62-V61,V59+V62-$C59),V59+V62-V61)</f>
        <v>6795</v>
      </c>
      <c r="W63" s="171">
        <f ca="1">IF(W$5=$B$2,IF($C59&lt;W61,W59+W62-W61,W59+W62-$C59),W59+W62-W61)</f>
        <v>7363</v>
      </c>
      <c r="X63" s="171">
        <f ca="1">IF(X$5=$B$2,IF($C59&lt;X61,X59+X62-X61,X59+X62-$C59),X59+X62-X61)</f>
        <v>7679</v>
      </c>
    </row>
    <row r="64" spans="2:24" ht="13.5" thickBot="1" x14ac:dyDescent="0.3">
      <c r="B64" s="21"/>
      <c r="C64" s="161"/>
      <c r="D64" s="123"/>
      <c r="E64" s="152"/>
      <c r="F64" s="142"/>
      <c r="G64" s="8"/>
      <c r="H64" s="147"/>
      <c r="I64" s="7"/>
      <c r="J64" s="143"/>
      <c r="K64" s="174"/>
      <c r="L64" s="24"/>
      <c r="M64" s="198"/>
      <c r="N64" s="198"/>
      <c r="O64" s="197"/>
      <c r="P64" s="14"/>
      <c r="Q64" s="172" t="s">
        <v>307</v>
      </c>
      <c r="R64" s="170">
        <f t="shared" ref="R64:W64" ca="1" si="14">R63/S61</f>
        <v>0.64049448713665214</v>
      </c>
      <c r="S64" s="170">
        <f t="shared" ca="1" si="14"/>
        <v>0.56223419336546643</v>
      </c>
      <c r="T64" s="170">
        <f t="shared" ca="1" si="14"/>
        <v>1.6246498599439776</v>
      </c>
      <c r="U64" s="170">
        <f t="shared" ca="1" si="14"/>
        <v>1.5459701492537314</v>
      </c>
      <c r="V64" s="170">
        <f t="shared" ca="1" si="14"/>
        <v>2.0754428833231522</v>
      </c>
      <c r="W64" s="170">
        <f t="shared" ca="1" si="14"/>
        <v>4.3723277909738716</v>
      </c>
      <c r="X64" s="170" t="e">
        <f ca="1">X63/Y58</f>
        <v>#DIV/0!</v>
      </c>
    </row>
    <row r="65" spans="2:24" ht="13.5" thickBot="1" x14ac:dyDescent="0.3">
      <c r="B65" s="154"/>
      <c r="C65" s="162"/>
      <c r="D65" s="155"/>
      <c r="E65" s="156"/>
      <c r="F65" s="157"/>
      <c r="G65" s="155"/>
      <c r="H65" s="158"/>
      <c r="I65" s="158"/>
      <c r="J65" s="158"/>
      <c r="K65" s="158"/>
      <c r="L65" s="159"/>
      <c r="M65" s="199"/>
      <c r="N65" s="199"/>
      <c r="O65" s="200"/>
      <c r="P65" s="14"/>
    </row>
    <row r="67" spans="2:24" ht="13" thickBot="1" x14ac:dyDescent="0.3"/>
    <row r="68" spans="2:24" ht="15" customHeight="1" thickBot="1" x14ac:dyDescent="0.3">
      <c r="B68" s="311" t="s">
        <v>4</v>
      </c>
      <c r="C68" s="313" t="s">
        <v>3</v>
      </c>
      <c r="D68" s="315" t="s">
        <v>2</v>
      </c>
      <c r="E68" s="307" t="s">
        <v>12</v>
      </c>
      <c r="F68" s="307" t="s">
        <v>13</v>
      </c>
      <c r="G68" s="307" t="s">
        <v>14</v>
      </c>
      <c r="H68" s="307" t="s">
        <v>15</v>
      </c>
      <c r="I68" s="307" t="s">
        <v>295</v>
      </c>
      <c r="J68" s="309" t="s">
        <v>240</v>
      </c>
      <c r="K68" s="309" t="s">
        <v>288</v>
      </c>
      <c r="L68" s="305" t="s">
        <v>308</v>
      </c>
      <c r="M68" s="309" t="s">
        <v>250</v>
      </c>
      <c r="N68" s="309" t="s">
        <v>251</v>
      </c>
      <c r="O68" s="305" t="s">
        <v>259</v>
      </c>
      <c r="R68" s="163"/>
      <c r="S68" s="163"/>
      <c r="T68" s="237"/>
      <c r="U68" s="163"/>
      <c r="V68" s="163"/>
      <c r="W68" s="163"/>
      <c r="X68" s="163"/>
    </row>
    <row r="69" spans="2:24" ht="15" customHeight="1" thickBot="1" x14ac:dyDescent="0.3">
      <c r="B69" s="312"/>
      <c r="C69" s="314"/>
      <c r="D69" s="316"/>
      <c r="E69" s="308"/>
      <c r="F69" s="308"/>
      <c r="G69" s="308" t="s">
        <v>1</v>
      </c>
      <c r="H69" s="308" t="s">
        <v>1</v>
      </c>
      <c r="I69" s="308"/>
      <c r="J69" s="310"/>
      <c r="K69" s="310"/>
      <c r="L69" s="322"/>
      <c r="M69" s="317"/>
      <c r="N69" s="317"/>
      <c r="O69" s="306"/>
      <c r="R69" s="164">
        <v>44348</v>
      </c>
      <c r="S69" s="165">
        <v>44378</v>
      </c>
      <c r="T69" s="165">
        <v>44409</v>
      </c>
      <c r="U69" s="165">
        <v>44440</v>
      </c>
      <c r="V69" s="165">
        <v>44470</v>
      </c>
      <c r="W69" s="165">
        <v>44501</v>
      </c>
      <c r="X69" s="166">
        <v>44531</v>
      </c>
    </row>
    <row r="70" spans="2:24" ht="13.5" thickBot="1" x14ac:dyDescent="0.3">
      <c r="B70" s="296" t="s">
        <v>169</v>
      </c>
      <c r="C70" s="31" t="s">
        <v>170</v>
      </c>
      <c r="D70" s="123" t="s">
        <v>344</v>
      </c>
      <c r="E70" s="152">
        <v>2199</v>
      </c>
      <c r="F70" s="149">
        <v>45016</v>
      </c>
      <c r="G70" s="8">
        <f ca="1">TODAY()-F70</f>
        <v>-532</v>
      </c>
      <c r="H70" s="147">
        <f ca="1">G70/30</f>
        <v>-17.733333333333334</v>
      </c>
      <c r="I70" s="7">
        <f>F70-30*9</f>
        <v>44746</v>
      </c>
      <c r="J70" s="143">
        <v>0</v>
      </c>
      <c r="K70" s="174" t="s">
        <v>258</v>
      </c>
      <c r="L70" s="30"/>
      <c r="M70" s="198"/>
      <c r="N70" s="198"/>
      <c r="O70" s="197"/>
      <c r="Q70" s="172" t="s">
        <v>303</v>
      </c>
      <c r="R70" s="168" t="e">
        <f>SUM(#REF!)+C71</f>
        <v>#REF!</v>
      </c>
      <c r="S70" s="169">
        <v>4271</v>
      </c>
      <c r="T70" s="169">
        <v>1765</v>
      </c>
      <c r="U70" s="169">
        <v>4210</v>
      </c>
      <c r="V70" s="169">
        <v>4685</v>
      </c>
      <c r="W70" s="169">
        <f ca="1">V74</f>
        <v>4163</v>
      </c>
      <c r="X70" s="169">
        <f ca="1">W74</f>
        <v>3408</v>
      </c>
    </row>
    <row r="71" spans="2:24" ht="13.5" thickBot="1" x14ac:dyDescent="0.3">
      <c r="B71" s="20" t="s">
        <v>22</v>
      </c>
      <c r="C71" s="32">
        <f>SUMIF(Venda!$A:$A,$B70,Venda!$I:$I)*-1</f>
        <v>873</v>
      </c>
      <c r="D71" s="123" t="s">
        <v>312</v>
      </c>
      <c r="E71" s="152">
        <v>1754</v>
      </c>
      <c r="F71" s="149">
        <v>44985</v>
      </c>
      <c r="G71" s="8">
        <f ca="1">TODAY()-F71</f>
        <v>-501</v>
      </c>
      <c r="H71" s="147">
        <f ca="1">G71/30</f>
        <v>-16.7</v>
      </c>
      <c r="I71" s="7">
        <f>F71-30*9</f>
        <v>44715</v>
      </c>
      <c r="J71" s="143">
        <v>0</v>
      </c>
      <c r="K71" s="174" t="s">
        <v>258</v>
      </c>
      <c r="L71" s="30"/>
      <c r="M71" s="198"/>
      <c r="N71" s="198"/>
      <c r="O71" s="197"/>
      <c r="Q71" s="172" t="s">
        <v>304</v>
      </c>
      <c r="R71" s="170" t="e">
        <f t="shared" ref="R71:X71" si="15">R70/R72</f>
        <v>#REF!</v>
      </c>
      <c r="S71" s="170">
        <f t="shared" si="15"/>
        <v>1.7340641494112869</v>
      </c>
      <c r="T71" s="170">
        <f t="shared" si="15"/>
        <v>0.90559261159569004</v>
      </c>
      <c r="U71" s="170">
        <f t="shared" si="15"/>
        <v>2.1187720181177654</v>
      </c>
      <c r="V71" s="170">
        <f t="shared" si="15"/>
        <v>1.9161554192229038</v>
      </c>
      <c r="W71" s="170">
        <f t="shared" ca="1" si="15"/>
        <v>1.5859047619047619</v>
      </c>
      <c r="X71" s="170">
        <f t="shared" ca="1" si="15"/>
        <v>2.2719999999999998</v>
      </c>
    </row>
    <row r="72" spans="2:24" ht="13.5" thickBot="1" x14ac:dyDescent="0.3">
      <c r="B72" s="20" t="s">
        <v>24</v>
      </c>
      <c r="C72" s="32">
        <f>C73-C71</f>
        <v>-873</v>
      </c>
      <c r="D72" s="61" t="s">
        <v>378</v>
      </c>
      <c r="E72" s="206">
        <v>1923</v>
      </c>
      <c r="F72" s="229">
        <v>45016</v>
      </c>
      <c r="G72" s="11">
        <f ca="1">TODAY()-F72</f>
        <v>-532</v>
      </c>
      <c r="H72" s="208">
        <f ca="1">G72/30</f>
        <v>-17.733333333333334</v>
      </c>
      <c r="I72" s="10">
        <f>F72-30*9</f>
        <v>44746</v>
      </c>
      <c r="J72" s="143"/>
      <c r="K72" s="174"/>
      <c r="L72" s="24"/>
      <c r="M72" s="198"/>
      <c r="N72" s="198"/>
      <c r="O72" s="197"/>
      <c r="Q72" s="172" t="s">
        <v>302</v>
      </c>
      <c r="R72" s="167">
        <f>INDEX(Forecast!$E$3:$AB$25,MATCH($B70,Forecast!$A$3:$A$25,0),MATCH(R$5,Forecast!$E$2:$AB$2,0))</f>
        <v>1767</v>
      </c>
      <c r="S72" s="167">
        <f>INDEX(Forecast!$E$3:$AB$25,MATCH($B70,Forecast!$A$3:$A$25,0),MATCH(S$5,Forecast!$E$2:$AB$2,0))</f>
        <v>2463</v>
      </c>
      <c r="T72" s="167">
        <f>INDEX(Forecast!$E$3:$AB$25,MATCH($B70,Forecast!$A$3:$A$25,0),MATCH(T$5,Forecast!$E$2:$AB$2,0))</f>
        <v>1949</v>
      </c>
      <c r="U72" s="167">
        <f>INDEX(Forecast!$E$3:$AB$25,MATCH($B70,Forecast!$A$3:$A$25,0),MATCH(U$5,Forecast!$E$2:$AB$2,0))</f>
        <v>1987</v>
      </c>
      <c r="V72" s="167">
        <f>INDEX(Forecast!$E$3:$AB$25,MATCH($B70,Forecast!$A$3:$A$25,0),MATCH(V$5,Forecast!$E$2:$AB$2,0))</f>
        <v>2445</v>
      </c>
      <c r="W72" s="167">
        <f>INDEX(Forecast!$E$3:$AB$25,MATCH($B70,Forecast!$A$3:$A$25,0),MATCH(W$5,Forecast!$E$2:$AB$2,0))</f>
        <v>2625</v>
      </c>
      <c r="X72" s="167">
        <f>INDEX(Forecast!$E$3:$AB$25,MATCH($B70,Forecast!$A$3:$A$25,0),MATCH(X$5,Forecast!$E$2:$AB$2,0))</f>
        <v>1500</v>
      </c>
    </row>
    <row r="73" spans="2:24" ht="13.5" thickBot="1" x14ac:dyDescent="0.3">
      <c r="B73" s="20" t="s">
        <v>260</v>
      </c>
      <c r="C73" s="32">
        <f>VLOOKUP($B70,Colocado!$A:$C,3,0)</f>
        <v>0</v>
      </c>
      <c r="L73" s="30"/>
      <c r="M73" s="198"/>
      <c r="N73" s="198"/>
      <c r="O73" s="197"/>
      <c r="P73" s="14"/>
      <c r="Q73" s="172" t="s">
        <v>305</v>
      </c>
      <c r="R73" s="168">
        <v>0</v>
      </c>
      <c r="S73" s="168"/>
      <c r="T73" s="168">
        <v>4210</v>
      </c>
      <c r="U73" s="168">
        <f>SUM(E71)</f>
        <v>1754</v>
      </c>
      <c r="V73" s="168">
        <v>1923</v>
      </c>
      <c r="W73" s="168">
        <f>1870</f>
        <v>1870</v>
      </c>
      <c r="X73" s="168"/>
    </row>
    <row r="74" spans="2:24" ht="13.5" thickBot="1" x14ac:dyDescent="0.3">
      <c r="B74" s="21"/>
      <c r="C74" s="161"/>
      <c r="L74" s="30"/>
      <c r="M74" s="198"/>
      <c r="N74" s="198"/>
      <c r="O74" s="197"/>
      <c r="P74" s="14"/>
      <c r="Q74" s="172" t="s">
        <v>306</v>
      </c>
      <c r="R74" s="171" t="e">
        <f ca="1">IF(R$5=$B$2,IF($C73&lt;R72,R70+R73-R72,R70+R73-$C73),R70+R73-R72)</f>
        <v>#REF!</v>
      </c>
      <c r="S74" s="171">
        <f ca="1">IF(S$5=$B$2,IF($C73&lt;S72,S70+S73-S72,S70+S73-$C73),S70+S73-S72)</f>
        <v>1808</v>
      </c>
      <c r="T74" s="171">
        <f ca="1">IF(T$5=$B$2,IF($C71&lt;T72,T70+T73-T72,T70+T73-$C71),T70+T73-T72)</f>
        <v>4026</v>
      </c>
      <c r="U74" s="171">
        <f ca="1">IF(U$5=$B$2,IF($C71&lt;U72,U70+U73-U72,U70+U73-$C71),U70+U73-U72)</f>
        <v>3977</v>
      </c>
      <c r="V74" s="171">
        <f ca="1">IF(V$5=$B$2,IF($C71&lt;V72,V70+V73-V72,V70+V73-$C71),V70+V73-V72)</f>
        <v>4163</v>
      </c>
      <c r="W74" s="171">
        <f ca="1">IF(W$5=$B$2,IF($C71&lt;W72,W70+W73-W72,W70+W73-$C71),W70+W73-W72)</f>
        <v>3408</v>
      </c>
      <c r="X74" s="171">
        <f ca="1">IF(X$5=$B$2,IF($C71&lt;X72,X70+X73-X72,X70+X73-$C71),X70+X73-X72)</f>
        <v>1908</v>
      </c>
    </row>
    <row r="75" spans="2:24" ht="13.5" thickBot="1" x14ac:dyDescent="0.3">
      <c r="B75" s="21"/>
      <c r="C75" s="161"/>
      <c r="E75" s="18"/>
      <c r="F75" s="50"/>
      <c r="H75" s="51"/>
      <c r="I75" s="51"/>
      <c r="J75" s="51"/>
      <c r="K75" s="51"/>
      <c r="L75" s="30"/>
      <c r="M75" s="198"/>
      <c r="N75" s="198"/>
      <c r="O75" s="197"/>
      <c r="P75" s="14"/>
      <c r="Q75" s="172" t="s">
        <v>307</v>
      </c>
      <c r="R75" s="170" t="e">
        <f t="shared" ref="R75:W75" ca="1" si="16">R74/S72</f>
        <v>#REF!</v>
      </c>
      <c r="S75" s="170">
        <f t="shared" ca="1" si="16"/>
        <v>0.92765520779887123</v>
      </c>
      <c r="T75" s="170">
        <f t="shared" ca="1" si="16"/>
        <v>2.0261701056869654</v>
      </c>
      <c r="U75" s="170">
        <f t="shared" ca="1" si="16"/>
        <v>1.6265848670756646</v>
      </c>
      <c r="V75" s="170">
        <f t="shared" ca="1" si="16"/>
        <v>1.5859047619047619</v>
      </c>
      <c r="W75" s="170">
        <f t="shared" ca="1" si="16"/>
        <v>2.2719999999999998</v>
      </c>
      <c r="X75" s="170" t="e">
        <f ca="1">X74/Y70</f>
        <v>#DIV/0!</v>
      </c>
    </row>
    <row r="76" spans="2:24" ht="13" x14ac:dyDescent="0.25">
      <c r="B76" s="21"/>
      <c r="C76" s="161"/>
      <c r="E76" s="18"/>
      <c r="F76" s="50"/>
      <c r="H76" s="51"/>
      <c r="I76" s="51"/>
      <c r="J76" s="51"/>
      <c r="K76" s="51"/>
      <c r="L76" s="30"/>
      <c r="M76" s="198"/>
      <c r="N76" s="198"/>
      <c r="O76" s="197"/>
      <c r="P76" s="14"/>
      <c r="Q76" s="1" t="s">
        <v>384</v>
      </c>
      <c r="U76" s="19"/>
    </row>
    <row r="77" spans="2:24" ht="13.5" thickBot="1" x14ac:dyDescent="0.3">
      <c r="B77" s="154"/>
      <c r="C77" s="162"/>
      <c r="D77" s="155"/>
      <c r="E77" s="156"/>
      <c r="F77" s="157"/>
      <c r="G77" s="155"/>
      <c r="H77" s="158"/>
      <c r="I77" s="158"/>
      <c r="J77" s="158"/>
      <c r="K77" s="158"/>
      <c r="L77" s="159"/>
      <c r="M77" s="199"/>
      <c r="N77" s="199"/>
      <c r="O77" s="200"/>
      <c r="P77" s="14"/>
      <c r="Q77" s="14"/>
      <c r="R77" s="112"/>
      <c r="S77" s="108"/>
      <c r="U77" s="108"/>
      <c r="V77" s="108"/>
      <c r="W77" s="47"/>
    </row>
    <row r="79" spans="2:24" ht="13" thickBot="1" x14ac:dyDescent="0.3"/>
    <row r="80" spans="2:24" ht="15" customHeight="1" thickBot="1" x14ac:dyDescent="0.3">
      <c r="B80" s="311" t="s">
        <v>4</v>
      </c>
      <c r="C80" s="313" t="s">
        <v>3</v>
      </c>
      <c r="D80" s="315" t="s">
        <v>2</v>
      </c>
      <c r="E80" s="307" t="s">
        <v>12</v>
      </c>
      <c r="F80" s="307" t="s">
        <v>13</v>
      </c>
      <c r="G80" s="307" t="s">
        <v>14</v>
      </c>
      <c r="H80" s="307" t="s">
        <v>15</v>
      </c>
      <c r="I80" s="307" t="s">
        <v>295</v>
      </c>
      <c r="J80" s="309" t="s">
        <v>240</v>
      </c>
      <c r="K80" s="309" t="s">
        <v>288</v>
      </c>
      <c r="L80" s="305" t="s">
        <v>308</v>
      </c>
      <c r="M80" s="309" t="s">
        <v>250</v>
      </c>
      <c r="N80" s="309" t="s">
        <v>251</v>
      </c>
      <c r="O80" s="305" t="s">
        <v>259</v>
      </c>
      <c r="R80" s="163"/>
      <c r="S80" s="163"/>
      <c r="T80" s="163"/>
      <c r="U80" s="163"/>
      <c r="V80" s="163"/>
      <c r="W80" s="163"/>
      <c r="X80" s="163"/>
    </row>
    <row r="81" spans="2:25" ht="15" customHeight="1" thickBot="1" x14ac:dyDescent="0.3">
      <c r="B81" s="312"/>
      <c r="C81" s="314"/>
      <c r="D81" s="316"/>
      <c r="E81" s="308"/>
      <c r="F81" s="308"/>
      <c r="G81" s="308" t="s">
        <v>1</v>
      </c>
      <c r="H81" s="308" t="s">
        <v>1</v>
      </c>
      <c r="I81" s="308"/>
      <c r="J81" s="310"/>
      <c r="K81" s="310"/>
      <c r="L81" s="322"/>
      <c r="M81" s="317"/>
      <c r="N81" s="317"/>
      <c r="O81" s="306"/>
      <c r="R81" s="164">
        <v>44348</v>
      </c>
      <c r="S81" s="165">
        <v>44378</v>
      </c>
      <c r="T81" s="165">
        <v>44409</v>
      </c>
      <c r="U81" s="165">
        <v>44440</v>
      </c>
      <c r="V81" s="165">
        <v>44470</v>
      </c>
      <c r="W81" s="165">
        <v>44501</v>
      </c>
      <c r="X81" s="166">
        <v>44531</v>
      </c>
      <c r="Y81" s="165">
        <v>44562</v>
      </c>
    </row>
    <row r="82" spans="2:25" ht="13.5" thickBot="1" x14ac:dyDescent="0.3">
      <c r="B82" s="296" t="s">
        <v>182</v>
      </c>
      <c r="C82" s="31" t="s">
        <v>183</v>
      </c>
      <c r="D82" s="59" t="s">
        <v>332</v>
      </c>
      <c r="E82" s="126">
        <v>744</v>
      </c>
      <c r="F82" s="125">
        <v>44865</v>
      </c>
      <c r="G82" s="8">
        <f ca="1">TODAY()-F82</f>
        <v>-381</v>
      </c>
      <c r="H82" s="147">
        <f ca="1">G82/30</f>
        <v>-12.7</v>
      </c>
      <c r="I82" s="7">
        <f>F82-30*9</f>
        <v>44595</v>
      </c>
      <c r="J82" s="184">
        <v>0</v>
      </c>
      <c r="K82" s="174" t="s">
        <v>258</v>
      </c>
      <c r="L82" s="30"/>
      <c r="M82" s="198"/>
      <c r="N82" s="196"/>
      <c r="O82" s="197"/>
      <c r="Q82" s="172" t="s">
        <v>303</v>
      </c>
      <c r="R82" s="168">
        <f>SUM(E82:E84)+C83</f>
        <v>1908</v>
      </c>
      <c r="S82" s="169">
        <v>881</v>
      </c>
      <c r="T82" s="169">
        <v>967</v>
      </c>
      <c r="U82" s="169">
        <v>1655</v>
      </c>
      <c r="V82" s="169">
        <v>784</v>
      </c>
      <c r="W82" s="169">
        <f ca="1">V86</f>
        <v>1438</v>
      </c>
      <c r="X82" s="169">
        <f ca="1">W86</f>
        <v>1088</v>
      </c>
      <c r="Y82" s="169">
        <f ca="1">X86</f>
        <v>838</v>
      </c>
    </row>
    <row r="83" spans="2:25" ht="13.5" thickBot="1" x14ac:dyDescent="0.3">
      <c r="B83" s="20" t="s">
        <v>22</v>
      </c>
      <c r="C83" s="32">
        <f>SUMIF(Venda!$A:$A,$B82,Venda!$I:$I)*-1</f>
        <v>61</v>
      </c>
      <c r="D83" s="59" t="s">
        <v>387</v>
      </c>
      <c r="E83" s="126">
        <v>1103</v>
      </c>
      <c r="F83" s="125">
        <v>45046</v>
      </c>
      <c r="G83" s="8">
        <f ca="1">TODAY()-F83</f>
        <v>-562</v>
      </c>
      <c r="H83" s="147">
        <f ca="1">G83/30</f>
        <v>-18.733333333333334</v>
      </c>
      <c r="I83" s="7">
        <f>F83-30*9</f>
        <v>44776</v>
      </c>
      <c r="J83" s="184">
        <v>0</v>
      </c>
      <c r="K83" s="174" t="s">
        <v>258</v>
      </c>
      <c r="L83" s="30"/>
      <c r="M83" s="198"/>
      <c r="N83" s="198"/>
      <c r="O83" s="197"/>
      <c r="Q83" s="172" t="s">
        <v>304</v>
      </c>
      <c r="R83" s="170">
        <f t="shared" ref="R83:X83" si="17">R82/R84</f>
        <v>4.1298701298701301</v>
      </c>
      <c r="S83" s="170">
        <f t="shared" si="17"/>
        <v>2.1127098321342928</v>
      </c>
      <c r="T83" s="170">
        <f t="shared" si="17"/>
        <v>2.202733485193622</v>
      </c>
      <c r="U83" s="170">
        <f t="shared" si="17"/>
        <v>1.9001148105625718</v>
      </c>
      <c r="V83" s="170">
        <f t="shared" si="17"/>
        <v>1.7422222222222221</v>
      </c>
      <c r="W83" s="170">
        <f t="shared" ca="1" si="17"/>
        <v>4.1085714285714285</v>
      </c>
      <c r="X83" s="170">
        <f t="shared" ca="1" si="17"/>
        <v>4.3520000000000003</v>
      </c>
      <c r="Y83" s="170">
        <f t="shared" ref="Y83" ca="1" si="18">Y82/Y84</f>
        <v>1.9002267573696145</v>
      </c>
    </row>
    <row r="84" spans="2:25" ht="13.5" thickBot="1" x14ac:dyDescent="0.3">
      <c r="B84" s="20" t="s">
        <v>24</v>
      </c>
      <c r="C84" s="32">
        <f>C85-C83</f>
        <v>-61</v>
      </c>
      <c r="D84" s="59"/>
      <c r="E84" s="126"/>
      <c r="F84" s="125"/>
      <c r="G84" s="8"/>
      <c r="H84" s="147"/>
      <c r="I84" s="7"/>
      <c r="J84" s="184"/>
      <c r="K84" s="174"/>
      <c r="L84" s="30"/>
      <c r="M84" s="198"/>
      <c r="N84" s="198"/>
      <c r="O84" s="197"/>
      <c r="Q84" s="172" t="s">
        <v>302</v>
      </c>
      <c r="R84" s="167">
        <f>INDEX(Forecast!$E$3:$AB$25,MATCH($B82,Forecast!$A$3:$A$25,0),MATCH(R$5,Forecast!$E$2:$AB$2,0))</f>
        <v>462</v>
      </c>
      <c r="S84" s="167">
        <f>INDEX(Forecast!$E$3:$AB$25,MATCH($B82,Forecast!$A$3:$A$25,0),MATCH(S$5,Forecast!$E$2:$AB$2,0))</f>
        <v>417</v>
      </c>
      <c r="T84" s="167">
        <f>INDEX(Forecast!$E$3:$AB$25,MATCH($B82,Forecast!$A$3:$A$25,0),MATCH(T$5,Forecast!$E$2:$AB$2,0))</f>
        <v>439</v>
      </c>
      <c r="U84" s="167">
        <f>INDEX(Forecast!$E$3:$AB$25,MATCH($B82,Forecast!$A$3:$A$25,0),MATCH(U$5,Forecast!$E$2:$AB$2,0))</f>
        <v>871</v>
      </c>
      <c r="V84" s="167">
        <f>INDEX(Forecast!$E$3:$AB$25,MATCH($B82,Forecast!$A$3:$A$25,0),MATCH(V$5,Forecast!$E$2:$AB$2,0))</f>
        <v>450</v>
      </c>
      <c r="W84" s="167">
        <f>INDEX(Forecast!$E$3:$AB$25,MATCH($B82,Forecast!$A$3:$A$25,0),MATCH(W$5,Forecast!$E$2:$AB$2,0))</f>
        <v>350</v>
      </c>
      <c r="X84" s="167">
        <f>INDEX(Forecast!$E$3:$AB$25,MATCH($B82,Forecast!$A$3:$A$25,0),MATCH(X$5,Forecast!$E$2:$AB$2,0))</f>
        <v>250</v>
      </c>
      <c r="Y84" s="167">
        <f>INDEX(Forecast!$E$3:$AB$25,MATCH($B82,Forecast!$A$3:$A$25,0),MATCH(Y$5,Forecast!$E$2:$AB$2,0))</f>
        <v>441</v>
      </c>
    </row>
    <row r="85" spans="2:25" ht="13.5" thickBot="1" x14ac:dyDescent="0.3">
      <c r="B85" s="20" t="s">
        <v>260</v>
      </c>
      <c r="C85" s="32">
        <f>VLOOKUP($B82,Colocado!$A:$C,3,0)</f>
        <v>0</v>
      </c>
      <c r="D85" s="59"/>
      <c r="E85" s="126"/>
      <c r="F85" s="125"/>
      <c r="G85" s="8"/>
      <c r="H85" s="147"/>
      <c r="I85" s="7"/>
      <c r="J85" s="184"/>
      <c r="K85" s="174"/>
      <c r="L85" s="30"/>
      <c r="O85" s="197"/>
      <c r="P85" s="14"/>
      <c r="Q85" s="172" t="s">
        <v>305</v>
      </c>
      <c r="R85" s="168">
        <v>0</v>
      </c>
      <c r="S85" s="168">
        <f>SUM(E83)</f>
        <v>1103</v>
      </c>
      <c r="T85" s="168">
        <v>1127</v>
      </c>
      <c r="U85" s="168">
        <v>0</v>
      </c>
      <c r="V85" s="168">
        <v>1104</v>
      </c>
      <c r="W85" s="168"/>
      <c r="X85" s="168"/>
      <c r="Y85" s="168">
        <v>1293</v>
      </c>
    </row>
    <row r="86" spans="2:25" ht="13.5" thickBot="1" x14ac:dyDescent="0.3">
      <c r="B86" s="21"/>
      <c r="C86" s="161"/>
      <c r="L86" s="30"/>
      <c r="O86" s="197"/>
      <c r="P86" s="14"/>
      <c r="Q86" s="172" t="s">
        <v>306</v>
      </c>
      <c r="R86" s="171">
        <f ca="1">IF(R$5=$B$2,IF($C85&lt;R84,R82+R85-R84,R82+R85-$C85),R82+R85-R84)</f>
        <v>1446</v>
      </c>
      <c r="S86" s="171">
        <f ca="1">IF(S$5=$B$2,IF($C85&lt;S84,S82+S85-S84,S82+S85-$C85),S82+S85-S84)</f>
        <v>1567</v>
      </c>
      <c r="T86" s="171">
        <f t="shared" ref="T86:Y86" ca="1" si="19">IF(T$5=$B$2,IF($C83&lt;T84,T82+T85-T84,T82+T85-$C83),T82+T85-T84)</f>
        <v>1655</v>
      </c>
      <c r="U86" s="171">
        <f t="shared" ca="1" si="19"/>
        <v>784</v>
      </c>
      <c r="V86" s="171">
        <f t="shared" ca="1" si="19"/>
        <v>1438</v>
      </c>
      <c r="W86" s="171">
        <f t="shared" ca="1" si="19"/>
        <v>1088</v>
      </c>
      <c r="X86" s="171">
        <f t="shared" ca="1" si="19"/>
        <v>838</v>
      </c>
      <c r="Y86" s="171">
        <f t="shared" ca="1" si="19"/>
        <v>1690</v>
      </c>
    </row>
    <row r="87" spans="2:25" ht="13.5" thickBot="1" x14ac:dyDescent="0.3">
      <c r="B87" s="21"/>
      <c r="C87" s="161"/>
      <c r="E87" s="18"/>
      <c r="F87" s="50"/>
      <c r="H87" s="51"/>
      <c r="I87" s="51"/>
      <c r="J87" s="51"/>
      <c r="K87" s="51"/>
      <c r="L87" s="30"/>
      <c r="M87" s="198"/>
      <c r="N87" s="198"/>
      <c r="O87" s="197"/>
      <c r="P87" s="14"/>
      <c r="Q87" s="172" t="s">
        <v>307</v>
      </c>
      <c r="R87" s="170">
        <f t="shared" ref="R87:W87" ca="1" si="20">R86/S84</f>
        <v>3.4676258992805757</v>
      </c>
      <c r="S87" s="170">
        <f t="shared" ca="1" si="20"/>
        <v>3.5694760820045559</v>
      </c>
      <c r="T87" s="170">
        <f t="shared" ca="1" si="20"/>
        <v>1.9001148105625718</v>
      </c>
      <c r="U87" s="170">
        <f t="shared" ca="1" si="20"/>
        <v>1.7422222222222221</v>
      </c>
      <c r="V87" s="170">
        <f t="shared" ca="1" si="20"/>
        <v>4.1085714285714285</v>
      </c>
      <c r="W87" s="170">
        <f t="shared" ca="1" si="20"/>
        <v>4.3520000000000003</v>
      </c>
      <c r="X87" s="170">
        <f ca="1">X86/Y82</f>
        <v>1</v>
      </c>
      <c r="Y87" s="170" t="e">
        <f ca="1">Y86/Z82</f>
        <v>#DIV/0!</v>
      </c>
    </row>
    <row r="88" spans="2:25" ht="13" x14ac:dyDescent="0.25">
      <c r="B88" s="21"/>
      <c r="C88" s="161"/>
      <c r="E88" s="18"/>
      <c r="F88" s="50"/>
      <c r="H88" s="51"/>
      <c r="I88" s="51"/>
      <c r="J88" s="51"/>
      <c r="K88" s="51"/>
      <c r="L88" s="30"/>
      <c r="M88" s="198"/>
      <c r="N88" s="198"/>
      <c r="O88" s="197"/>
      <c r="P88" s="14"/>
    </row>
    <row r="89" spans="2:25" ht="13.5" thickBot="1" x14ac:dyDescent="0.3">
      <c r="B89" s="154"/>
      <c r="C89" s="162"/>
      <c r="D89" s="155"/>
      <c r="E89" s="156"/>
      <c r="F89" s="157"/>
      <c r="G89" s="155"/>
      <c r="H89" s="158"/>
      <c r="I89" s="158"/>
      <c r="J89" s="158"/>
      <c r="K89" s="158"/>
      <c r="L89" s="159"/>
      <c r="M89" s="199"/>
      <c r="N89" s="199"/>
      <c r="O89" s="200"/>
      <c r="P89" s="14"/>
      <c r="Q89" s="14"/>
      <c r="R89" s="112"/>
      <c r="S89" s="108"/>
      <c r="U89" s="108"/>
      <c r="V89" s="108"/>
      <c r="W89" s="47"/>
    </row>
    <row r="91" spans="2:25" ht="13" thickBot="1" x14ac:dyDescent="0.3"/>
    <row r="92" spans="2:25" ht="15" customHeight="1" thickBot="1" x14ac:dyDescent="0.3">
      <c r="B92" s="311" t="s">
        <v>4</v>
      </c>
      <c r="C92" s="313" t="s">
        <v>3</v>
      </c>
      <c r="D92" s="315" t="s">
        <v>2</v>
      </c>
      <c r="E92" s="307" t="s">
        <v>12</v>
      </c>
      <c r="F92" s="307" t="s">
        <v>13</v>
      </c>
      <c r="G92" s="307" t="s">
        <v>14</v>
      </c>
      <c r="H92" s="307" t="s">
        <v>15</v>
      </c>
      <c r="I92" s="307" t="s">
        <v>295</v>
      </c>
      <c r="J92" s="309" t="s">
        <v>240</v>
      </c>
      <c r="K92" s="309" t="s">
        <v>288</v>
      </c>
      <c r="L92" s="305" t="s">
        <v>308</v>
      </c>
      <c r="M92" s="309" t="s">
        <v>250</v>
      </c>
      <c r="N92" s="309" t="s">
        <v>251</v>
      </c>
      <c r="O92" s="305" t="s">
        <v>259</v>
      </c>
      <c r="R92" s="163"/>
      <c r="S92" s="163"/>
      <c r="T92" s="163"/>
      <c r="U92" s="163"/>
      <c r="V92" s="163"/>
      <c r="W92" s="163"/>
      <c r="X92" s="163"/>
    </row>
    <row r="93" spans="2:25" ht="15" customHeight="1" thickBot="1" x14ac:dyDescent="0.3">
      <c r="B93" s="312"/>
      <c r="C93" s="314"/>
      <c r="D93" s="316"/>
      <c r="E93" s="308"/>
      <c r="F93" s="308"/>
      <c r="G93" s="308" t="s">
        <v>1</v>
      </c>
      <c r="H93" s="308" t="s">
        <v>1</v>
      </c>
      <c r="I93" s="308"/>
      <c r="J93" s="310"/>
      <c r="K93" s="310"/>
      <c r="L93" s="322"/>
      <c r="M93" s="317"/>
      <c r="N93" s="317"/>
      <c r="O93" s="306"/>
      <c r="R93" s="164">
        <v>44348</v>
      </c>
      <c r="S93" s="165">
        <v>44378</v>
      </c>
      <c r="T93" s="165">
        <v>44409</v>
      </c>
      <c r="U93" s="165">
        <v>44440</v>
      </c>
      <c r="V93" s="165">
        <v>44470</v>
      </c>
      <c r="W93" s="165">
        <v>44501</v>
      </c>
      <c r="X93" s="166">
        <v>44531</v>
      </c>
    </row>
    <row r="94" spans="2:25" ht="13.5" thickBot="1" x14ac:dyDescent="0.3">
      <c r="B94" s="296" t="s">
        <v>127</v>
      </c>
      <c r="C94" s="31" t="s">
        <v>128</v>
      </c>
      <c r="D94" s="124" t="s">
        <v>293</v>
      </c>
      <c r="E94" s="114">
        <v>16</v>
      </c>
      <c r="F94" s="142">
        <v>44742</v>
      </c>
      <c r="G94" s="8">
        <f ca="1">TODAY()-F94</f>
        <v>-258</v>
      </c>
      <c r="H94" s="147">
        <f ca="1">G94/30</f>
        <v>-8.6</v>
      </c>
      <c r="I94" s="7">
        <f>F94-30*9</f>
        <v>44472</v>
      </c>
      <c r="J94" s="143">
        <v>0</v>
      </c>
      <c r="K94" s="174" t="s">
        <v>258</v>
      </c>
      <c r="L94" s="30"/>
      <c r="M94" s="196"/>
      <c r="N94" s="196"/>
      <c r="O94" s="197"/>
      <c r="Q94" s="172" t="s">
        <v>303</v>
      </c>
      <c r="R94" s="168">
        <f>SUM(E94:E98)+C95</f>
        <v>484</v>
      </c>
      <c r="S94" s="169">
        <v>532</v>
      </c>
      <c r="T94" s="169">
        <v>380</v>
      </c>
      <c r="U94" s="169">
        <v>726</v>
      </c>
      <c r="V94" s="169">
        <v>484</v>
      </c>
      <c r="W94" s="169">
        <f ca="1">V98</f>
        <v>275</v>
      </c>
      <c r="X94" s="169">
        <f ca="1">W98</f>
        <v>331</v>
      </c>
    </row>
    <row r="95" spans="2:25" ht="13.5" thickBot="1" x14ac:dyDescent="0.3">
      <c r="B95" s="20" t="s">
        <v>22</v>
      </c>
      <c r="C95" s="32">
        <f>SUMIF(Venda!$A:$A,$B94,Venda!$I:$I)*-1</f>
        <v>24</v>
      </c>
      <c r="D95" s="59" t="s">
        <v>328</v>
      </c>
      <c r="E95" s="114">
        <v>444</v>
      </c>
      <c r="F95" s="142">
        <v>44957</v>
      </c>
      <c r="G95" s="8">
        <f ca="1">TODAY()-F95</f>
        <v>-473</v>
      </c>
      <c r="H95" s="147">
        <f ca="1">G95/30</f>
        <v>-15.766666666666667</v>
      </c>
      <c r="I95" s="7">
        <f>F95-30*9</f>
        <v>44687</v>
      </c>
      <c r="J95" s="247">
        <v>0</v>
      </c>
      <c r="K95" s="174" t="s">
        <v>258</v>
      </c>
      <c r="L95" s="30"/>
      <c r="M95" s="198"/>
      <c r="N95" s="198"/>
      <c r="O95" s="197"/>
      <c r="Q95" s="172" t="s">
        <v>304</v>
      </c>
      <c r="R95" s="170">
        <f t="shared" ref="R95:X95" si="21">R94/R96</f>
        <v>2.2616822429906542</v>
      </c>
      <c r="S95" s="170">
        <f t="shared" si="21"/>
        <v>3.5</v>
      </c>
      <c r="T95" s="170">
        <f t="shared" si="21"/>
        <v>1.7431192660550459</v>
      </c>
      <c r="U95" s="170">
        <f t="shared" si="21"/>
        <v>3.0124481327800829</v>
      </c>
      <c r="V95" s="170">
        <f t="shared" si="21"/>
        <v>2.3157894736842106</v>
      </c>
      <c r="W95" s="170">
        <f t="shared" ca="1" si="21"/>
        <v>1.1000000000000001</v>
      </c>
      <c r="X95" s="170">
        <f t="shared" ca="1" si="21"/>
        <v>1.7421052631578948</v>
      </c>
    </row>
    <row r="96" spans="2:25" ht="13.5" thickBot="1" x14ac:dyDescent="0.3">
      <c r="B96" s="20" t="s">
        <v>24</v>
      </c>
      <c r="C96" s="32">
        <f>C97-C95</f>
        <v>-24</v>
      </c>
      <c r="L96" s="24"/>
      <c r="O96" s="210"/>
      <c r="Q96" s="172" t="s">
        <v>302</v>
      </c>
      <c r="R96" s="167">
        <f>INDEX(Forecast!$E$3:$AB$25,MATCH($B94,Forecast!$A$3:$A$25,0),MATCH(R$5,Forecast!$E$2:$AB$2,0))</f>
        <v>214</v>
      </c>
      <c r="S96" s="167">
        <f>INDEX(Forecast!$E$3:$AB$25,MATCH($B94,Forecast!$A$3:$A$25,0),MATCH(S$5,Forecast!$E$2:$AB$2,0))</f>
        <v>152</v>
      </c>
      <c r="T96" s="167">
        <f>INDEX(Forecast!$E$3:$AB$25,MATCH($B94,Forecast!$A$3:$A$25,0),MATCH(T$5,Forecast!$E$2:$AB$2,0))</f>
        <v>218</v>
      </c>
      <c r="U96" s="167">
        <f>INDEX(Forecast!$E$3:$AB$25,MATCH($B94,Forecast!$A$3:$A$25,0),MATCH(U$5,Forecast!$E$2:$AB$2,0))</f>
        <v>241</v>
      </c>
      <c r="V96" s="167">
        <f>INDEX(Forecast!$E$3:$AB$25,MATCH($B94,Forecast!$A$3:$A$25,0),MATCH(V$5,Forecast!$E$2:$AB$2,0))</f>
        <v>209</v>
      </c>
      <c r="W96" s="167">
        <f>INDEX(Forecast!$E$3:$AB$25,MATCH($B94,Forecast!$A$3:$A$25,0),MATCH(W$5,Forecast!$E$2:$AB$2,0))</f>
        <v>250</v>
      </c>
      <c r="X96" s="167">
        <f>INDEX(Forecast!$E$3:$AB$25,MATCH($B94,Forecast!$A$3:$A$25,0),MATCH(X$5,Forecast!$E$2:$AB$2,0))</f>
        <v>190</v>
      </c>
    </row>
    <row r="97" spans="2:27" ht="13.5" thickBot="1" x14ac:dyDescent="0.3">
      <c r="B97" s="20" t="s">
        <v>260</v>
      </c>
      <c r="C97" s="32">
        <f>VLOOKUP($B94,Colocado!$A:$C,3,0)</f>
        <v>0</v>
      </c>
      <c r="D97" s="61"/>
      <c r="E97" s="61"/>
      <c r="F97" s="219"/>
      <c r="G97" s="11"/>
      <c r="H97" s="208"/>
      <c r="I97" s="10"/>
      <c r="J97" s="83"/>
      <c r="K97" s="83"/>
      <c r="L97" s="24"/>
      <c r="M97" s="209"/>
      <c r="N97" s="209"/>
      <c r="O97" s="210"/>
      <c r="P97" s="14"/>
      <c r="Q97" s="172" t="s">
        <v>305</v>
      </c>
      <c r="R97" s="168">
        <v>0</v>
      </c>
      <c r="S97" s="168">
        <v>0</v>
      </c>
      <c r="T97" s="168">
        <v>564</v>
      </c>
      <c r="U97" s="168">
        <v>0</v>
      </c>
      <c r="V97" s="168">
        <v>0</v>
      </c>
      <c r="W97" s="168">
        <v>306</v>
      </c>
      <c r="X97" s="168"/>
    </row>
    <row r="98" spans="2:27" ht="13.5" thickBot="1" x14ac:dyDescent="0.35">
      <c r="B98" s="21"/>
      <c r="C98" s="161"/>
      <c r="D98" s="59"/>
      <c r="E98" s="126"/>
      <c r="F98" s="125"/>
      <c r="G98" s="8"/>
      <c r="H98" s="147"/>
      <c r="I98" s="7"/>
      <c r="J98" s="185"/>
      <c r="K98" s="186"/>
      <c r="L98" s="30"/>
      <c r="M98" s="198"/>
      <c r="N98" s="198"/>
      <c r="O98" s="197"/>
      <c r="P98" s="14"/>
      <c r="Q98" s="172" t="s">
        <v>306</v>
      </c>
      <c r="R98" s="171">
        <f ca="1">IF(R$5=$B$2,IF($C97&lt;R96,R94+R97-R96,R94+R97-$C97),R94+R97-R96)</f>
        <v>270</v>
      </c>
      <c r="S98" s="171">
        <f ca="1">IF(S$5=$B$2,IF($C97&lt;S96,S94+S97-S96,S94+S97-$C97),S94+S97-S96)</f>
        <v>380</v>
      </c>
      <c r="T98" s="171">
        <f ca="1">IF(T$5=$B$2,IF($C95&lt;T96,T94+T97-T96,T94+T97-$C95),T94+T97-T96)</f>
        <v>726</v>
      </c>
      <c r="U98" s="171">
        <f ca="1">IF(U$5=$B$2,IF($C95&lt;U96,U94+U97-U96,U94+U97-$C95),U94+U97-U96)</f>
        <v>485</v>
      </c>
      <c r="V98" s="171">
        <f ca="1">IF(V$5=$B$2,IF($C95&lt;V96,V94+V97-V96,V94+V97-$C95),V94+V97-V96)</f>
        <v>275</v>
      </c>
      <c r="W98" s="171">
        <f ca="1">IF(W$5=$B$2,IF($C95&lt;W96,W94+W97-W96,W94+W97-$C95),W94+W97-W96)</f>
        <v>331</v>
      </c>
      <c r="X98" s="171">
        <f ca="1">IF(X$5=$B$2,IF($C95&lt;X96,X94+X97-X96,X94+X97-$C95),X94+X97-X96)</f>
        <v>141</v>
      </c>
    </row>
    <row r="99" spans="2:27" ht="13.5" thickBot="1" x14ac:dyDescent="0.3">
      <c r="B99" s="21"/>
      <c r="C99" s="161"/>
      <c r="D99" s="59"/>
      <c r="E99" s="126"/>
      <c r="F99" s="125"/>
      <c r="G99" s="59"/>
      <c r="H99" s="184"/>
      <c r="I99" s="184"/>
      <c r="J99" s="184"/>
      <c r="K99" s="184"/>
      <c r="L99" s="30"/>
      <c r="M99" s="198"/>
      <c r="N99" s="198"/>
      <c r="O99" s="197"/>
      <c r="P99" s="14"/>
      <c r="Q99" s="172" t="s">
        <v>307</v>
      </c>
      <c r="R99" s="170">
        <f t="shared" ref="R99:W99" ca="1" si="22">R98/S96</f>
        <v>1.7763157894736843</v>
      </c>
      <c r="S99" s="170">
        <f t="shared" ca="1" si="22"/>
        <v>1.7431192660550459</v>
      </c>
      <c r="T99" s="170">
        <f t="shared" ca="1" si="22"/>
        <v>3.0124481327800829</v>
      </c>
      <c r="U99" s="170">
        <f t="shared" ca="1" si="22"/>
        <v>2.3205741626794256</v>
      </c>
      <c r="V99" s="170">
        <f t="shared" ca="1" si="22"/>
        <v>1.1000000000000001</v>
      </c>
      <c r="W99" s="170">
        <f t="shared" ca="1" si="22"/>
        <v>1.7421052631578948</v>
      </c>
      <c r="X99" s="170" t="e">
        <f ca="1">X98/Y94</f>
        <v>#DIV/0!</v>
      </c>
    </row>
    <row r="100" spans="2:27" ht="13" x14ac:dyDescent="0.25">
      <c r="B100" s="21"/>
      <c r="C100" s="161"/>
      <c r="D100" s="59"/>
      <c r="E100" s="126"/>
      <c r="F100" s="125"/>
      <c r="G100" s="59"/>
      <c r="H100" s="184"/>
      <c r="I100" s="184"/>
      <c r="J100" s="184"/>
      <c r="K100" s="184"/>
      <c r="L100" s="30"/>
      <c r="M100" s="198"/>
      <c r="N100" s="198"/>
      <c r="O100" s="197"/>
      <c r="P100" s="14"/>
    </row>
    <row r="101" spans="2:27" ht="13.5" thickBot="1" x14ac:dyDescent="0.3">
      <c r="B101" s="154"/>
      <c r="C101" s="162"/>
      <c r="D101" s="191"/>
      <c r="E101" s="192"/>
      <c r="F101" s="193"/>
      <c r="G101" s="191"/>
      <c r="H101" s="187"/>
      <c r="I101" s="187"/>
      <c r="J101" s="187"/>
      <c r="K101" s="187"/>
      <c r="L101" s="188"/>
      <c r="M101" s="199"/>
      <c r="N101" s="199"/>
      <c r="O101" s="200"/>
      <c r="P101" s="14"/>
      <c r="Q101" s="14"/>
      <c r="R101" s="112"/>
      <c r="S101" s="108"/>
      <c r="U101" s="108"/>
      <c r="V101" s="108"/>
      <c r="W101" s="47"/>
    </row>
    <row r="103" spans="2:27" ht="13" thickBot="1" x14ac:dyDescent="0.3"/>
    <row r="104" spans="2:27" ht="15" customHeight="1" thickBot="1" x14ac:dyDescent="0.3">
      <c r="B104" s="311" t="s">
        <v>4</v>
      </c>
      <c r="C104" s="313" t="s">
        <v>3</v>
      </c>
      <c r="D104" s="315" t="s">
        <v>2</v>
      </c>
      <c r="E104" s="307" t="s">
        <v>12</v>
      </c>
      <c r="F104" s="307" t="s">
        <v>13</v>
      </c>
      <c r="G104" s="307" t="s">
        <v>14</v>
      </c>
      <c r="H104" s="307" t="s">
        <v>15</v>
      </c>
      <c r="I104" s="307" t="s">
        <v>295</v>
      </c>
      <c r="J104" s="309" t="s">
        <v>240</v>
      </c>
      <c r="K104" s="309" t="s">
        <v>288</v>
      </c>
      <c r="L104" s="305" t="s">
        <v>308</v>
      </c>
      <c r="M104" s="309" t="s">
        <v>250</v>
      </c>
      <c r="N104" s="309" t="s">
        <v>251</v>
      </c>
      <c r="O104" s="305" t="s">
        <v>259</v>
      </c>
      <c r="R104" s="163"/>
      <c r="S104" s="163"/>
      <c r="T104" s="163"/>
      <c r="U104" s="163"/>
      <c r="V104" s="163"/>
      <c r="W104" s="163"/>
      <c r="X104" s="163"/>
    </row>
    <row r="105" spans="2:27" ht="15" customHeight="1" thickBot="1" x14ac:dyDescent="0.3">
      <c r="B105" s="312"/>
      <c r="C105" s="314"/>
      <c r="D105" s="316"/>
      <c r="E105" s="308"/>
      <c r="F105" s="308"/>
      <c r="G105" s="308" t="s">
        <v>1</v>
      </c>
      <c r="H105" s="308" t="s">
        <v>1</v>
      </c>
      <c r="I105" s="308"/>
      <c r="J105" s="310"/>
      <c r="K105" s="310"/>
      <c r="L105" s="322"/>
      <c r="M105" s="317"/>
      <c r="N105" s="317"/>
      <c r="O105" s="306"/>
      <c r="R105" s="164">
        <v>44348</v>
      </c>
      <c r="S105" s="165">
        <v>44378</v>
      </c>
      <c r="T105" s="165">
        <v>44409</v>
      </c>
      <c r="U105" s="165">
        <v>44440</v>
      </c>
      <c r="V105" s="165">
        <v>44470</v>
      </c>
      <c r="W105" s="165">
        <v>44501</v>
      </c>
      <c r="X105" s="166">
        <v>44531</v>
      </c>
      <c r="Y105" s="165">
        <v>44562</v>
      </c>
      <c r="Z105" s="166">
        <v>44593</v>
      </c>
      <c r="AA105" s="165">
        <v>44621</v>
      </c>
    </row>
    <row r="106" spans="2:27" ht="13.5" thickBot="1" x14ac:dyDescent="0.3">
      <c r="B106" s="296" t="s">
        <v>197</v>
      </c>
      <c r="C106" s="31" t="s">
        <v>198</v>
      </c>
      <c r="D106" s="124" t="s">
        <v>264</v>
      </c>
      <c r="E106" s="114">
        <v>3077</v>
      </c>
      <c r="F106" s="142">
        <v>44620</v>
      </c>
      <c r="G106" s="8">
        <f ca="1">TODAY()-F106</f>
        <v>-136</v>
      </c>
      <c r="H106" s="147">
        <f ca="1">G106/30</f>
        <v>-4.5333333333333332</v>
      </c>
      <c r="I106" s="7">
        <f>F106-30*9</f>
        <v>44350</v>
      </c>
      <c r="J106" s="143">
        <v>0</v>
      </c>
      <c r="K106" s="174" t="s">
        <v>258</v>
      </c>
      <c r="L106" s="113">
        <v>3077</v>
      </c>
      <c r="M106" s="196"/>
      <c r="N106" s="196"/>
      <c r="O106" s="197"/>
      <c r="Q106" s="172" t="s">
        <v>303</v>
      </c>
      <c r="R106" s="168" t="e">
        <f>SUM(#REF!)+C107</f>
        <v>#REF!</v>
      </c>
      <c r="S106" s="169">
        <v>4095</v>
      </c>
      <c r="T106" s="169">
        <v>2618</v>
      </c>
      <c r="U106" s="169">
        <v>1694</v>
      </c>
      <c r="V106" s="169">
        <v>1737</v>
      </c>
      <c r="W106" s="169">
        <f t="shared" ref="W106:AA106" ca="1" si="23">V110</f>
        <v>908</v>
      </c>
      <c r="X106" s="169">
        <f t="shared" ca="1" si="23"/>
        <v>306</v>
      </c>
      <c r="Y106" s="169">
        <f t="shared" ca="1" si="23"/>
        <v>2246</v>
      </c>
      <c r="Z106" s="169">
        <f t="shared" ca="1" si="23"/>
        <v>1833</v>
      </c>
      <c r="AA106" s="169">
        <f t="shared" ca="1" si="23"/>
        <v>2816</v>
      </c>
    </row>
    <row r="107" spans="2:27" ht="13.5" thickBot="1" x14ac:dyDescent="0.3">
      <c r="B107" s="20" t="s">
        <v>22</v>
      </c>
      <c r="C107" s="32">
        <f>SUMIF(Venda!$A:$A,$B106,Venda!$I:$I)*-1</f>
        <v>829</v>
      </c>
      <c r="D107" s="123" t="s">
        <v>382</v>
      </c>
      <c r="E107" s="152">
        <v>1125</v>
      </c>
      <c r="F107" s="149">
        <v>44957</v>
      </c>
      <c r="G107" s="8">
        <f ca="1">TODAY()-F107</f>
        <v>-473</v>
      </c>
      <c r="H107" s="147">
        <f ca="1">G107/30</f>
        <v>-15.766666666666667</v>
      </c>
      <c r="I107" s="7">
        <f>F107-30*9</f>
        <v>44687</v>
      </c>
      <c r="J107" s="143">
        <v>0</v>
      </c>
      <c r="K107" s="174" t="s">
        <v>258</v>
      </c>
      <c r="L107" s="24"/>
      <c r="M107" s="198"/>
      <c r="N107" s="198"/>
      <c r="O107" s="197"/>
      <c r="Q107" s="172" t="s">
        <v>304</v>
      </c>
      <c r="R107" s="170" t="e">
        <f t="shared" ref="R107:X107" si="24">R106/R108</f>
        <v>#REF!</v>
      </c>
      <c r="S107" s="170">
        <f t="shared" si="24"/>
        <v>2.8183069511355816</v>
      </c>
      <c r="T107" s="170">
        <f t="shared" si="24"/>
        <v>2.9349775784753365</v>
      </c>
      <c r="U107" s="170">
        <f t="shared" si="24"/>
        <v>1.1904427266338722</v>
      </c>
      <c r="V107" s="170">
        <f t="shared" si="24"/>
        <v>2.3697135061391541</v>
      </c>
      <c r="W107" s="170">
        <f t="shared" ca="1" si="24"/>
        <v>1.5083056478405317</v>
      </c>
      <c r="X107" s="170">
        <f t="shared" ca="1" si="24"/>
        <v>0.75555555555555554</v>
      </c>
      <c r="Y107" s="170">
        <f ca="1">Y106/Y108</f>
        <v>5.438256658595642</v>
      </c>
      <c r="Z107" s="170">
        <f ca="1">Z106/Z108</f>
        <v>1.7457142857142858</v>
      </c>
      <c r="AA107" s="170">
        <f ca="1">AA106/AA108</f>
        <v>1.140080971659919</v>
      </c>
    </row>
    <row r="108" spans="2:27" ht="13.5" thickBot="1" x14ac:dyDescent="0.3">
      <c r="B108" s="20" t="s">
        <v>24</v>
      </c>
      <c r="C108" s="32">
        <f>C109-C107</f>
        <v>-829</v>
      </c>
      <c r="L108" s="24"/>
      <c r="M108" s="209"/>
      <c r="N108" s="209"/>
      <c r="O108" s="210"/>
      <c r="Q108" s="172" t="s">
        <v>302</v>
      </c>
      <c r="R108" s="167">
        <f>INDEX(Forecast!$E$3:$AB$25,MATCH($B106,Forecast!$A$3:$A$25,0),MATCH(R$5,Forecast!$E$2:$AB$2,0))</f>
        <v>1365</v>
      </c>
      <c r="S108" s="167">
        <f>INDEX(Forecast!$E$3:$AB$25,MATCH($B106,Forecast!$A$3:$A$25,0),MATCH(S$5,Forecast!$E$2:$AB$2,0))</f>
        <v>1453</v>
      </c>
      <c r="T108" s="167">
        <f>INDEX(Forecast!$E$3:$AB$25,MATCH($B106,Forecast!$A$3:$A$25,0),MATCH(T$5,Forecast!$E$2:$AB$2,0))</f>
        <v>892</v>
      </c>
      <c r="U108" s="167">
        <f>INDEX(Forecast!$E$3:$AB$25,MATCH($B106,Forecast!$A$3:$A$25,0),MATCH(U$105,Forecast!$E$2:$AB$2,0))</f>
        <v>1423</v>
      </c>
      <c r="V108" s="167">
        <f>INDEX(Forecast!$E$3:$AB$25,MATCH($B106,Forecast!$A$3:$A$25,0),MATCH(V$105,Forecast!$E$2:$AB$2,0))</f>
        <v>733</v>
      </c>
      <c r="W108" s="167">
        <f>INDEX(Forecast!$E$3:$AB$25,MATCH($B106,Forecast!$A$3:$A$25,0),MATCH(W$105,Forecast!$E$2:$AB$2,0))</f>
        <v>602</v>
      </c>
      <c r="X108" s="167">
        <f>INDEX(Forecast!$E$3:$AB$25,MATCH($B106,Forecast!$A$3:$A$25,0),MATCH(X$105,Forecast!$E$2:$AB$2,0))</f>
        <v>405</v>
      </c>
      <c r="Y108" s="167">
        <f>INDEX(Forecast!$E$3:$AB$25,MATCH($B106,Forecast!$A$3:$A$25,0),MATCH(Y$105,Forecast!$E$2:$AB$2,0))</f>
        <v>413</v>
      </c>
      <c r="Z108" s="167">
        <f>INDEX(Forecast!$E$3:$AB$25,MATCH($B106,Forecast!$A$3:$A$25,0),MATCH(Z$105,Forecast!$E$2:$AB$2,0))</f>
        <v>1050</v>
      </c>
      <c r="AA108" s="167">
        <f>INDEX(Forecast!$E$3:$AB$25,MATCH($B106,Forecast!$A$3:$A$25,0),MATCH(AA$105,Forecast!$E$2:$AB$2,0))</f>
        <v>2470</v>
      </c>
    </row>
    <row r="109" spans="2:27" ht="13.5" thickBot="1" x14ac:dyDescent="0.35">
      <c r="B109" s="20" t="s">
        <v>260</v>
      </c>
      <c r="C109" s="32">
        <f>VLOOKUP($B106,Colocado!$A:$C,3,0)</f>
        <v>0</v>
      </c>
      <c r="D109" s="217"/>
      <c r="E109" s="218"/>
      <c r="F109" s="219"/>
      <c r="G109" s="220"/>
      <c r="H109" s="279"/>
      <c r="I109" s="219"/>
      <c r="J109" s="220"/>
      <c r="K109" s="221"/>
      <c r="L109" s="24"/>
      <c r="M109" s="209"/>
      <c r="N109" s="209"/>
      <c r="O109" s="210"/>
      <c r="P109" s="14"/>
      <c r="Q109" s="172" t="s">
        <v>305</v>
      </c>
      <c r="R109" s="168">
        <v>0</v>
      </c>
      <c r="S109" s="168">
        <v>0</v>
      </c>
      <c r="T109" s="168">
        <v>0</v>
      </c>
      <c r="U109" s="168">
        <f>E107</f>
        <v>1125</v>
      </c>
      <c r="V109" s="168"/>
      <c r="W109" s="168"/>
      <c r="X109" s="168">
        <v>2345</v>
      </c>
      <c r="Y109" s="168"/>
      <c r="Z109" s="168">
        <v>2033</v>
      </c>
      <c r="AA109" s="168"/>
    </row>
    <row r="110" spans="2:27" ht="13.5" thickBot="1" x14ac:dyDescent="0.35">
      <c r="B110" s="21"/>
      <c r="C110" s="161"/>
      <c r="D110" s="59"/>
      <c r="E110" s="126"/>
      <c r="F110" s="125"/>
      <c r="G110" s="143"/>
      <c r="H110" s="144"/>
      <c r="I110" s="142"/>
      <c r="J110" s="185"/>
      <c r="K110" s="186"/>
      <c r="L110" s="30"/>
      <c r="M110" s="198"/>
      <c r="N110" s="198"/>
      <c r="O110" s="197"/>
      <c r="P110" s="14"/>
      <c r="Q110" s="172" t="s">
        <v>306</v>
      </c>
      <c r="R110" s="171" t="e">
        <f ca="1">IF(R$5=$B$2,IF($C109&lt;R108,R106+R109-R108,R106+R109-$C109),R106+R109-R108)</f>
        <v>#REF!</v>
      </c>
      <c r="S110" s="171">
        <f ca="1">IF(S$5=$B$2,IF($C109&lt;S108,S106+S109-S108,S106+S109-$C109),S106+S109-S108)</f>
        <v>2642</v>
      </c>
      <c r="T110" s="171">
        <f ca="1">IF(T$5=$B$2,IF($C107&lt;T108,T106+T109-T108,T106+T109-$C107),T106+T109-T108)</f>
        <v>1726</v>
      </c>
      <c r="U110" s="171">
        <f t="shared" ref="U110:AA110" ca="1" si="25">IF(U$5=$B$2,IF($C107&lt;U108,U106+U109-U108,U106+U109-$C107),U106+U109-U108)</f>
        <v>1396</v>
      </c>
      <c r="V110" s="171">
        <f t="shared" ca="1" si="25"/>
        <v>908</v>
      </c>
      <c r="W110" s="171">
        <f t="shared" ca="1" si="25"/>
        <v>306</v>
      </c>
      <c r="X110" s="171">
        <f t="shared" ca="1" si="25"/>
        <v>2246</v>
      </c>
      <c r="Y110" s="171">
        <f t="shared" ca="1" si="25"/>
        <v>1833</v>
      </c>
      <c r="Z110" s="171">
        <f t="shared" ca="1" si="25"/>
        <v>2816</v>
      </c>
      <c r="AA110" s="171">
        <f t="shared" ca="1" si="25"/>
        <v>346</v>
      </c>
    </row>
    <row r="111" spans="2:27" ht="13.5" thickBot="1" x14ac:dyDescent="0.3">
      <c r="B111" s="281"/>
      <c r="C111" s="282"/>
      <c r="D111" s="59"/>
      <c r="E111" s="126"/>
      <c r="F111" s="125"/>
      <c r="G111" s="59"/>
      <c r="H111" s="184"/>
      <c r="I111" s="184"/>
      <c r="J111" s="184"/>
      <c r="K111" s="184"/>
      <c r="L111" s="30"/>
      <c r="M111" s="198"/>
      <c r="N111" s="198"/>
      <c r="O111" s="197"/>
      <c r="P111" s="14"/>
      <c r="Q111" s="172" t="s">
        <v>307</v>
      </c>
      <c r="R111" s="170" t="e">
        <f t="shared" ref="R111:W111" ca="1" si="26">R110/S108</f>
        <v>#REF!</v>
      </c>
      <c r="S111" s="170">
        <f t="shared" ca="1" si="26"/>
        <v>2.9618834080717487</v>
      </c>
      <c r="T111" s="170">
        <f t="shared" ca="1" si="26"/>
        <v>1.2129304286718201</v>
      </c>
      <c r="U111" s="170">
        <f t="shared" ca="1" si="26"/>
        <v>1.9045020463847204</v>
      </c>
      <c r="V111" s="170">
        <f t="shared" ca="1" si="26"/>
        <v>1.5083056478405317</v>
      </c>
      <c r="W111" s="170">
        <f t="shared" ca="1" si="26"/>
        <v>0.75555555555555554</v>
      </c>
      <c r="X111" s="170">
        <f ca="1">X110/Y106</f>
        <v>1</v>
      </c>
      <c r="Y111" s="170">
        <f ca="1">Y110/Z108</f>
        <v>1.7457142857142858</v>
      </c>
      <c r="Z111" s="170">
        <f ca="1">Z110/AA106</f>
        <v>1</v>
      </c>
      <c r="AA111" s="170" t="e">
        <f ca="1">AA110/AB108</f>
        <v>#DIV/0!</v>
      </c>
    </row>
    <row r="112" spans="2:27" ht="13" x14ac:dyDescent="0.25">
      <c r="B112" s="21"/>
      <c r="C112" s="161"/>
      <c r="D112" s="59"/>
      <c r="E112" s="126"/>
      <c r="F112" s="125"/>
      <c r="G112" s="59"/>
      <c r="H112" s="184"/>
      <c r="I112" s="184"/>
      <c r="J112" s="184"/>
      <c r="K112" s="184"/>
      <c r="L112" s="30"/>
      <c r="M112" s="198"/>
      <c r="N112" s="198"/>
      <c r="O112" s="197"/>
      <c r="P112" s="14"/>
      <c r="U112" s="47"/>
      <c r="V112" s="241"/>
    </row>
    <row r="113" spans="2:24" ht="13.5" thickBot="1" x14ac:dyDescent="0.3">
      <c r="B113" s="154"/>
      <c r="C113" s="162"/>
      <c r="D113" s="191"/>
      <c r="E113" s="192"/>
      <c r="F113" s="193"/>
      <c r="G113" s="191"/>
      <c r="H113" s="187"/>
      <c r="I113" s="187"/>
      <c r="J113" s="187"/>
      <c r="K113" s="187"/>
      <c r="L113" s="188"/>
      <c r="M113" s="199"/>
      <c r="N113" s="199"/>
      <c r="O113" s="200"/>
      <c r="P113" s="14"/>
      <c r="Q113" s="14"/>
      <c r="R113" s="112"/>
      <c r="S113" s="108"/>
      <c r="U113" s="108"/>
      <c r="V113" s="108"/>
      <c r="W113" s="47"/>
    </row>
    <row r="114" spans="2:24" x14ac:dyDescent="0.25">
      <c r="Q114" s="241"/>
    </row>
    <row r="115" spans="2:24" ht="13" thickBot="1" x14ac:dyDescent="0.3"/>
    <row r="116" spans="2:24" ht="15" customHeight="1" thickBot="1" x14ac:dyDescent="0.3">
      <c r="B116" s="311" t="s">
        <v>4</v>
      </c>
      <c r="C116" s="313" t="s">
        <v>3</v>
      </c>
      <c r="D116" s="315" t="s">
        <v>2</v>
      </c>
      <c r="E116" s="307" t="s">
        <v>12</v>
      </c>
      <c r="F116" s="307" t="s">
        <v>13</v>
      </c>
      <c r="G116" s="307" t="s">
        <v>14</v>
      </c>
      <c r="H116" s="307" t="s">
        <v>15</v>
      </c>
      <c r="I116" s="307" t="s">
        <v>295</v>
      </c>
      <c r="J116" s="309" t="s">
        <v>240</v>
      </c>
      <c r="K116" s="309" t="s">
        <v>288</v>
      </c>
      <c r="L116" s="305" t="s">
        <v>308</v>
      </c>
      <c r="M116" s="309" t="s">
        <v>250</v>
      </c>
      <c r="N116" s="309" t="s">
        <v>251</v>
      </c>
      <c r="O116" s="305" t="s">
        <v>259</v>
      </c>
      <c r="R116" s="163"/>
      <c r="S116" s="163"/>
      <c r="T116" s="237"/>
      <c r="U116" s="237"/>
      <c r="V116" s="163"/>
      <c r="W116" s="163"/>
      <c r="X116" s="163"/>
    </row>
    <row r="117" spans="2:24" ht="15" customHeight="1" thickBot="1" x14ac:dyDescent="0.3">
      <c r="B117" s="312"/>
      <c r="C117" s="314"/>
      <c r="D117" s="316"/>
      <c r="E117" s="308"/>
      <c r="F117" s="308"/>
      <c r="G117" s="308" t="s">
        <v>1</v>
      </c>
      <c r="H117" s="308" t="s">
        <v>1</v>
      </c>
      <c r="I117" s="308"/>
      <c r="J117" s="310"/>
      <c r="K117" s="310"/>
      <c r="L117" s="322"/>
      <c r="M117" s="317"/>
      <c r="N117" s="317"/>
      <c r="O117" s="306"/>
      <c r="R117" s="164">
        <v>44348</v>
      </c>
      <c r="S117" s="165">
        <v>44378</v>
      </c>
      <c r="T117" s="165">
        <v>44409</v>
      </c>
      <c r="U117" s="165">
        <v>44440</v>
      </c>
      <c r="V117" s="165">
        <v>44470</v>
      </c>
      <c r="W117" s="165">
        <v>44501</v>
      </c>
      <c r="X117" s="166">
        <v>44531</v>
      </c>
    </row>
    <row r="118" spans="2:24" ht="13.5" thickBot="1" x14ac:dyDescent="0.3">
      <c r="B118" s="296" t="s">
        <v>133</v>
      </c>
      <c r="C118" s="31" t="s">
        <v>134</v>
      </c>
      <c r="D118" s="123" t="s">
        <v>380</v>
      </c>
      <c r="E118" s="152">
        <v>4287</v>
      </c>
      <c r="F118" s="142">
        <v>45016</v>
      </c>
      <c r="G118" s="8">
        <f t="shared" ref="G118:G122" ca="1" si="27">TODAY()-F118</f>
        <v>-532</v>
      </c>
      <c r="H118" s="147">
        <f t="shared" ref="H118:H122" ca="1" si="28">G118/30</f>
        <v>-17.733333333333334</v>
      </c>
      <c r="I118" s="7">
        <f t="shared" ref="I118:I122" si="29">F118-30*9</f>
        <v>44746</v>
      </c>
      <c r="J118" s="143">
        <v>0</v>
      </c>
      <c r="K118" s="174" t="s">
        <v>258</v>
      </c>
      <c r="L118" s="113"/>
      <c r="M118" s="198"/>
      <c r="N118" s="198"/>
      <c r="O118" s="197"/>
      <c r="Q118" s="172" t="s">
        <v>303</v>
      </c>
      <c r="R118" s="168">
        <f>SUM(E118:E118)+C119</f>
        <v>7022</v>
      </c>
      <c r="S118" s="169">
        <v>9802</v>
      </c>
      <c r="T118" s="169">
        <v>8764</v>
      </c>
      <c r="U118" s="169">
        <v>14938</v>
      </c>
      <c r="V118" s="169">
        <v>7146</v>
      </c>
      <c r="W118" s="169">
        <f ca="1">V122</f>
        <v>6937</v>
      </c>
      <c r="X118" s="169">
        <f ca="1">W122</f>
        <v>11405</v>
      </c>
    </row>
    <row r="119" spans="2:24" ht="13.5" thickBot="1" x14ac:dyDescent="0.3">
      <c r="B119" s="20" t="s">
        <v>22</v>
      </c>
      <c r="C119" s="32">
        <f>SUMIF(Venda!$A:$A,$B118,Venda!$I:$I)*-1</f>
        <v>2735</v>
      </c>
      <c r="D119" s="123" t="s">
        <v>381</v>
      </c>
      <c r="E119" s="152">
        <v>640</v>
      </c>
      <c r="F119" s="142">
        <v>44865</v>
      </c>
      <c r="G119" s="8">
        <f t="shared" ca="1" si="27"/>
        <v>-381</v>
      </c>
      <c r="H119" s="147">
        <f t="shared" ca="1" si="28"/>
        <v>-12.7</v>
      </c>
      <c r="I119" s="7">
        <f t="shared" si="29"/>
        <v>44595</v>
      </c>
      <c r="J119" s="143">
        <v>0</v>
      </c>
      <c r="K119" s="174" t="s">
        <v>258</v>
      </c>
      <c r="L119" s="30"/>
      <c r="M119" s="198"/>
      <c r="N119" s="198"/>
      <c r="O119" s="197"/>
      <c r="Q119" s="172" t="s">
        <v>304</v>
      </c>
      <c r="R119" s="170">
        <f t="shared" ref="R119:X119" si="30">R118/R120</f>
        <v>1.0169442433019551</v>
      </c>
      <c r="S119" s="170">
        <f t="shared" si="30"/>
        <v>1.3043246839654026</v>
      </c>
      <c r="T119" s="239">
        <f t="shared" si="30"/>
        <v>1.0862667327714428</v>
      </c>
      <c r="U119" s="239">
        <f t="shared" si="30"/>
        <v>1.4946968180908544</v>
      </c>
      <c r="V119" s="170">
        <f t="shared" si="30"/>
        <v>0.81668571428571424</v>
      </c>
      <c r="W119" s="170">
        <f t="shared" ca="1" si="30"/>
        <v>0.79279999999999995</v>
      </c>
      <c r="X119" s="170">
        <f t="shared" ca="1" si="30"/>
        <v>2.3394871794871794</v>
      </c>
    </row>
    <row r="120" spans="2:24" ht="13.5" thickBot="1" x14ac:dyDescent="0.3">
      <c r="B120" s="20" t="s">
        <v>24</v>
      </c>
      <c r="C120" s="32">
        <f>C121-C119</f>
        <v>-2735</v>
      </c>
      <c r="D120" s="217" t="s">
        <v>379</v>
      </c>
      <c r="E120" s="218">
        <v>8541</v>
      </c>
      <c r="F120" s="219">
        <v>45016</v>
      </c>
      <c r="G120" s="11">
        <f t="shared" ca="1" si="27"/>
        <v>-532</v>
      </c>
      <c r="H120" s="208">
        <f t="shared" ca="1" si="28"/>
        <v>-17.733333333333334</v>
      </c>
      <c r="I120" s="10">
        <f t="shared" si="29"/>
        <v>44746</v>
      </c>
      <c r="J120" s="220"/>
      <c r="K120" s="221"/>
      <c r="L120" s="30"/>
      <c r="M120" s="198"/>
      <c r="N120" s="198"/>
      <c r="O120" s="197"/>
      <c r="Q120" s="172" t="s">
        <v>302</v>
      </c>
      <c r="R120" s="167">
        <f>INDEX(Forecast!$E$3:$AB$25,MATCH($B118,Forecast!$A$3:$A$25,0),MATCH(R$5,Forecast!$E$2:$AB$2,0))</f>
        <v>6905</v>
      </c>
      <c r="S120" s="167">
        <f>INDEX(Forecast!$E$3:$AB$25,MATCH($B118,Forecast!$A$3:$A$25,0),MATCH(S$5,Forecast!$E$2:$AB$2,0))</f>
        <v>7515</v>
      </c>
      <c r="T120" s="167">
        <f>INDEX(Forecast!$E$3:$AB$25,MATCH($B118,Forecast!$A$3:$A$25,0),MATCH(T$5,Forecast!$E$2:$AB$2,0))</f>
        <v>8068</v>
      </c>
      <c r="U120" s="167">
        <f>INDEX(Forecast!$E$3:$AB$25,MATCH($B118,Forecast!$A$3:$A$25,0),MATCH(U$5,Forecast!$E$2:$AB$2,0))</f>
        <v>9994</v>
      </c>
      <c r="V120" s="167">
        <f>INDEX(Forecast!$E$3:$AB$25,MATCH($B118,Forecast!$A$3:$A$25,0),MATCH(V$5,Forecast!$E$2:$AB$2,0))</f>
        <v>8750</v>
      </c>
      <c r="W120" s="167">
        <f>INDEX(Forecast!$E$3:$AB$25,MATCH($B118,Forecast!$A$3:$A$25,0),MATCH(W$5,Forecast!$E$2:$AB$2,0))</f>
        <v>8750</v>
      </c>
      <c r="X120" s="167">
        <f>INDEX(Forecast!$E$3:$AB$25,MATCH($B118,Forecast!$A$3:$A$25,0),MATCH(X$5,Forecast!$E$2:$AB$2,0))</f>
        <v>4875</v>
      </c>
    </row>
    <row r="121" spans="2:24" ht="13.5" thickBot="1" x14ac:dyDescent="0.3">
      <c r="B121" s="20" t="s">
        <v>260</v>
      </c>
      <c r="C121" s="32">
        <f>VLOOKUP($B118,Colocado!$A:$C,3,0)</f>
        <v>0</v>
      </c>
      <c r="D121" s="217" t="s">
        <v>477</v>
      </c>
      <c r="E121" s="218">
        <v>2660</v>
      </c>
      <c r="F121" s="219">
        <v>45016</v>
      </c>
      <c r="G121" s="11">
        <f t="shared" ca="1" si="27"/>
        <v>-532</v>
      </c>
      <c r="H121" s="208">
        <f t="shared" ca="1" si="28"/>
        <v>-17.733333333333334</v>
      </c>
      <c r="I121" s="10">
        <f t="shared" si="29"/>
        <v>44746</v>
      </c>
      <c r="J121" s="220"/>
      <c r="K121" s="221"/>
      <c r="L121" s="30"/>
      <c r="M121" s="198"/>
      <c r="N121" s="198"/>
      <c r="O121" s="197"/>
      <c r="P121" s="14"/>
      <c r="Q121" s="172" t="s">
        <v>305</v>
      </c>
      <c r="R121" s="168">
        <v>0</v>
      </c>
      <c r="S121" s="168">
        <f>SUM(E118)</f>
        <v>4287</v>
      </c>
      <c r="T121" s="168">
        <v>14281</v>
      </c>
      <c r="U121" s="168">
        <f>SUM(E119)</f>
        <v>640</v>
      </c>
      <c r="V121" s="168">
        <f>SUM(E120)</f>
        <v>8541</v>
      </c>
      <c r="W121" s="168">
        <f>SUM(E121:E122)+6600</f>
        <v>13218</v>
      </c>
      <c r="X121" s="168"/>
    </row>
    <row r="122" spans="2:24" ht="13.5" thickBot="1" x14ac:dyDescent="0.3">
      <c r="B122" s="21"/>
      <c r="C122" s="161"/>
      <c r="D122" s="217" t="s">
        <v>333</v>
      </c>
      <c r="E122" s="218">
        <v>3958</v>
      </c>
      <c r="F122" s="219">
        <v>45016</v>
      </c>
      <c r="G122" s="11">
        <f t="shared" ca="1" si="27"/>
        <v>-532</v>
      </c>
      <c r="H122" s="208">
        <f t="shared" ca="1" si="28"/>
        <v>-17.733333333333334</v>
      </c>
      <c r="I122" s="10">
        <f t="shared" si="29"/>
        <v>44746</v>
      </c>
      <c r="L122" s="30"/>
      <c r="M122" s="198"/>
      <c r="N122" s="198"/>
      <c r="O122" s="197"/>
      <c r="P122" s="14"/>
      <c r="Q122" s="172" t="s">
        <v>306</v>
      </c>
      <c r="R122" s="171">
        <f ca="1">IF(R$5=$B$2,IF($C121&lt;R120,R118+R121-R120,R118+R121-$C121),R118+R121-R120)</f>
        <v>117</v>
      </c>
      <c r="S122" s="171">
        <f ca="1">IF(S$5=$B$2,IF($C121&lt;S120,S118+S121-S120,S118+S121-$C121),S118+S121-S120)</f>
        <v>6574</v>
      </c>
      <c r="T122" s="171">
        <f ca="1">IF(T$5=$B$2,IF($C119&lt;T120,T118+T121-T120,T118+T121-$C119),T118+T121-T120)</f>
        <v>14977</v>
      </c>
      <c r="U122" s="171">
        <f ca="1">IF(U$5=$B$2,IF($C119&lt;U120,U118+U121-U120,U118+U121-$C119),U118+U121-U120)</f>
        <v>5584</v>
      </c>
      <c r="V122" s="171">
        <f ca="1">IF(V$5=$B$2,IF($C119&lt;V120,V118+V121-V120,V118+V121-$C119),V118+V121-V120)</f>
        <v>6937</v>
      </c>
      <c r="W122" s="171">
        <f ca="1">IF(W$5=$B$2,IF($C119&lt;W120,W118+W121-W120,W118+W121-$C119),W118+W121-W120)</f>
        <v>11405</v>
      </c>
      <c r="X122" s="171">
        <f ca="1">IF(X$5=$B$2,IF($C119&lt;X120,X118+X121-X120,X118+X121-$C119),X118+X121-X120)</f>
        <v>6530</v>
      </c>
    </row>
    <row r="123" spans="2:24" ht="13.5" thickBot="1" x14ac:dyDescent="0.3">
      <c r="B123" s="21"/>
      <c r="C123" s="161"/>
      <c r="D123" s="217"/>
      <c r="E123" s="218"/>
      <c r="F123" s="219"/>
      <c r="G123" s="11"/>
      <c r="H123" s="208"/>
      <c r="I123" s="10"/>
      <c r="J123" s="220"/>
      <c r="K123" s="221"/>
      <c r="L123" s="24"/>
      <c r="M123" s="209"/>
      <c r="N123" s="209"/>
      <c r="O123" s="210"/>
      <c r="P123" s="14"/>
      <c r="Q123" s="172" t="s">
        <v>307</v>
      </c>
      <c r="R123" s="170">
        <f t="shared" ref="R123:W123" ca="1" si="31">R122/S120</f>
        <v>1.5568862275449102E-2</v>
      </c>
      <c r="S123" s="170">
        <f t="shared" ca="1" si="31"/>
        <v>0.81482399603371347</v>
      </c>
      <c r="T123" s="170">
        <f t="shared" ca="1" si="31"/>
        <v>1.4985991594956973</v>
      </c>
      <c r="U123" s="170">
        <f t="shared" ca="1" si="31"/>
        <v>0.63817142857142861</v>
      </c>
      <c r="V123" s="170">
        <f t="shared" ca="1" si="31"/>
        <v>0.79279999999999995</v>
      </c>
      <c r="W123" s="170">
        <f t="shared" ca="1" si="31"/>
        <v>2.3394871794871794</v>
      </c>
      <c r="X123" s="170" t="e">
        <f ca="1">X122/Y118</f>
        <v>#DIV/0!</v>
      </c>
    </row>
    <row r="124" spans="2:24" ht="13" x14ac:dyDescent="0.25">
      <c r="B124" s="21"/>
      <c r="C124" s="161"/>
      <c r="D124" s="217"/>
      <c r="E124" s="218"/>
      <c r="F124" s="219"/>
      <c r="G124" s="11"/>
      <c r="H124" s="208"/>
      <c r="I124" s="10"/>
      <c r="L124" s="24"/>
      <c r="O124" s="210"/>
      <c r="P124" s="14"/>
      <c r="T124" s="19"/>
      <c r="U124" s="19"/>
    </row>
    <row r="125" spans="2:24" ht="13.5" thickBot="1" x14ac:dyDescent="0.3">
      <c r="B125" s="154"/>
      <c r="C125" s="162"/>
      <c r="D125" s="191"/>
      <c r="E125" s="192"/>
      <c r="F125" s="193"/>
      <c r="G125" s="191"/>
      <c r="H125" s="187"/>
      <c r="I125" s="187"/>
      <c r="J125" s="187"/>
      <c r="K125" s="187"/>
      <c r="L125" s="188"/>
      <c r="M125" s="199"/>
      <c r="N125" s="199"/>
      <c r="O125" s="200"/>
      <c r="P125" s="14"/>
      <c r="Q125" s="14"/>
      <c r="R125" s="112"/>
      <c r="S125" s="108"/>
      <c r="T125" s="47"/>
      <c r="U125" s="108"/>
      <c r="V125" s="108"/>
      <c r="W125" s="47"/>
    </row>
    <row r="127" spans="2:24" ht="13" thickBot="1" x14ac:dyDescent="0.3"/>
    <row r="128" spans="2:24" ht="15" customHeight="1" thickBot="1" x14ac:dyDescent="0.3">
      <c r="B128" s="311" t="s">
        <v>4</v>
      </c>
      <c r="C128" s="313" t="s">
        <v>3</v>
      </c>
      <c r="D128" s="315" t="s">
        <v>2</v>
      </c>
      <c r="E128" s="307" t="s">
        <v>12</v>
      </c>
      <c r="F128" s="307" t="s">
        <v>13</v>
      </c>
      <c r="G128" s="307" t="s">
        <v>14</v>
      </c>
      <c r="H128" s="307" t="s">
        <v>15</v>
      </c>
      <c r="I128" s="307" t="s">
        <v>295</v>
      </c>
      <c r="J128" s="309" t="s">
        <v>240</v>
      </c>
      <c r="K128" s="309" t="s">
        <v>288</v>
      </c>
      <c r="L128" s="305" t="s">
        <v>308</v>
      </c>
      <c r="M128" s="309" t="s">
        <v>250</v>
      </c>
      <c r="N128" s="309" t="s">
        <v>251</v>
      </c>
      <c r="O128" s="305" t="s">
        <v>259</v>
      </c>
      <c r="R128" s="163"/>
      <c r="S128" s="163"/>
      <c r="T128" s="277"/>
      <c r="U128" s="163"/>
      <c r="V128" s="163"/>
      <c r="W128" s="237"/>
      <c r="X128" s="163"/>
    </row>
    <row r="129" spans="2:25" ht="15" customHeight="1" thickBot="1" x14ac:dyDescent="0.3">
      <c r="B129" s="312"/>
      <c r="C129" s="314"/>
      <c r="D129" s="316"/>
      <c r="E129" s="308"/>
      <c r="F129" s="308"/>
      <c r="G129" s="308" t="s">
        <v>1</v>
      </c>
      <c r="H129" s="308" t="s">
        <v>1</v>
      </c>
      <c r="I129" s="308"/>
      <c r="J129" s="310"/>
      <c r="K129" s="310"/>
      <c r="L129" s="322"/>
      <c r="M129" s="317"/>
      <c r="N129" s="317"/>
      <c r="O129" s="306"/>
      <c r="R129" s="164">
        <v>44348</v>
      </c>
      <c r="S129" s="165">
        <v>44378</v>
      </c>
      <c r="T129" s="165">
        <v>44409</v>
      </c>
      <c r="U129" s="165">
        <v>44440</v>
      </c>
      <c r="V129" s="165">
        <v>44470</v>
      </c>
      <c r="W129" s="165">
        <v>44501</v>
      </c>
      <c r="X129" s="166">
        <v>44531</v>
      </c>
    </row>
    <row r="130" spans="2:25" ht="13.5" thickBot="1" x14ac:dyDescent="0.3">
      <c r="B130" s="296" t="s">
        <v>207</v>
      </c>
      <c r="C130" s="31" t="s">
        <v>208</v>
      </c>
      <c r="D130" s="123" t="s">
        <v>345</v>
      </c>
      <c r="E130" s="152">
        <v>1717</v>
      </c>
      <c r="F130" s="149">
        <v>45016</v>
      </c>
      <c r="G130" s="8">
        <f ca="1">TODAY()-F130</f>
        <v>-532</v>
      </c>
      <c r="H130" s="147">
        <f ca="1">G130/30</f>
        <v>-17.733333333333334</v>
      </c>
      <c r="I130" s="7">
        <f>F130-30*9</f>
        <v>44746</v>
      </c>
      <c r="J130" s="143">
        <v>0</v>
      </c>
      <c r="K130" s="174" t="s">
        <v>258</v>
      </c>
      <c r="L130" s="30"/>
      <c r="M130" s="198"/>
      <c r="N130" s="198"/>
      <c r="O130" s="197"/>
      <c r="Q130" s="172" t="s">
        <v>303</v>
      </c>
      <c r="R130" s="168" t="e">
        <f>SUM(#REF!)+C131</f>
        <v>#REF!</v>
      </c>
      <c r="S130" s="169">
        <v>1365</v>
      </c>
      <c r="T130" s="169">
        <v>0</v>
      </c>
      <c r="U130" s="169">
        <v>1464</v>
      </c>
      <c r="V130" s="169">
        <v>2027</v>
      </c>
      <c r="W130" s="169">
        <f ca="1">V134</f>
        <v>1915</v>
      </c>
      <c r="X130" s="169">
        <f ca="1">W134</f>
        <v>1877</v>
      </c>
    </row>
    <row r="131" spans="2:25" ht="13.5" thickBot="1" x14ac:dyDescent="0.3">
      <c r="B131" s="20" t="s">
        <v>22</v>
      </c>
      <c r="C131" s="32">
        <f>SUMIF(Venda!$A:$A,$B130,Venda!$I:$I)*-1</f>
        <v>317</v>
      </c>
      <c r="D131" s="59" t="s">
        <v>345</v>
      </c>
      <c r="E131" s="126">
        <v>776</v>
      </c>
      <c r="F131" s="125">
        <v>45016</v>
      </c>
      <c r="G131" s="8">
        <f ca="1">TODAY()-F131</f>
        <v>-532</v>
      </c>
      <c r="H131" s="147">
        <f ca="1">G131/30</f>
        <v>-17.733333333333334</v>
      </c>
      <c r="I131" s="7">
        <f>F131-30*9</f>
        <v>44746</v>
      </c>
      <c r="J131" s="184">
        <v>4</v>
      </c>
      <c r="K131" s="184" t="s">
        <v>255</v>
      </c>
      <c r="L131" s="30"/>
      <c r="M131" s="198"/>
      <c r="N131" s="198"/>
      <c r="O131" s="197"/>
      <c r="Q131" s="172" t="s">
        <v>304</v>
      </c>
      <c r="R131" s="170" t="e">
        <f t="shared" ref="R131:X131" si="32">R130/R132</f>
        <v>#REF!</v>
      </c>
      <c r="S131" s="170">
        <f t="shared" si="32"/>
        <v>1.002939015429831</v>
      </c>
      <c r="T131" s="170">
        <f t="shared" si="32"/>
        <v>0</v>
      </c>
      <c r="U131" s="170">
        <f t="shared" si="32"/>
        <v>0.92834495878249845</v>
      </c>
      <c r="V131" s="170">
        <f t="shared" si="32"/>
        <v>1.3826739427012278</v>
      </c>
      <c r="W131" s="170">
        <f t="shared" ca="1" si="32"/>
        <v>1.209728363866077</v>
      </c>
      <c r="X131" s="170">
        <f t="shared" ca="1" si="32"/>
        <v>2.8183183183183185</v>
      </c>
    </row>
    <row r="132" spans="2:25" ht="13.5" thickBot="1" x14ac:dyDescent="0.35">
      <c r="B132" s="20" t="s">
        <v>24</v>
      </c>
      <c r="C132" s="32">
        <f>C133-C131</f>
        <v>-317</v>
      </c>
      <c r="D132" s="61" t="s">
        <v>345</v>
      </c>
      <c r="E132" s="206">
        <v>578</v>
      </c>
      <c r="F132" s="207">
        <v>45016</v>
      </c>
      <c r="G132" s="11">
        <f ca="1">TODAY()-F132</f>
        <v>-532</v>
      </c>
      <c r="H132" s="208">
        <f ca="1">G132/30</f>
        <v>-17.733333333333334</v>
      </c>
      <c r="I132" s="10">
        <f>F132-30*9</f>
        <v>44746</v>
      </c>
      <c r="J132" s="185"/>
      <c r="K132" s="186"/>
      <c r="L132" s="30"/>
      <c r="M132" s="198"/>
      <c r="N132" s="198"/>
      <c r="O132" s="197"/>
      <c r="Q132" s="172" t="s">
        <v>302</v>
      </c>
      <c r="R132" s="167">
        <f>INDEX(Forecast!$E$3:$AB$25,MATCH($B130,Forecast!$A$3:$A$25,0),MATCH(R$5,Forecast!$E$2:$AB$2,0))</f>
        <v>1241</v>
      </c>
      <c r="S132" s="167">
        <f>INDEX(Forecast!$E$3:$AB$25,MATCH($B130,Forecast!$A$3:$A$25,0),MATCH(S$5,Forecast!$E$2:$AB$2,0))</f>
        <v>1361</v>
      </c>
      <c r="T132" s="167">
        <f>INDEX(Forecast!$E$3:$AB$25,MATCH($B130,Forecast!$A$3:$A$25,0),MATCH(T$5,Forecast!$E$2:$AB$2,0))</f>
        <v>1786</v>
      </c>
      <c r="U132" s="167">
        <f>INDEX(Forecast!$E$3:$AB$25,MATCH($B130,Forecast!$A$3:$A$25,0),MATCH(U$5,Forecast!$E$2:$AB$2,0))</f>
        <v>1577</v>
      </c>
      <c r="V132" s="167">
        <f>INDEX(Forecast!$E$3:$AB$25,MATCH($B130,Forecast!$A$3:$A$25,0),MATCH(V$5,Forecast!$E$2:$AB$2,0))</f>
        <v>1466</v>
      </c>
      <c r="W132" s="167">
        <f>INDEX(Forecast!$E$3:$AB$25,MATCH($B130,Forecast!$A$3:$A$25,0),MATCH(W$5,Forecast!$E$2:$AB$2,0))</f>
        <v>1583</v>
      </c>
      <c r="X132" s="167">
        <f>INDEX(Forecast!$E$3:$AB$25,MATCH($B130,Forecast!$A$3:$A$25,0),MATCH(X$5,Forecast!$E$2:$AB$2,0))</f>
        <v>666</v>
      </c>
    </row>
    <row r="133" spans="2:25" ht="13.5" thickBot="1" x14ac:dyDescent="0.3">
      <c r="B133" s="20" t="s">
        <v>260</v>
      </c>
      <c r="C133" s="32">
        <f>VLOOKUP($B130,Colocado!$A:$C,3,0)</f>
        <v>0</v>
      </c>
      <c r="L133" s="30"/>
      <c r="M133" s="198"/>
      <c r="N133" s="198"/>
      <c r="O133" s="197"/>
      <c r="P133" s="14"/>
      <c r="Q133" s="172" t="s">
        <v>305</v>
      </c>
      <c r="R133" s="168">
        <v>0</v>
      </c>
      <c r="S133" s="168"/>
      <c r="T133" s="168">
        <v>2762</v>
      </c>
      <c r="U133" s="168">
        <f>SUM(E130)</f>
        <v>1717</v>
      </c>
      <c r="V133" s="168">
        <f>SUM(E131:E132)</f>
        <v>1354</v>
      </c>
      <c r="W133" s="168">
        <f>776+769</f>
        <v>1545</v>
      </c>
      <c r="X133" s="168">
        <v>1666</v>
      </c>
    </row>
    <row r="134" spans="2:25" ht="13.5" thickBot="1" x14ac:dyDescent="0.3">
      <c r="B134" s="21"/>
      <c r="C134" s="161"/>
      <c r="D134" s="61"/>
      <c r="E134" s="206"/>
      <c r="F134" s="207"/>
      <c r="G134" s="11"/>
      <c r="H134" s="208"/>
      <c r="I134" s="10"/>
      <c r="J134" s="184"/>
      <c r="K134" s="184"/>
      <c r="L134" s="30"/>
      <c r="M134" s="198"/>
      <c r="N134" s="198"/>
      <c r="O134" s="197"/>
      <c r="P134" s="14"/>
      <c r="Q134" s="172" t="s">
        <v>306</v>
      </c>
      <c r="R134" s="171" t="e">
        <f ca="1">IF(R$5=$B$2,IF($C133&lt;R132,R130+R133-R132,R130+R133-$C133),R130+R133-R132)</f>
        <v>#REF!</v>
      </c>
      <c r="S134" s="171">
        <f ca="1">IF(S$5=$B$2,IF($C133&lt;S132,S130+S133-S132,S130+S133-$C133),S130+S133-S132)</f>
        <v>4</v>
      </c>
      <c r="T134" s="171">
        <f ca="1">IF(T$5=$B$2,IF($C131&lt;T132,T130+T133-T132,T130+T133-$C131),T130+T133-T132)</f>
        <v>976</v>
      </c>
      <c r="U134" s="171">
        <f ca="1">IF(U$5=$B$2,IF($C131&lt;U132,U130+U133-U132,U130+U133-$C131),U130+U133-U132)</f>
        <v>1604</v>
      </c>
      <c r="V134" s="171">
        <f ca="1">IF(V$5=$B$2,IF($C131&lt;V132,V130+V133-V132,V130+V133-$C131),V130+V133-V132)</f>
        <v>1915</v>
      </c>
      <c r="W134" s="171">
        <f ca="1">IF(W$5=$B$2,IF($C131&lt;W132,W130+W133-W132,W130+W133-$C131),W130+W133-W132)</f>
        <v>1877</v>
      </c>
      <c r="X134" s="171">
        <f ca="1">IF(X$5=$B$2,IF($C131&lt;X132,X130+X133-X132,X130+X133-$C131),X130+X133-X132)</f>
        <v>2877</v>
      </c>
    </row>
    <row r="135" spans="2:25" ht="13.5" thickBot="1" x14ac:dyDescent="0.3">
      <c r="B135" s="21"/>
      <c r="C135" s="161"/>
      <c r="L135" s="30"/>
      <c r="M135" s="198"/>
      <c r="N135" s="198"/>
      <c r="O135" s="197"/>
      <c r="P135" s="14"/>
      <c r="Q135" s="172" t="s">
        <v>307</v>
      </c>
      <c r="R135" s="170" t="e">
        <f t="shared" ref="R135:W135" ca="1" si="33">R134/S132</f>
        <v>#REF!</v>
      </c>
      <c r="S135" s="170">
        <f t="shared" ca="1" si="33"/>
        <v>2.2396416573348264E-3</v>
      </c>
      <c r="T135" s="170">
        <f t="shared" ca="1" si="33"/>
        <v>0.61889663918833226</v>
      </c>
      <c r="U135" s="170">
        <f t="shared" ca="1" si="33"/>
        <v>1.0941336971350615</v>
      </c>
      <c r="V135" s="170">
        <f t="shared" ca="1" si="33"/>
        <v>1.209728363866077</v>
      </c>
      <c r="W135" s="170">
        <f t="shared" ca="1" si="33"/>
        <v>2.8183183183183185</v>
      </c>
      <c r="X135" s="170" t="e">
        <f ca="1">X134/Y130</f>
        <v>#DIV/0!</v>
      </c>
    </row>
    <row r="136" spans="2:25" ht="13" x14ac:dyDescent="0.25">
      <c r="B136" s="21"/>
      <c r="C136" s="161"/>
      <c r="D136" s="59"/>
      <c r="E136" s="126"/>
      <c r="F136" s="125"/>
      <c r="G136" s="59"/>
      <c r="H136" s="184"/>
      <c r="I136" s="184"/>
      <c r="J136" s="184"/>
      <c r="K136" s="184"/>
      <c r="L136" s="30"/>
      <c r="M136" s="198"/>
      <c r="N136" s="198"/>
      <c r="O136" s="197"/>
      <c r="P136" s="14"/>
    </row>
    <row r="137" spans="2:25" ht="13.5" thickBot="1" x14ac:dyDescent="0.3">
      <c r="B137" s="154"/>
      <c r="C137" s="162"/>
      <c r="D137" s="191"/>
      <c r="E137" s="192"/>
      <c r="F137" s="193"/>
      <c r="G137" s="191"/>
      <c r="H137" s="187"/>
      <c r="I137" s="187"/>
      <c r="J137" s="187"/>
      <c r="K137" s="187"/>
      <c r="L137" s="188"/>
      <c r="M137" s="199"/>
      <c r="N137" s="199"/>
      <c r="O137" s="200"/>
      <c r="P137" s="14"/>
      <c r="Q137" s="14"/>
      <c r="R137" s="112"/>
      <c r="S137" s="108"/>
      <c r="U137" s="108"/>
      <c r="V137" s="108"/>
      <c r="W137" s="47"/>
    </row>
    <row r="139" spans="2:25" ht="13.5" thickBot="1" x14ac:dyDescent="0.35">
      <c r="T139" s="47"/>
      <c r="V139" s="19"/>
      <c r="X139" s="251"/>
    </row>
    <row r="140" spans="2:25" ht="15" customHeight="1" thickBot="1" x14ac:dyDescent="0.3">
      <c r="B140" s="311" t="s">
        <v>4</v>
      </c>
      <c r="C140" s="313" t="s">
        <v>3</v>
      </c>
      <c r="D140" s="315" t="s">
        <v>2</v>
      </c>
      <c r="E140" s="307" t="s">
        <v>12</v>
      </c>
      <c r="F140" s="307" t="s">
        <v>13</v>
      </c>
      <c r="G140" s="307" t="s">
        <v>14</v>
      </c>
      <c r="H140" s="307" t="s">
        <v>15</v>
      </c>
      <c r="I140" s="307" t="s">
        <v>295</v>
      </c>
      <c r="J140" s="309" t="s">
        <v>240</v>
      </c>
      <c r="K140" s="309" t="s">
        <v>288</v>
      </c>
      <c r="L140" s="305" t="s">
        <v>308</v>
      </c>
      <c r="M140" s="309" t="s">
        <v>250</v>
      </c>
      <c r="N140" s="309" t="s">
        <v>251</v>
      </c>
      <c r="O140" s="305" t="s">
        <v>259</v>
      </c>
      <c r="R140" s="163"/>
      <c r="S140" s="163"/>
      <c r="T140" s="248"/>
      <c r="U140" s="248"/>
      <c r="V140" s="248"/>
      <c r="W140" s="248"/>
      <c r="X140" s="248"/>
    </row>
    <row r="141" spans="2:25" ht="15" customHeight="1" thickBot="1" x14ac:dyDescent="0.3">
      <c r="B141" s="312"/>
      <c r="C141" s="314"/>
      <c r="D141" s="316"/>
      <c r="E141" s="308"/>
      <c r="F141" s="308"/>
      <c r="G141" s="308" t="s">
        <v>1</v>
      </c>
      <c r="H141" s="308" t="s">
        <v>1</v>
      </c>
      <c r="I141" s="308"/>
      <c r="J141" s="310"/>
      <c r="K141" s="310"/>
      <c r="L141" s="322"/>
      <c r="M141" s="317"/>
      <c r="N141" s="317"/>
      <c r="O141" s="306"/>
      <c r="R141" s="164">
        <v>44348</v>
      </c>
      <c r="S141" s="165">
        <v>44378</v>
      </c>
      <c r="T141" s="165">
        <v>44409</v>
      </c>
      <c r="U141" s="165">
        <v>44440</v>
      </c>
      <c r="V141" s="165">
        <v>44470</v>
      </c>
      <c r="W141" s="165">
        <v>44501</v>
      </c>
      <c r="X141" s="166">
        <v>44531</v>
      </c>
      <c r="Y141" s="165">
        <v>44562</v>
      </c>
    </row>
    <row r="142" spans="2:25" ht="13.5" thickBot="1" x14ac:dyDescent="0.3">
      <c r="B142" s="296" t="s">
        <v>205</v>
      </c>
      <c r="C142" s="31" t="s">
        <v>206</v>
      </c>
      <c r="D142" s="124" t="s">
        <v>265</v>
      </c>
      <c r="E142" s="114">
        <v>321</v>
      </c>
      <c r="F142" s="142">
        <v>44651</v>
      </c>
      <c r="G142" s="8">
        <f t="shared" ref="G142:G147" ca="1" si="34">TODAY()-F142</f>
        <v>-167</v>
      </c>
      <c r="H142" s="147">
        <f t="shared" ref="H142:H147" ca="1" si="35">G142/30</f>
        <v>-5.5666666666666664</v>
      </c>
      <c r="I142" s="7">
        <f t="shared" ref="I142:I147" si="36">F142-30*9</f>
        <v>44381</v>
      </c>
      <c r="J142" s="143">
        <v>0</v>
      </c>
      <c r="K142" s="174" t="s">
        <v>255</v>
      </c>
      <c r="L142" s="113">
        <v>321</v>
      </c>
      <c r="N142" s="196"/>
      <c r="O142" s="197"/>
      <c r="Q142" s="172" t="s">
        <v>303</v>
      </c>
      <c r="R142" s="168">
        <f>SUM(E142:E143)+C143</f>
        <v>568</v>
      </c>
      <c r="S142" s="169">
        <v>678</v>
      </c>
      <c r="T142" s="169">
        <v>670</v>
      </c>
      <c r="U142" s="169">
        <v>382</v>
      </c>
      <c r="V142" s="169">
        <v>300</v>
      </c>
      <c r="W142" s="169">
        <f ca="1">V146</f>
        <v>414</v>
      </c>
      <c r="X142" s="169">
        <f t="shared" ref="X142" ca="1" si="37">W146</f>
        <v>463</v>
      </c>
      <c r="Y142" s="169">
        <f ca="1">X146+V150</f>
        <v>340</v>
      </c>
    </row>
    <row r="143" spans="2:25" ht="13.5" thickBot="1" x14ac:dyDescent="0.3">
      <c r="B143" s="20" t="s">
        <v>22</v>
      </c>
      <c r="C143" s="32">
        <f>SUMIF(Venda!$A:$A,$B142,Venda!$I:$I)*-1</f>
        <v>34</v>
      </c>
      <c r="D143" s="123" t="s">
        <v>263</v>
      </c>
      <c r="E143" s="152">
        <v>213</v>
      </c>
      <c r="F143" s="149">
        <v>44651</v>
      </c>
      <c r="G143" s="8">
        <f t="shared" ca="1" si="34"/>
        <v>-167</v>
      </c>
      <c r="H143" s="147">
        <f t="shared" ca="1" si="35"/>
        <v>-5.5666666666666664</v>
      </c>
      <c r="I143" s="7">
        <f t="shared" si="36"/>
        <v>44381</v>
      </c>
      <c r="J143" s="143">
        <v>0</v>
      </c>
      <c r="K143" s="174" t="s">
        <v>258</v>
      </c>
      <c r="L143" s="298">
        <v>213</v>
      </c>
      <c r="M143" s="201"/>
      <c r="N143" s="198"/>
      <c r="O143" s="197"/>
      <c r="Q143" s="172" t="s">
        <v>304</v>
      </c>
      <c r="R143" s="170">
        <f t="shared" ref="R143:X143" si="38">R142/R144</f>
        <v>1.2968036529680365</v>
      </c>
      <c r="S143" s="170">
        <f t="shared" si="38"/>
        <v>1.7564766839378239</v>
      </c>
      <c r="T143" s="170">
        <f t="shared" si="38"/>
        <v>2.3263888888888888</v>
      </c>
      <c r="U143" s="170">
        <f t="shared" si="38"/>
        <v>2.4487179487179489</v>
      </c>
      <c r="V143" s="170">
        <f t="shared" si="38"/>
        <v>1</v>
      </c>
      <c r="W143" s="170">
        <f t="shared" ca="1" si="38"/>
        <v>1.4226804123711341</v>
      </c>
      <c r="X143" s="170">
        <f t="shared" ca="1" si="38"/>
        <v>7.0151515151515156</v>
      </c>
      <c r="Y143" s="170">
        <f ca="1">Y142/Y144</f>
        <v>1.4529914529914529</v>
      </c>
    </row>
    <row r="144" spans="2:25" ht="13.5" thickBot="1" x14ac:dyDescent="0.3">
      <c r="B144" s="20" t="s">
        <v>24</v>
      </c>
      <c r="C144" s="32">
        <f>C145-C143</f>
        <v>-34</v>
      </c>
      <c r="D144" s="124" t="s">
        <v>294</v>
      </c>
      <c r="E144" s="114">
        <v>199</v>
      </c>
      <c r="F144" s="142">
        <v>44773</v>
      </c>
      <c r="G144" s="8">
        <f t="shared" ca="1" si="34"/>
        <v>-289</v>
      </c>
      <c r="H144" s="147">
        <f t="shared" ca="1" si="35"/>
        <v>-9.6333333333333329</v>
      </c>
      <c r="I144" s="7">
        <f t="shared" si="36"/>
        <v>44503</v>
      </c>
      <c r="J144" s="143">
        <v>0</v>
      </c>
      <c r="K144" s="174" t="s">
        <v>258</v>
      </c>
      <c r="L144" s="113"/>
      <c r="M144" s="196"/>
      <c r="O144" s="197"/>
      <c r="Q144" s="172" t="s">
        <v>302</v>
      </c>
      <c r="R144" s="167">
        <f>INDEX(Forecast!$E$3:$AB$25,MATCH($B142,Forecast!$A$3:$A$25,0),MATCH(R$5,Forecast!$E$2:$AB$2,0))</f>
        <v>438</v>
      </c>
      <c r="S144" s="167">
        <f>INDEX(Forecast!$E$3:$AB$25,MATCH($B142,Forecast!$A$3:$A$25,0),MATCH(S$5,Forecast!$E$2:$AB$2,0))</f>
        <v>386</v>
      </c>
      <c r="T144" s="167">
        <f>INDEX(Forecast!$E$3:$AB$25,MATCH($B142,Forecast!$A$3:$A$25,0),MATCH(T$5,Forecast!$E$2:$AB$2,0))</f>
        <v>288</v>
      </c>
      <c r="U144" s="167">
        <f>INDEX(Forecast!$E$3:$AB$25,MATCH($B142,Forecast!$A$3:$A$25,0),MATCH(U$5,Forecast!$E$2:$AB$2,0))</f>
        <v>156</v>
      </c>
      <c r="V144" s="167">
        <f>INDEX(Forecast!$E$3:$AB$25,MATCH($B142,Forecast!$A$3:$A$25,0),MATCH(V$5,Forecast!$E$2:$AB$2,0))</f>
        <v>300</v>
      </c>
      <c r="W144" s="167">
        <f>INDEX(Forecast!$E$3:$AB$25,MATCH($B142,Forecast!$A$3:$A$25,0),MATCH(W$5,Forecast!$E$2:$AB$2,0))</f>
        <v>291</v>
      </c>
      <c r="X144" s="167">
        <f>INDEX(Forecast!$E$3:$AB$25,MATCH($B142,Forecast!$A$3:$A$25,0),MATCH(X$5,Forecast!$E$2:$AB$2,0))</f>
        <v>66</v>
      </c>
      <c r="Y144" s="167">
        <f>INDEX(Forecast!$E$3:$AB$25,MATCH($B142,Forecast!$A$3:$A$25,0),MATCH(Y$5,Forecast!$E$2:$AB$2,0))</f>
        <v>234</v>
      </c>
    </row>
    <row r="145" spans="2:25" ht="13.5" thickBot="1" x14ac:dyDescent="0.3">
      <c r="B145" s="20" t="s">
        <v>260</v>
      </c>
      <c r="C145" s="32">
        <f>VLOOKUP($B142,Colocado!$A:$C,3,0)</f>
        <v>0</v>
      </c>
      <c r="D145" s="59" t="s">
        <v>383</v>
      </c>
      <c r="E145" s="126">
        <v>531</v>
      </c>
      <c r="F145" s="125">
        <v>44773</v>
      </c>
      <c r="G145" s="8">
        <f t="shared" ca="1" si="34"/>
        <v>-289</v>
      </c>
      <c r="H145" s="147">
        <f t="shared" ca="1" si="35"/>
        <v>-9.6333333333333329</v>
      </c>
      <c r="I145" s="7">
        <f t="shared" si="36"/>
        <v>44503</v>
      </c>
      <c r="J145" s="185">
        <v>0</v>
      </c>
      <c r="K145" s="174" t="s">
        <v>258</v>
      </c>
      <c r="L145" s="113">
        <v>457</v>
      </c>
      <c r="M145" s="201">
        <f>E145-L145</f>
        <v>74</v>
      </c>
      <c r="N145" s="198"/>
      <c r="O145" s="197"/>
      <c r="P145" s="14"/>
      <c r="Q145" s="172" t="s">
        <v>305</v>
      </c>
      <c r="R145" s="168">
        <v>0</v>
      </c>
      <c r="S145" s="168"/>
      <c r="T145" s="168"/>
      <c r="U145" s="168">
        <f>SUM(E145:E146)</f>
        <v>945</v>
      </c>
      <c r="V145" s="168">
        <v>414</v>
      </c>
      <c r="W145" s="168">
        <v>340</v>
      </c>
      <c r="X145" s="168"/>
      <c r="Y145" s="168"/>
    </row>
    <row r="146" spans="2:25" ht="13.5" thickBot="1" x14ac:dyDescent="0.3">
      <c r="B146" s="21"/>
      <c r="C146" s="161"/>
      <c r="D146" s="59" t="s">
        <v>346</v>
      </c>
      <c r="E146" s="126">
        <v>414</v>
      </c>
      <c r="F146" s="125">
        <v>44834</v>
      </c>
      <c r="G146" s="8">
        <f t="shared" ca="1" si="34"/>
        <v>-350</v>
      </c>
      <c r="H146" s="147">
        <f t="shared" ca="1" si="35"/>
        <v>-11.666666666666666</v>
      </c>
      <c r="I146" s="7">
        <f t="shared" si="36"/>
        <v>44564</v>
      </c>
      <c r="J146" s="185">
        <v>0</v>
      </c>
      <c r="K146" s="174" t="s">
        <v>258</v>
      </c>
      <c r="L146" s="113">
        <f>V150</f>
        <v>-57</v>
      </c>
      <c r="M146" s="323"/>
      <c r="N146" s="324"/>
      <c r="O146" s="325"/>
      <c r="P146" s="14"/>
      <c r="Q146" s="172" t="s">
        <v>306</v>
      </c>
      <c r="R146" s="171">
        <f ca="1">IF(R$5=$B$2,IF($C145&lt;R144,R142+R145-R144,R142+R145-$C145),R142+R145-R144)</f>
        <v>130</v>
      </c>
      <c r="S146" s="171">
        <f t="shared" ref="S146:X146" ca="1" si="39">IF(S$5=$B$2,IF($C143&lt;S144,S142+S145-S144,S142+S145-$C143),S142+S145-S144)</f>
        <v>292</v>
      </c>
      <c r="T146" s="171">
        <f t="shared" ca="1" si="39"/>
        <v>382</v>
      </c>
      <c r="U146" s="171">
        <f t="shared" ca="1" si="39"/>
        <v>1171</v>
      </c>
      <c r="V146" s="171">
        <f t="shared" ca="1" si="39"/>
        <v>414</v>
      </c>
      <c r="W146" s="171">
        <f t="shared" ca="1" si="39"/>
        <v>463</v>
      </c>
      <c r="X146" s="171">
        <f t="shared" ca="1" si="39"/>
        <v>397</v>
      </c>
      <c r="Y146" s="171">
        <f ca="1">IF(Y$5=$B$2,IF($C143&lt;Y144,Y142+Y145-Y144,Y142+Y145-$C143),Y142+Y145-Y144)</f>
        <v>106</v>
      </c>
    </row>
    <row r="147" spans="2:25" ht="13.5" thickBot="1" x14ac:dyDescent="0.3">
      <c r="B147" s="21"/>
      <c r="C147" s="161"/>
      <c r="D147" s="61" t="s">
        <v>854</v>
      </c>
      <c r="E147" s="206">
        <v>340</v>
      </c>
      <c r="F147" s="207">
        <v>44985</v>
      </c>
      <c r="G147" s="11">
        <f t="shared" ca="1" si="34"/>
        <v>-501</v>
      </c>
      <c r="H147" s="208">
        <f t="shared" ca="1" si="35"/>
        <v>-16.7</v>
      </c>
      <c r="I147" s="10">
        <f t="shared" si="36"/>
        <v>44715</v>
      </c>
      <c r="L147" s="113"/>
      <c r="M147" s="196"/>
      <c r="O147" s="197"/>
      <c r="P147" s="14"/>
      <c r="Q147" s="172" t="s">
        <v>307</v>
      </c>
      <c r="R147" s="170">
        <f t="shared" ref="R147:W147" ca="1" si="40">R146/S144</f>
        <v>0.33678756476683935</v>
      </c>
      <c r="S147" s="170">
        <f t="shared" ca="1" si="40"/>
        <v>1.0138888888888888</v>
      </c>
      <c r="T147" s="170">
        <f t="shared" ca="1" si="40"/>
        <v>2.4487179487179489</v>
      </c>
      <c r="U147" s="170">
        <f t="shared" ca="1" si="40"/>
        <v>3.9033333333333333</v>
      </c>
      <c r="V147" s="170">
        <f t="shared" ca="1" si="40"/>
        <v>1.4226804123711341</v>
      </c>
      <c r="W147" s="170">
        <f t="shared" ca="1" si="40"/>
        <v>7.0151515151515156</v>
      </c>
      <c r="X147" s="170">
        <f ca="1">X146/Y142</f>
        <v>1.1676470588235295</v>
      </c>
      <c r="Y147" s="170" t="e">
        <f ca="1">Y146/Z142</f>
        <v>#DIV/0!</v>
      </c>
    </row>
    <row r="148" spans="2:25" ht="13" x14ac:dyDescent="0.25">
      <c r="B148" s="21"/>
      <c r="C148" s="161"/>
      <c r="L148" s="113"/>
      <c r="M148" s="196"/>
      <c r="O148" s="197"/>
      <c r="P148" s="14"/>
      <c r="V148" s="19"/>
    </row>
    <row r="149" spans="2:25" ht="13.5" thickBot="1" x14ac:dyDescent="0.3">
      <c r="B149" s="154"/>
      <c r="C149" s="162"/>
      <c r="D149" s="191"/>
      <c r="E149" s="192"/>
      <c r="F149" s="193"/>
      <c r="G149" s="191"/>
      <c r="H149" s="187"/>
      <c r="I149" s="187"/>
      <c r="J149" s="187"/>
      <c r="K149" s="187"/>
      <c r="L149" s="194"/>
      <c r="M149" s="199"/>
      <c r="N149" s="199"/>
      <c r="O149" s="200"/>
      <c r="P149" s="14"/>
      <c r="Q149" s="14" t="s">
        <v>322</v>
      </c>
      <c r="R149" s="232"/>
      <c r="S149" s="34">
        <f>SUM(T144:V144)-E144-E145</f>
        <v>14</v>
      </c>
      <c r="V149" s="19">
        <f>SUM(V144)-SUM(E144:E145)-C143</f>
        <v>-464</v>
      </c>
      <c r="W149" s="47"/>
    </row>
    <row r="150" spans="2:25" x14ac:dyDescent="0.25">
      <c r="V150" s="19">
        <f>SUM(W144:X144)-E146</f>
        <v>-57</v>
      </c>
    </row>
    <row r="151" spans="2:25" ht="13" x14ac:dyDescent="0.3">
      <c r="S151" s="241"/>
      <c r="V151" s="266">
        <f>SUM(V149:V150)</f>
        <v>-521</v>
      </c>
    </row>
  </sheetData>
  <mergeCells count="169">
    <mergeCell ref="M146:O146"/>
    <mergeCell ref="J140:J141"/>
    <mergeCell ref="K140:K141"/>
    <mergeCell ref="L140:L141"/>
    <mergeCell ref="M140:M141"/>
    <mergeCell ref="N140:N141"/>
    <mergeCell ref="O140:O141"/>
    <mergeCell ref="N128:N129"/>
    <mergeCell ref="O128:O129"/>
    <mergeCell ref="J128:J129"/>
    <mergeCell ref="K128:K129"/>
    <mergeCell ref="L128:L129"/>
    <mergeCell ref="M128:M12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H128:H129"/>
    <mergeCell ref="I128:I129"/>
    <mergeCell ref="B128:B129"/>
    <mergeCell ref="C128:C129"/>
    <mergeCell ref="D128:D129"/>
    <mergeCell ref="E128:E129"/>
    <mergeCell ref="F128:F129"/>
    <mergeCell ref="G128:G129"/>
    <mergeCell ref="J116:J117"/>
    <mergeCell ref="K116:K117"/>
    <mergeCell ref="L116:L117"/>
    <mergeCell ref="M116:M117"/>
    <mergeCell ref="N116:N117"/>
    <mergeCell ref="O116:O117"/>
    <mergeCell ref="N104:N105"/>
    <mergeCell ref="O104:O105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H104:H105"/>
    <mergeCell ref="I104:I105"/>
    <mergeCell ref="J104:J105"/>
    <mergeCell ref="K104:K105"/>
    <mergeCell ref="L104:L105"/>
    <mergeCell ref="M104:M105"/>
    <mergeCell ref="B104:B105"/>
    <mergeCell ref="C104:C105"/>
    <mergeCell ref="D104:D105"/>
    <mergeCell ref="E104:E105"/>
    <mergeCell ref="F104:F105"/>
    <mergeCell ref="G104:G105"/>
    <mergeCell ref="J92:J93"/>
    <mergeCell ref="K92:K93"/>
    <mergeCell ref="L92:L93"/>
    <mergeCell ref="M92:M93"/>
    <mergeCell ref="N92:N93"/>
    <mergeCell ref="O92:O93"/>
    <mergeCell ref="N80:N81"/>
    <mergeCell ref="O80:O81"/>
    <mergeCell ref="B92:B93"/>
    <mergeCell ref="C92:C93"/>
    <mergeCell ref="D92:D93"/>
    <mergeCell ref="E92:E93"/>
    <mergeCell ref="F92:F93"/>
    <mergeCell ref="G92:G93"/>
    <mergeCell ref="H92:H93"/>
    <mergeCell ref="I92:I93"/>
    <mergeCell ref="H80:H81"/>
    <mergeCell ref="I80:I81"/>
    <mergeCell ref="J80:J81"/>
    <mergeCell ref="K80:K81"/>
    <mergeCell ref="L80:L81"/>
    <mergeCell ref="M80:M81"/>
    <mergeCell ref="B80:B81"/>
    <mergeCell ref="C80:C81"/>
    <mergeCell ref="D80:D81"/>
    <mergeCell ref="E80:E81"/>
    <mergeCell ref="F80:F81"/>
    <mergeCell ref="G80:G81"/>
    <mergeCell ref="B68:B69"/>
    <mergeCell ref="C68:C69"/>
    <mergeCell ref="D68:D69"/>
    <mergeCell ref="E68:E69"/>
    <mergeCell ref="F68:F69"/>
    <mergeCell ref="G68:G69"/>
    <mergeCell ref="H68:H69"/>
    <mergeCell ref="I68:I69"/>
    <mergeCell ref="H56:H57"/>
    <mergeCell ref="I56:I57"/>
    <mergeCell ref="B56:B57"/>
    <mergeCell ref="C56:C57"/>
    <mergeCell ref="L44:L45"/>
    <mergeCell ref="M44:M45"/>
    <mergeCell ref="N44:N45"/>
    <mergeCell ref="J68:J69"/>
    <mergeCell ref="K68:K69"/>
    <mergeCell ref="L68:L69"/>
    <mergeCell ref="M68:M69"/>
    <mergeCell ref="N68:N69"/>
    <mergeCell ref="O68:O69"/>
    <mergeCell ref="N56:N57"/>
    <mergeCell ref="O56:O57"/>
    <mergeCell ref="J56:J57"/>
    <mergeCell ref="K56:K57"/>
    <mergeCell ref="L56:L57"/>
    <mergeCell ref="M56:M57"/>
    <mergeCell ref="E32:E33"/>
    <mergeCell ref="F32:F33"/>
    <mergeCell ref="G32:G33"/>
    <mergeCell ref="D56:D57"/>
    <mergeCell ref="E56:E57"/>
    <mergeCell ref="F56:F57"/>
    <mergeCell ref="G56:G57"/>
    <mergeCell ref="J44:J45"/>
    <mergeCell ref="K44:K45"/>
    <mergeCell ref="E4:E5"/>
    <mergeCell ref="F4:F5"/>
    <mergeCell ref="G4:G5"/>
    <mergeCell ref="J20:J21"/>
    <mergeCell ref="O44:O45"/>
    <mergeCell ref="N32:N33"/>
    <mergeCell ref="O32:O33"/>
    <mergeCell ref="B44:B45"/>
    <mergeCell ref="C44:C45"/>
    <mergeCell ref="D44:D45"/>
    <mergeCell ref="E44:E45"/>
    <mergeCell ref="F44:F45"/>
    <mergeCell ref="G44:G45"/>
    <mergeCell ref="H44:H45"/>
    <mergeCell ref="I44:I45"/>
    <mergeCell ref="H32:H33"/>
    <mergeCell ref="I32:I33"/>
    <mergeCell ref="J32:J33"/>
    <mergeCell ref="K32:K33"/>
    <mergeCell ref="L32:L33"/>
    <mergeCell ref="M32:M33"/>
    <mergeCell ref="B32:B33"/>
    <mergeCell ref="C32:C33"/>
    <mergeCell ref="D32:D33"/>
    <mergeCell ref="K20:K21"/>
    <mergeCell ref="L20:L21"/>
    <mergeCell ref="M20:M21"/>
    <mergeCell ref="N20:N21"/>
    <mergeCell ref="O20:O21"/>
    <mergeCell ref="N4:N5"/>
    <mergeCell ref="O4:O5"/>
    <mergeCell ref="B20:B21"/>
    <mergeCell ref="C20:C21"/>
    <mergeCell ref="D20:D21"/>
    <mergeCell ref="E20:E21"/>
    <mergeCell ref="F20:F21"/>
    <mergeCell ref="G20:G21"/>
    <mergeCell ref="H20:H21"/>
    <mergeCell ref="I20:I21"/>
    <mergeCell ref="H4:H5"/>
    <mergeCell ref="I4:I5"/>
    <mergeCell ref="J4:J5"/>
    <mergeCell ref="K4:K5"/>
    <mergeCell ref="L4:L5"/>
    <mergeCell ref="M4:M5"/>
    <mergeCell ref="B4:B5"/>
    <mergeCell ref="C4:C5"/>
    <mergeCell ref="D4:D5"/>
  </mergeCells>
  <conditionalFormatting sqref="R7:X7">
    <cfRule type="cellIs" dxfId="96" priority="139" operator="lessThan">
      <formula>1</formula>
    </cfRule>
  </conditionalFormatting>
  <conditionalFormatting sqref="K18:K19 K64:K65 K87:K89 K125 K60 K84 K1:K5 K136:K137 K149 K36:K43 K30:K34 K134 K130:K132">
    <cfRule type="cellIs" dxfId="95" priority="138" operator="equal">
      <formula>"BR08"</formula>
    </cfRule>
  </conditionalFormatting>
  <conditionalFormatting sqref="R23:X23">
    <cfRule type="cellIs" dxfId="94" priority="137" operator="lessThan">
      <formula>1</formula>
    </cfRule>
  </conditionalFormatting>
  <conditionalFormatting sqref="K20:K29">
    <cfRule type="cellIs" dxfId="93" priority="136" operator="equal">
      <formula>"BR08"</formula>
    </cfRule>
  </conditionalFormatting>
  <conditionalFormatting sqref="R35:X35">
    <cfRule type="cellIs" dxfId="92" priority="135" operator="lessThan">
      <formula>1</formula>
    </cfRule>
  </conditionalFormatting>
  <conditionalFormatting sqref="L87:L88 L82:L84 L58:L64 L6:L7 L75:L76 L73 L70 L136 L130:L134 L146 L142:L144 L118:L122 L109:L112 L106:L107">
    <cfRule type="cellIs" dxfId="91" priority="87" operator="greaterThan">
      <formula>0</formula>
    </cfRule>
  </conditionalFormatting>
  <conditionalFormatting sqref="L34:L40">
    <cfRule type="cellIs" dxfId="90" priority="131" operator="greaterThan">
      <formula>0</formula>
    </cfRule>
  </conditionalFormatting>
  <conditionalFormatting sqref="L22:L28">
    <cfRule type="cellIs" dxfId="89" priority="132" operator="greaterThan">
      <formula>0</formula>
    </cfRule>
  </conditionalFormatting>
  <conditionalFormatting sqref="R47:X47">
    <cfRule type="cellIs" dxfId="88" priority="129" operator="lessThan">
      <formula>1</formula>
    </cfRule>
  </conditionalFormatting>
  <conditionalFormatting sqref="K44:K45 K47:K53">
    <cfRule type="cellIs" dxfId="87" priority="128" operator="equal">
      <formula>"BR08"</formula>
    </cfRule>
  </conditionalFormatting>
  <conditionalFormatting sqref="L46:L52">
    <cfRule type="cellIs" dxfId="86" priority="127" operator="greaterThan">
      <formula>0</formula>
    </cfRule>
  </conditionalFormatting>
  <conditionalFormatting sqref="K46">
    <cfRule type="cellIs" dxfId="85" priority="126" operator="equal">
      <formula>"BR08"</formula>
    </cfRule>
  </conditionalFormatting>
  <conditionalFormatting sqref="R60:X60">
    <cfRule type="cellIs" dxfId="84" priority="125" operator="lessThan">
      <formula>1</formula>
    </cfRule>
  </conditionalFormatting>
  <conditionalFormatting sqref="K56:K57">
    <cfRule type="cellIs" dxfId="83" priority="124" operator="equal">
      <formula>"BR08"</formula>
    </cfRule>
  </conditionalFormatting>
  <conditionalFormatting sqref="R71:X71">
    <cfRule type="cellIs" dxfId="82" priority="120" operator="lessThan">
      <formula>1</formula>
    </cfRule>
  </conditionalFormatting>
  <conditionalFormatting sqref="K68:K69 K75:K77">
    <cfRule type="cellIs" dxfId="81" priority="119" operator="equal">
      <formula>"BR08"</formula>
    </cfRule>
  </conditionalFormatting>
  <conditionalFormatting sqref="R83:Y83">
    <cfRule type="cellIs" dxfId="80" priority="115" operator="lessThan">
      <formula>1</formula>
    </cfRule>
  </conditionalFormatting>
  <conditionalFormatting sqref="K80:K81">
    <cfRule type="cellIs" dxfId="79" priority="114" operator="equal">
      <formula>"BR08"</formula>
    </cfRule>
  </conditionalFormatting>
  <conditionalFormatting sqref="R95:X95">
    <cfRule type="cellIs" dxfId="78" priority="110" operator="lessThan">
      <formula>1</formula>
    </cfRule>
  </conditionalFormatting>
  <conditionalFormatting sqref="K92:K93 K98:K101">
    <cfRule type="cellIs" dxfId="77" priority="109" operator="equal">
      <formula>"BR08"</formula>
    </cfRule>
  </conditionalFormatting>
  <conditionalFormatting sqref="L94:L95 L97:L100">
    <cfRule type="cellIs" dxfId="76" priority="108" operator="greaterThan">
      <formula>0</formula>
    </cfRule>
  </conditionalFormatting>
  <conditionalFormatting sqref="R107:AA107">
    <cfRule type="cellIs" dxfId="75" priority="105" operator="lessThan">
      <formula>1</formula>
    </cfRule>
  </conditionalFormatting>
  <conditionalFormatting sqref="K104:K105 K110:K113">
    <cfRule type="cellIs" dxfId="74" priority="104" operator="equal">
      <formula>"BR08"</formula>
    </cfRule>
  </conditionalFormatting>
  <conditionalFormatting sqref="K106 K109">
    <cfRule type="cellIs" dxfId="73" priority="101" operator="equal">
      <formula>"BR08"</formula>
    </cfRule>
  </conditionalFormatting>
  <conditionalFormatting sqref="R119:X119">
    <cfRule type="cellIs" dxfId="72" priority="100" operator="lessThan">
      <formula>1</formula>
    </cfRule>
  </conditionalFormatting>
  <conditionalFormatting sqref="K116:K117">
    <cfRule type="cellIs" dxfId="71" priority="99" operator="equal">
      <formula>"BR08"</formula>
    </cfRule>
  </conditionalFormatting>
  <conditionalFormatting sqref="R131:X131">
    <cfRule type="cellIs" dxfId="70" priority="95" operator="lessThan">
      <formula>1</formula>
    </cfRule>
  </conditionalFormatting>
  <conditionalFormatting sqref="K128:K129">
    <cfRule type="cellIs" dxfId="69" priority="94" operator="equal">
      <formula>"BR08"</formula>
    </cfRule>
  </conditionalFormatting>
  <conditionalFormatting sqref="K142:K143">
    <cfRule type="cellIs" dxfId="68" priority="86" operator="equal">
      <formula>"BR08"</formula>
    </cfRule>
  </conditionalFormatting>
  <conditionalFormatting sqref="R143:Y143">
    <cfRule type="cellIs" dxfId="67" priority="89" operator="lessThan">
      <formula>1</formula>
    </cfRule>
  </conditionalFormatting>
  <conditionalFormatting sqref="K140:K141">
    <cfRule type="cellIs" dxfId="66" priority="88" operator="equal">
      <formula>"BR08"</formula>
    </cfRule>
  </conditionalFormatting>
  <conditionalFormatting sqref="L85:L86">
    <cfRule type="cellIs" dxfId="65" priority="82" operator="greaterThan">
      <formula>0</formula>
    </cfRule>
  </conditionalFormatting>
  <conditionalFormatting sqref="K144">
    <cfRule type="cellIs" dxfId="64" priority="80" operator="equal">
      <formula>"BR08"</formula>
    </cfRule>
  </conditionalFormatting>
  <conditionalFormatting sqref="K94">
    <cfRule type="cellIs" dxfId="63" priority="79" operator="equal">
      <formula>"BR08"</formula>
    </cfRule>
  </conditionalFormatting>
  <conditionalFormatting sqref="L71:L72">
    <cfRule type="cellIs" dxfId="62" priority="73" operator="greaterThan">
      <formula>0</formula>
    </cfRule>
  </conditionalFormatting>
  <conditionalFormatting sqref="L132">
    <cfRule type="cellIs" dxfId="61" priority="75" operator="greaterThan">
      <formula>0</formula>
    </cfRule>
  </conditionalFormatting>
  <conditionalFormatting sqref="L95">
    <cfRule type="cellIs" dxfId="60" priority="72" operator="greaterThan">
      <formula>0</formula>
    </cfRule>
  </conditionalFormatting>
  <conditionalFormatting sqref="K123">
    <cfRule type="cellIs" dxfId="59" priority="67" operator="equal">
      <formula>"BR08"</formula>
    </cfRule>
  </conditionalFormatting>
  <conditionalFormatting sqref="L123">
    <cfRule type="cellIs" dxfId="58" priority="66" operator="greaterThan">
      <formula>0</formula>
    </cfRule>
  </conditionalFormatting>
  <conditionalFormatting sqref="K59">
    <cfRule type="cellIs" dxfId="57" priority="65" operator="equal">
      <formula>"BR08"</formula>
    </cfRule>
  </conditionalFormatting>
  <conditionalFormatting sqref="K118">
    <cfRule type="cellIs" dxfId="56" priority="64" operator="equal">
      <formula>"BR08"</formula>
    </cfRule>
  </conditionalFormatting>
  <conditionalFormatting sqref="K72">
    <cfRule type="cellIs" dxfId="55" priority="50" operator="equal">
      <formula>"BR08"</formula>
    </cfRule>
  </conditionalFormatting>
  <conditionalFormatting sqref="L96">
    <cfRule type="cellIs" dxfId="54" priority="62" operator="greaterThan">
      <formula>0</formula>
    </cfRule>
  </conditionalFormatting>
  <conditionalFormatting sqref="L122">
    <cfRule type="cellIs" dxfId="53" priority="57" operator="greaterThan">
      <formula>0</formula>
    </cfRule>
  </conditionalFormatting>
  <conditionalFormatting sqref="K120">
    <cfRule type="cellIs" dxfId="52" priority="56" operator="equal">
      <formula>"BR08"</formula>
    </cfRule>
  </conditionalFormatting>
  <conditionalFormatting sqref="K59">
    <cfRule type="cellIs" dxfId="51" priority="55" operator="equal">
      <formula>"BR08"</formula>
    </cfRule>
  </conditionalFormatting>
  <conditionalFormatting sqref="K10">
    <cfRule type="cellIs" dxfId="50" priority="41" operator="equal">
      <formula>"BR08"</formula>
    </cfRule>
  </conditionalFormatting>
  <conditionalFormatting sqref="L145">
    <cfRule type="cellIs" dxfId="49" priority="51" operator="greaterThan">
      <formula>0</formula>
    </cfRule>
  </conditionalFormatting>
  <conditionalFormatting sqref="K122">
    <cfRule type="cellIs" dxfId="48" priority="48" operator="equal">
      <formula>"BR08"</formula>
    </cfRule>
  </conditionalFormatting>
  <conditionalFormatting sqref="L74">
    <cfRule type="cellIs" dxfId="47" priority="44" operator="greaterThan">
      <formula>0</formula>
    </cfRule>
  </conditionalFormatting>
  <conditionalFormatting sqref="L135">
    <cfRule type="cellIs" dxfId="46" priority="43" operator="greaterThan">
      <formula>0</formula>
    </cfRule>
  </conditionalFormatting>
  <conditionalFormatting sqref="L147:L148">
    <cfRule type="cellIs" dxfId="45" priority="42" operator="greaterThan">
      <formula>0</formula>
    </cfRule>
  </conditionalFormatting>
  <conditionalFormatting sqref="Y7">
    <cfRule type="cellIs" dxfId="44" priority="40" operator="lessThan">
      <formula>1</formula>
    </cfRule>
  </conditionalFormatting>
  <conditionalFormatting sqref="K85">
    <cfRule type="cellIs" dxfId="43" priority="39" operator="equal">
      <formula>"BR08"</formula>
    </cfRule>
  </conditionalFormatting>
  <conditionalFormatting sqref="K11">
    <cfRule type="cellIs" dxfId="42" priority="38" operator="equal">
      <formula>"BR08"</formula>
    </cfRule>
  </conditionalFormatting>
  <conditionalFormatting sqref="K6">
    <cfRule type="cellIs" dxfId="41" priority="37" operator="equal">
      <formula>"BR08"</formula>
    </cfRule>
  </conditionalFormatting>
  <conditionalFormatting sqref="K7">
    <cfRule type="cellIs" dxfId="40" priority="36" operator="equal">
      <formula>"BR08"</formula>
    </cfRule>
  </conditionalFormatting>
  <conditionalFormatting sqref="K8">
    <cfRule type="cellIs" dxfId="39" priority="35" operator="equal">
      <formula>"BR08"</formula>
    </cfRule>
  </conditionalFormatting>
  <conditionalFormatting sqref="K70">
    <cfRule type="cellIs" dxfId="38" priority="32" operator="equal">
      <formula>"BR08"</formula>
    </cfRule>
  </conditionalFormatting>
  <conditionalFormatting sqref="K82">
    <cfRule type="cellIs" dxfId="37" priority="31" operator="equal">
      <formula>"BR08"</formula>
    </cfRule>
  </conditionalFormatting>
  <conditionalFormatting sqref="K95">
    <cfRule type="cellIs" dxfId="36" priority="29" operator="equal">
      <formula>"BR08"</formula>
    </cfRule>
  </conditionalFormatting>
  <conditionalFormatting sqref="K119">
    <cfRule type="cellIs" dxfId="35" priority="28" operator="equal">
      <formula>"BR08"</formula>
    </cfRule>
  </conditionalFormatting>
  <conditionalFormatting sqref="K122">
    <cfRule type="cellIs" dxfId="34" priority="27" operator="equal">
      <formula>"BR08"</formula>
    </cfRule>
  </conditionalFormatting>
  <conditionalFormatting sqref="K119">
    <cfRule type="cellIs" dxfId="33" priority="26" operator="equal">
      <formula>"BR08"</formula>
    </cfRule>
  </conditionalFormatting>
  <conditionalFormatting sqref="K120">
    <cfRule type="cellIs" dxfId="32" priority="25" operator="equal">
      <formula>"BR08"</formula>
    </cfRule>
  </conditionalFormatting>
  <conditionalFormatting sqref="K118">
    <cfRule type="cellIs" dxfId="31" priority="23" operator="equal">
      <formula>"BR08"</formula>
    </cfRule>
  </conditionalFormatting>
  <conditionalFormatting sqref="L124">
    <cfRule type="cellIs" dxfId="30" priority="22" operator="greaterThan">
      <formula>0</formula>
    </cfRule>
  </conditionalFormatting>
  <conditionalFormatting sqref="K8">
    <cfRule type="cellIs" dxfId="29" priority="21" operator="equal">
      <formula>"BR08"</formula>
    </cfRule>
  </conditionalFormatting>
  <conditionalFormatting sqref="K121">
    <cfRule type="cellIs" dxfId="28" priority="18" operator="equal">
      <formula>"BR08"</formula>
    </cfRule>
  </conditionalFormatting>
  <conditionalFormatting sqref="K71">
    <cfRule type="cellIs" dxfId="27" priority="19" operator="equal">
      <formula>"BR08"</formula>
    </cfRule>
  </conditionalFormatting>
  <conditionalFormatting sqref="K121">
    <cfRule type="cellIs" dxfId="26" priority="17" operator="equal">
      <formula>"BR08"</formula>
    </cfRule>
  </conditionalFormatting>
  <conditionalFormatting sqref="K121">
    <cfRule type="cellIs" dxfId="25" priority="16" operator="equal">
      <formula>"BR08"</formula>
    </cfRule>
  </conditionalFormatting>
  <conditionalFormatting sqref="K118">
    <cfRule type="cellIs" dxfId="24" priority="15" operator="equal">
      <formula>"BR08"</formula>
    </cfRule>
  </conditionalFormatting>
  <conditionalFormatting sqref="K120">
    <cfRule type="cellIs" dxfId="23" priority="14" operator="equal">
      <formula>"BR08"</formula>
    </cfRule>
  </conditionalFormatting>
  <conditionalFormatting sqref="K120">
    <cfRule type="cellIs" dxfId="22" priority="13" operator="equal">
      <formula>"BR08"</formula>
    </cfRule>
  </conditionalFormatting>
  <conditionalFormatting sqref="K118">
    <cfRule type="cellIs" dxfId="21" priority="12" operator="equal">
      <formula>"BR08"</formula>
    </cfRule>
  </conditionalFormatting>
  <conditionalFormatting sqref="K119">
    <cfRule type="cellIs" dxfId="20" priority="11" operator="equal">
      <formula>"BR08"</formula>
    </cfRule>
  </conditionalFormatting>
  <conditionalFormatting sqref="K119">
    <cfRule type="cellIs" dxfId="19" priority="10" operator="equal">
      <formula>"BR08"</formula>
    </cfRule>
  </conditionalFormatting>
  <conditionalFormatting sqref="K145">
    <cfRule type="cellIs" dxfId="18" priority="9" operator="equal">
      <formula>"BR08"</formula>
    </cfRule>
  </conditionalFormatting>
  <conditionalFormatting sqref="K9">
    <cfRule type="cellIs" dxfId="17" priority="8" operator="equal">
      <formula>"BR08"</formula>
    </cfRule>
  </conditionalFormatting>
  <conditionalFormatting sqref="K9">
    <cfRule type="cellIs" dxfId="16" priority="7" operator="equal">
      <formula>"BR08"</formula>
    </cfRule>
  </conditionalFormatting>
  <conditionalFormatting sqref="K58">
    <cfRule type="cellIs" dxfId="15" priority="6" operator="equal">
      <formula>"BR08"</formula>
    </cfRule>
  </conditionalFormatting>
  <conditionalFormatting sqref="K58">
    <cfRule type="cellIs" dxfId="14" priority="5" operator="equal">
      <formula>"BR08"</formula>
    </cfRule>
  </conditionalFormatting>
  <conditionalFormatting sqref="K83">
    <cfRule type="cellIs" dxfId="13" priority="4" operator="equal">
      <formula>"BR08"</formula>
    </cfRule>
  </conditionalFormatting>
  <conditionalFormatting sqref="K107">
    <cfRule type="cellIs" dxfId="12" priority="3" operator="equal">
      <formula>"BR08"</formula>
    </cfRule>
  </conditionalFormatting>
  <conditionalFormatting sqref="L108">
    <cfRule type="cellIs" dxfId="11" priority="2" operator="greaterThan">
      <formula>0</formula>
    </cfRule>
  </conditionalFormatting>
  <conditionalFormatting sqref="K146">
    <cfRule type="cellIs" dxfId="10" priority="1" operator="equal">
      <formula>"BR08"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&amp;C&amp;"Calibri"&amp;10&amp;K737373Classification: Public&amp;1#</oddHeader>
  </headerFooter>
  <customProperties>
    <customPr name="Ibp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7345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38100</xdr:colOff>
                <xdr:row>0</xdr:row>
                <xdr:rowOff>0</xdr:rowOff>
              </to>
            </anchor>
          </controlPr>
        </control>
      </mc:Choice>
      <mc:Fallback>
        <control shapeId="57345" r:id="rId5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nfig xmlns="http://com.sap.sop/sopconfig">
  <ReportType xmlns="">SOP</ReportType>
  <template xmlns=""/>
  <favorite xmlns="">K010-SFA-BIAS Report for BP</favorite>
  <bookSettings xmlns="">
    <scenarios>
      <value>__BASELINE</value>
    </scenarios>
    <simulations>
      <value>__PLAN</value>
    </simulations>
    <planningUnits>
      <planningVersion>__BASELINE</planningVersion>
      <planningScenario>__PLAN</planningScenario>
      <timeRelativeFromDays>0</timeRelativeFromDays>
      <timeRelativeToDays>5</timeRelativeToDays>
    </planningUnits>
  </bookSettings>
</config>
</file>

<file path=customXml/itemProps1.xml><?xml version="1.0" encoding="utf-8"?>
<ds:datastoreItem xmlns:ds="http://schemas.openxmlformats.org/officeDocument/2006/customXml" ds:itemID="{1A58CDEA-53B7-4A6A-9279-BCC35B87E158}">
  <ds:schemaRefs>
    <ds:schemaRef ds:uri="http://com.sap.sop/sopconfi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Forecast</vt:lpstr>
      <vt:lpstr>sell out</vt:lpstr>
      <vt:lpstr>Colocado</vt:lpstr>
      <vt:lpstr>Venda</vt:lpstr>
      <vt:lpstr>Stilamin</vt:lpstr>
      <vt:lpstr>Endo</vt:lpstr>
      <vt:lpstr>N&amp;I</vt:lpstr>
      <vt:lpstr>Oncologia</vt:lpstr>
      <vt:lpstr>Fertilidade</vt:lpstr>
      <vt:lpstr>Desvios</vt:lpstr>
      <vt:lpstr>Transferencias</vt:lpstr>
      <vt:lpstr>DRP+SS</vt:lpstr>
      <vt:lpstr>Baixa cobertura</vt:lpstr>
      <vt:lpstr>Write Off Fertilidade - 9 meses</vt:lpstr>
      <vt:lpstr>Destruição</vt:lpstr>
      <vt:lpstr>Write Off Fertilidade - atraso</vt:lpstr>
      <vt:lpstr>Fertilidade 9 meses WO COVID</vt:lpstr>
      <vt:lpstr>WO Fertilidade - 9 m WO Covid</vt:lpstr>
      <vt:lpstr>F2 vs Destruição c atraso de 1M</vt:lpstr>
      <vt:lpstr>TAMANHO MEDIO DE LOTE</vt:lpstr>
    </vt:vector>
  </TitlesOfParts>
  <Company>Merck KGaA, Darmstadt,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m178623</dc:creator>
  <cp:lastModifiedBy>Eduarda Soares</cp:lastModifiedBy>
  <cp:lastPrinted>2021-08-05T11:20:31Z</cp:lastPrinted>
  <dcterms:created xsi:type="dcterms:W3CDTF">2014-05-07T13:31:52Z</dcterms:created>
  <dcterms:modified xsi:type="dcterms:W3CDTF">2021-10-15T16:33:55Z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32b09e03-5bb5-4818-ad76-267060bbf488</vt:lpwstr>
  </property>
  <property fmtid="{D5CDD505-2E9C-101B-9397-08002B2CF9AE}" pid="3" name="MSIP_Label_fce0b93e-802b-4b79-a35e-0640ef52bfa5_Enabled">
    <vt:lpwstr>true</vt:lpwstr>
  </property>
  <property fmtid="{D5CDD505-2E9C-101B-9397-08002B2CF9AE}" pid="4" name="MSIP_Label_fce0b93e-802b-4b79-a35e-0640ef52bfa5_SetDate">
    <vt:lpwstr>2021-10-15T16:33:55Z</vt:lpwstr>
  </property>
  <property fmtid="{D5CDD505-2E9C-101B-9397-08002B2CF9AE}" pid="5" name="MSIP_Label_fce0b93e-802b-4b79-a35e-0640ef52bfa5_Method">
    <vt:lpwstr>Privileged</vt:lpwstr>
  </property>
  <property fmtid="{D5CDD505-2E9C-101B-9397-08002B2CF9AE}" pid="6" name="MSIP_Label_fce0b93e-802b-4b79-a35e-0640ef52bfa5_Name">
    <vt:lpwstr>fce0b93e-802b-4b79-a35e-0640ef52bfa5</vt:lpwstr>
  </property>
  <property fmtid="{D5CDD505-2E9C-101B-9397-08002B2CF9AE}" pid="7" name="MSIP_Label_fce0b93e-802b-4b79-a35e-0640ef52bfa5_SiteId">
    <vt:lpwstr>db76fb59-a377-4120-bc54-59dead7d39c9</vt:lpwstr>
  </property>
  <property fmtid="{D5CDD505-2E9C-101B-9397-08002B2CF9AE}" pid="8" name="MSIP_Label_fce0b93e-802b-4b79-a35e-0640ef52bfa5_ActionId">
    <vt:lpwstr>86e228b5-9e1b-4e4a-8047-78c21dc0d510</vt:lpwstr>
  </property>
  <property fmtid="{D5CDD505-2E9C-101B-9397-08002B2CF9AE}" pid="9" name="MSIP_Label_fce0b93e-802b-4b79-a35e-0640ef52bfa5_ContentBits">
    <vt:lpwstr>1</vt:lpwstr>
  </property>
</Properties>
</file>