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Dynamics" sheetId="1" r:id="rId1"/>
    <sheet name="Constants" sheetId="2" r:id="rId2"/>
  </sheets>
  <definedNames>
    <definedName name="solver_adj" localSheetId="0" hidden="1">Dynamics!$C$27:$Q$27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Dynamics!$C$27:$P$27</definedName>
    <definedName name="solver_lhs2" localSheetId="0" hidden="1">Dynamics!$C$27:$Q$27</definedName>
    <definedName name="solver_lhs3" localSheetId="0" hidden="1">Dynamics!$D$30:$Q$30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Dynamics!$R$31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hs1" localSheetId="0" hidden="1">целое</definedName>
    <definedName name="solver_rhs2" localSheetId="0" hidden="1">1</definedName>
    <definedName name="solver_rhs3" localSheetId="0" hidden="1">1.01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C31" i="1"/>
  <c r="F63" i="2" l="1"/>
  <c r="G63" i="2"/>
  <c r="H63" i="2"/>
  <c r="I63" i="2"/>
  <c r="J63" i="2"/>
  <c r="K63" i="2"/>
  <c r="L63" i="2"/>
  <c r="E63" i="2"/>
  <c r="G55" i="2"/>
  <c r="F55" i="2"/>
  <c r="E55" i="2"/>
  <c r="E54" i="2"/>
  <c r="F54" i="2"/>
  <c r="G54" i="2"/>
  <c r="H54" i="2"/>
  <c r="I54" i="2"/>
  <c r="J54" i="2"/>
  <c r="K54" i="2"/>
  <c r="L54" i="2"/>
  <c r="M54" i="2"/>
  <c r="D54" i="2"/>
  <c r="D16" i="2"/>
  <c r="D17" i="2"/>
  <c r="D15" i="2"/>
  <c r="B3" i="1"/>
  <c r="B22" i="1" s="1"/>
  <c r="B7" i="1"/>
  <c r="C5" i="1" l="1"/>
  <c r="B8" i="1" l="1"/>
  <c r="B9" i="1"/>
  <c r="C6" i="1"/>
  <c r="C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C8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C16" i="1"/>
  <c r="C4" i="1"/>
  <c r="B14" i="1" l="1"/>
  <c r="C7" i="1"/>
  <c r="C3" i="1"/>
  <c r="B13" i="1"/>
  <c r="B12" i="1"/>
  <c r="B20" i="1"/>
  <c r="D5" i="1"/>
  <c r="D8" i="1" s="1"/>
  <c r="D6" i="1"/>
  <c r="D9" i="1" s="1"/>
  <c r="E5" i="1"/>
  <c r="D4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B10" i="1" l="1"/>
  <c r="C20" i="1"/>
  <c r="C14" i="1"/>
  <c r="B25" i="1"/>
  <c r="E6" i="1"/>
  <c r="E9" i="1" s="1"/>
  <c r="D3" i="1"/>
  <c r="C13" i="1"/>
  <c r="C12" i="1"/>
  <c r="C25" i="1"/>
  <c r="C23" i="1" s="1"/>
  <c r="C22" i="1"/>
  <c r="F6" i="1"/>
  <c r="D7" i="1"/>
  <c r="F5" i="1"/>
  <c r="E8" i="1"/>
  <c r="E4" i="1"/>
  <c r="B19" i="1" l="1"/>
  <c r="C19" i="1" s="1"/>
  <c r="B23" i="1"/>
  <c r="B26" i="1"/>
  <c r="D13" i="1"/>
  <c r="D12" i="1"/>
  <c r="C10" i="1"/>
  <c r="E3" i="1"/>
  <c r="E22" i="1" s="1"/>
  <c r="D22" i="1"/>
  <c r="D20" i="1"/>
  <c r="D14" i="1"/>
  <c r="E7" i="1"/>
  <c r="G5" i="1"/>
  <c r="F8" i="1"/>
  <c r="G6" i="1"/>
  <c r="F9" i="1"/>
  <c r="F4" i="1"/>
  <c r="C26" i="1" l="1"/>
  <c r="D31" i="1" s="1"/>
  <c r="C29" i="1"/>
  <c r="C28" i="1" s="1"/>
  <c r="B15" i="1"/>
  <c r="E12" i="1"/>
  <c r="E13" i="1"/>
  <c r="F3" i="1"/>
  <c r="F22" i="1" s="1"/>
  <c r="D10" i="1"/>
  <c r="E20" i="1"/>
  <c r="E14" i="1"/>
  <c r="C15" i="1"/>
  <c r="D25" i="1"/>
  <c r="F7" i="1"/>
  <c r="H6" i="1"/>
  <c r="G9" i="1"/>
  <c r="H5" i="1"/>
  <c r="G8" i="1"/>
  <c r="G4" i="1"/>
  <c r="D19" i="1" l="1"/>
  <c r="D23" i="1"/>
  <c r="G3" i="1"/>
  <c r="G22" i="1" s="1"/>
  <c r="E10" i="1"/>
  <c r="F12" i="1"/>
  <c r="F13" i="1"/>
  <c r="F20" i="1"/>
  <c r="F14" i="1"/>
  <c r="E25" i="1"/>
  <c r="G7" i="1"/>
  <c r="I5" i="1"/>
  <c r="H8" i="1"/>
  <c r="I6" i="1"/>
  <c r="H9" i="1"/>
  <c r="H4" i="1"/>
  <c r="H3" i="1" s="1"/>
  <c r="D30" i="1" l="1"/>
  <c r="D28" i="1"/>
  <c r="E19" i="1"/>
  <c r="E26" i="1" s="1"/>
  <c r="E23" i="1"/>
  <c r="D15" i="1"/>
  <c r="D26" i="1"/>
  <c r="E31" i="1" s="1"/>
  <c r="F10" i="1"/>
  <c r="G12" i="1"/>
  <c r="G13" i="1"/>
  <c r="G20" i="1"/>
  <c r="G14" i="1"/>
  <c r="E15" i="1"/>
  <c r="F25" i="1"/>
  <c r="H7" i="1"/>
  <c r="H22" i="1"/>
  <c r="J6" i="1"/>
  <c r="I9" i="1"/>
  <c r="J5" i="1"/>
  <c r="I8" i="1"/>
  <c r="I4" i="1"/>
  <c r="I3" i="1" s="1"/>
  <c r="F31" i="1" l="1"/>
  <c r="F19" i="1"/>
  <c r="F29" i="1" s="1"/>
  <c r="F28" i="1" s="1"/>
  <c r="F23" i="1"/>
  <c r="E29" i="1"/>
  <c r="G10" i="1"/>
  <c r="H12" i="1"/>
  <c r="H13" i="1"/>
  <c r="F26" i="1"/>
  <c r="H20" i="1"/>
  <c r="H14" i="1"/>
  <c r="F15" i="1"/>
  <c r="G25" i="1"/>
  <c r="I7" i="1"/>
  <c r="I22" i="1"/>
  <c r="K5" i="1"/>
  <c r="J8" i="1"/>
  <c r="K6" i="1"/>
  <c r="J9" i="1"/>
  <c r="J4" i="1"/>
  <c r="J3" i="1" s="1"/>
  <c r="E30" i="1" l="1"/>
  <c r="E28" i="1"/>
  <c r="G31" i="1"/>
  <c r="G19" i="1"/>
  <c r="G29" i="1" s="1"/>
  <c r="G23" i="1"/>
  <c r="F30" i="1"/>
  <c r="H10" i="1"/>
  <c r="I13" i="1"/>
  <c r="I12" i="1"/>
  <c r="G26" i="1"/>
  <c r="I20" i="1"/>
  <c r="I14" i="1"/>
  <c r="H25" i="1"/>
  <c r="H23" i="1" s="1"/>
  <c r="J7" i="1"/>
  <c r="J22" i="1"/>
  <c r="L6" i="1"/>
  <c r="K9" i="1"/>
  <c r="L5" i="1"/>
  <c r="K8" i="1"/>
  <c r="K4" i="1"/>
  <c r="K3" i="1" s="1"/>
  <c r="G15" i="1" l="1"/>
  <c r="G30" i="1"/>
  <c r="G28" i="1"/>
  <c r="I10" i="1"/>
  <c r="H31" i="1"/>
  <c r="J13" i="1"/>
  <c r="J12" i="1"/>
  <c r="J20" i="1"/>
  <c r="J14" i="1"/>
  <c r="H19" i="1"/>
  <c r="I25" i="1"/>
  <c r="I23" i="1" s="1"/>
  <c r="K7" i="1"/>
  <c r="K22" i="1"/>
  <c r="M5" i="1"/>
  <c r="L8" i="1"/>
  <c r="M6" i="1"/>
  <c r="L9" i="1"/>
  <c r="L4" i="1"/>
  <c r="L3" i="1" s="1"/>
  <c r="M9" i="1" l="1"/>
  <c r="N6" i="1"/>
  <c r="M8" i="1"/>
  <c r="N5" i="1"/>
  <c r="H26" i="1"/>
  <c r="I31" i="1" s="1"/>
  <c r="H29" i="1"/>
  <c r="J10" i="1"/>
  <c r="K13" i="1"/>
  <c r="K12" i="1"/>
  <c r="K20" i="1"/>
  <c r="K14" i="1"/>
  <c r="H15" i="1"/>
  <c r="I19" i="1"/>
  <c r="J25" i="1"/>
  <c r="J23" i="1" s="1"/>
  <c r="L7" i="1"/>
  <c r="L22" i="1"/>
  <c r="M4" i="1"/>
  <c r="N4" i="1" s="1"/>
  <c r="H30" i="1" l="1"/>
  <c r="H28" i="1"/>
  <c r="O4" i="1"/>
  <c r="N7" i="1"/>
  <c r="I26" i="1"/>
  <c r="J31" i="1" s="1"/>
  <c r="I29" i="1"/>
  <c r="K10" i="1"/>
  <c r="N8" i="1"/>
  <c r="O5" i="1"/>
  <c r="O6" i="1"/>
  <c r="N9" i="1"/>
  <c r="L12" i="1"/>
  <c r="L13" i="1"/>
  <c r="M3" i="1"/>
  <c r="M22" i="1" s="1"/>
  <c r="L20" i="1"/>
  <c r="L14" i="1"/>
  <c r="J19" i="1"/>
  <c r="I15" i="1"/>
  <c r="K25" i="1"/>
  <c r="K23" i="1" s="1"/>
  <c r="M7" i="1"/>
  <c r="I30" i="1" l="1"/>
  <c r="I28" i="1"/>
  <c r="N3" i="1"/>
  <c r="N22" i="1" s="1"/>
  <c r="O8" i="1"/>
  <c r="P5" i="1"/>
  <c r="P4" i="1"/>
  <c r="O3" i="1"/>
  <c r="O22" i="1" s="1"/>
  <c r="O7" i="1"/>
  <c r="J26" i="1"/>
  <c r="K31" i="1" s="1"/>
  <c r="J29" i="1"/>
  <c r="P6" i="1"/>
  <c r="O9" i="1"/>
  <c r="N13" i="1"/>
  <c r="N20" i="1"/>
  <c r="N14" i="1"/>
  <c r="N25" i="1" s="1"/>
  <c r="N23" i="1" s="1"/>
  <c r="N12" i="1"/>
  <c r="M12" i="1"/>
  <c r="M13" i="1"/>
  <c r="L10" i="1"/>
  <c r="M20" i="1"/>
  <c r="M14" i="1"/>
  <c r="J15" i="1"/>
  <c r="K19" i="1"/>
  <c r="L25" i="1"/>
  <c r="L23" i="1" s="1"/>
  <c r="J30" i="1" l="1"/>
  <c r="J28" i="1"/>
  <c r="Q5" i="1"/>
  <c r="Q8" i="1" s="1"/>
  <c r="P8" i="1"/>
  <c r="K26" i="1"/>
  <c r="L31" i="1" s="1"/>
  <c r="K29" i="1"/>
  <c r="N10" i="1"/>
  <c r="Q6" i="1"/>
  <c r="Q9" i="1" s="1"/>
  <c r="P9" i="1"/>
  <c r="O20" i="1"/>
  <c r="O13" i="1"/>
  <c r="O12" i="1"/>
  <c r="O14" i="1"/>
  <c r="O25" i="1" s="1"/>
  <c r="O23" i="1" s="1"/>
  <c r="Q4" i="1"/>
  <c r="P7" i="1"/>
  <c r="P3" i="1"/>
  <c r="P22" i="1" s="1"/>
  <c r="M10" i="1"/>
  <c r="L19" i="1"/>
  <c r="K15" i="1"/>
  <c r="M25" i="1"/>
  <c r="M23" i="1" s="1"/>
  <c r="P12" i="1" l="1"/>
  <c r="K30" i="1"/>
  <c r="K28" i="1"/>
  <c r="Q7" i="1"/>
  <c r="Q3" i="1"/>
  <c r="O10" i="1"/>
  <c r="L26" i="1"/>
  <c r="M31" i="1" s="1"/>
  <c r="L29" i="1"/>
  <c r="P20" i="1"/>
  <c r="P14" i="1"/>
  <c r="P25" i="1" s="1"/>
  <c r="P23" i="1" s="1"/>
  <c r="P13" i="1"/>
  <c r="M19" i="1"/>
  <c r="L15" i="1"/>
  <c r="L30" i="1" l="1"/>
  <c r="L28" i="1"/>
  <c r="P10" i="1"/>
  <c r="Q22" i="1"/>
  <c r="M29" i="1"/>
  <c r="N19" i="1"/>
  <c r="Q20" i="1"/>
  <c r="Q13" i="1"/>
  <c r="Q12" i="1"/>
  <c r="Q14" i="1"/>
  <c r="Q25" i="1" s="1"/>
  <c r="Q23" i="1" s="1"/>
  <c r="M15" i="1"/>
  <c r="M26" i="1"/>
  <c r="N31" i="1" s="1"/>
  <c r="Q10" i="1" l="1"/>
  <c r="M30" i="1"/>
  <c r="M28" i="1"/>
  <c r="N26" i="1"/>
  <c r="O31" i="1" s="1"/>
  <c r="O19" i="1"/>
  <c r="N15" i="1"/>
  <c r="N29" i="1"/>
  <c r="N30" i="1" l="1"/>
  <c r="N28" i="1"/>
  <c r="P19" i="1"/>
  <c r="O29" i="1"/>
  <c r="O26" i="1"/>
  <c r="P31" i="1" s="1"/>
  <c r="O15" i="1"/>
  <c r="O30" i="1" l="1"/>
  <c r="O28" i="1"/>
  <c r="Q19" i="1"/>
  <c r="P26" i="1"/>
  <c r="Q31" i="1" s="1"/>
  <c r="R31" i="1" s="1"/>
  <c r="P29" i="1"/>
  <c r="P15" i="1"/>
  <c r="P30" i="1" l="1"/>
  <c r="P28" i="1"/>
  <c r="Q29" i="1"/>
  <c r="Q26" i="1"/>
  <c r="Q15" i="1"/>
  <c r="Q30" i="1" l="1"/>
  <c r="Q28" i="1"/>
</calcChain>
</file>

<file path=xl/sharedStrings.xml><?xml version="1.0" encoding="utf-8"?>
<sst xmlns="http://schemas.openxmlformats.org/spreadsheetml/2006/main" count="70" uniqueCount="69">
  <si>
    <t>Доля основателей</t>
  </si>
  <si>
    <t>Коэффициент вознаграждения партнёров (инвесторов)</t>
  </si>
  <si>
    <t>Коэффициент вознаграждения валидаторов</t>
  </si>
  <si>
    <t>Резервный фонд платформы</t>
  </si>
  <si>
    <t>Количество юзеров</t>
  </si>
  <si>
    <t>Объём монет в системе (денежная масса)</t>
  </si>
  <si>
    <t>Доход валидаторов</t>
  </si>
  <si>
    <t>Начальная масса монет</t>
  </si>
  <si>
    <t>Вывод монет из системы</t>
  </si>
  <si>
    <t>Количество бизнесов типа "Еда"</t>
  </si>
  <si>
    <t>Количество бизнесов типа "Кино"</t>
  </si>
  <si>
    <t>Количество бизнесов типа "Аренда"</t>
  </si>
  <si>
    <t>Индекс роста бизнесов типа "Еда"</t>
  </si>
  <si>
    <t>Индекс роста бизнесов типа "Кино"</t>
  </si>
  <si>
    <t>Индекс роста бизнесов типа "Аренда"</t>
  </si>
  <si>
    <t>из доли основателей</t>
  </si>
  <si>
    <t>Средняя аудитория бизнеса типа "Еда"</t>
  </si>
  <si>
    <t>Средняя аудитория бизнеса типа "Кино"</t>
  </si>
  <si>
    <t>Средняя аудитория бизнеса типа "Аренда"</t>
  </si>
  <si>
    <t>Среднее число сделок (в реале) на 1 юзера для типа "Еда"</t>
  </si>
  <si>
    <t>Среднее число сделок (в реале) на 1 юзера для типа "Кино"</t>
  </si>
  <si>
    <t>Среднее число сделок (в реале) на 1 юзера для типа "Аренда"</t>
  </si>
  <si>
    <t>Количество сделок типа "Еда"</t>
  </si>
  <si>
    <t>Количество сделок типа "Кино"</t>
  </si>
  <si>
    <t>Количество сделок типа "Аренда"</t>
  </si>
  <si>
    <t>Комиссия платформы для типа "Еда"</t>
  </si>
  <si>
    <t>Комиссия платформы для типа  "Кино"</t>
  </si>
  <si>
    <t>Комиссия платформы для типа "Аренда"</t>
  </si>
  <si>
    <t>Доход платформы (комиссия+% от сделок)</t>
  </si>
  <si>
    <t>Среднее число монет на 1 юзера</t>
  </si>
  <si>
    <t>Прирост монет в обороте</t>
  </si>
  <si>
    <t>Средняя скидка для типа "Еда"</t>
  </si>
  <si>
    <t>Средняя скидка для типа  "Кино"</t>
  </si>
  <si>
    <t>Средняя скидка для типа "Аренда"</t>
  </si>
  <si>
    <t>платит бизнес из своей выручки</t>
  </si>
  <si>
    <t>Коэффициент вывода монет из системы юзерами</t>
  </si>
  <si>
    <t>Капитализация платформы, $</t>
  </si>
  <si>
    <t>Операционный доход</t>
  </si>
  <si>
    <t>Процент юзеров-спекуляторов</t>
  </si>
  <si>
    <t>Количество транзакций 1 спекулятора</t>
  </si>
  <si>
    <t>Средняя сумма транзакции спекулятора</t>
  </si>
  <si>
    <t>Доход платформы от спекуляций</t>
  </si>
  <si>
    <t>Комиссия по переводам между юзерами</t>
  </si>
  <si>
    <t>Показатель</t>
  </si>
  <si>
    <t>№ месяца</t>
  </si>
  <si>
    <t>Процент реинвестирования</t>
  </si>
  <si>
    <t>Процент заморозки</t>
  </si>
  <si>
    <t>Доходность альтернативных вложений</t>
  </si>
  <si>
    <t>часть прибыли основателей, которую они направляют на развитие</t>
  </si>
  <si>
    <t>платит юзер из своей скидки при покупке товара/услуги</t>
  </si>
  <si>
    <t>в соответствии с договорённостью как поощрение за поддержку проекта</t>
  </si>
  <si>
    <t>с постепенным размораживанием, например, по 25% от суммы в месяц</t>
  </si>
  <si>
    <t>предусмотрен для поддержки курса монеты</t>
  </si>
  <si>
    <t>Реальный внутренний курс монеты, центов ($/100)</t>
  </si>
  <si>
    <t>то есть посещение в среднем раз в месяц</t>
  </si>
  <si>
    <t>Средний чек для типа "Еда", $</t>
  </si>
  <si>
    <t>Средний чек для типа "Кино", $</t>
  </si>
  <si>
    <t>Средний чек для типа "Аренда", $</t>
  </si>
  <si>
    <t>по умолчанию отсутствует, т.е. моненты всегда обеспечены фиатной валютой</t>
  </si>
  <si>
    <t>например, долларового депозита</t>
  </si>
  <si>
    <t>Налог на прибыль</t>
  </si>
  <si>
    <t>Налог на альтернативный источник дохода</t>
  </si>
  <si>
    <r>
      <t xml:space="preserve">Заливкой помечены </t>
    </r>
    <r>
      <rPr>
        <b/>
        <i/>
        <sz val="11"/>
        <color theme="1"/>
        <rFont val="Calibri"/>
        <family val="2"/>
        <charset val="204"/>
        <scheme val="minor"/>
      </rPr>
      <t xml:space="preserve">управляемые </t>
    </r>
    <r>
      <rPr>
        <i/>
        <sz val="11"/>
        <color theme="1"/>
        <rFont val="Calibri"/>
        <family val="2"/>
        <charset val="204"/>
        <scheme val="minor"/>
      </rPr>
      <t>параметры</t>
    </r>
  </si>
  <si>
    <t>в том числе:</t>
  </si>
  <si>
    <t>от юзеров</t>
  </si>
  <si>
    <t>от бизнесов</t>
  </si>
  <si>
    <t>Доход от вывода средств</t>
  </si>
  <si>
    <t>Комиссия за вывод средств</t>
  </si>
  <si>
    <t>Прибыль основателей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</si>
</sst>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1" xfId="0" applyFill="1" applyBorder="1"/>
    <xf numFmtId="4" fontId="0" fillId="0" borderId="1" xfId="0" applyNumberFormat="1" applyBorder="1"/>
    <xf numFmtId="4" fontId="0" fillId="0" borderId="0" xfId="0" applyNumberFormat="1"/>
    <xf numFmtId="3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2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2" borderId="1" xfId="0" applyFont="1" applyFill="1" applyBorder="1"/>
    <xf numFmtId="9" fontId="3" fillId="0" borderId="1" xfId="0" applyNumberFormat="1" applyFont="1" applyBorder="1"/>
    <xf numFmtId="9" fontId="0" fillId="0" borderId="1" xfId="1" applyFont="1" applyBorder="1"/>
    <xf numFmtId="0" fontId="5" fillId="0" borderId="1" xfId="0" applyFont="1" applyBorder="1"/>
    <xf numFmtId="3" fontId="5" fillId="0" borderId="1" xfId="0" applyNumberFormat="1" applyFont="1" applyBorder="1"/>
    <xf numFmtId="9" fontId="0" fillId="0" borderId="0" xfId="0" applyNumberFormat="1"/>
    <xf numFmtId="0" fontId="0" fillId="0" borderId="2" xfId="0" applyFill="1" applyBorder="1"/>
    <xf numFmtId="9" fontId="0" fillId="0" borderId="0" xfId="1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/>
    <xf numFmtId="9" fontId="0" fillId="0" borderId="1" xfId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Dynamics!$A$28</c:f>
              <c:strCache>
                <c:ptCount val="1"/>
                <c:pt idx="0">
                  <c:v>Капитализация платформы,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Dynamics!$B$28:$M$28</c:f>
              <c:numCache>
                <c:formatCode>#,##0</c:formatCode>
                <c:ptCount val="12"/>
                <c:pt idx="1">
                  <c:v>3488765.0670000007</c:v>
                </c:pt>
                <c:pt idx="2">
                  <c:v>5363623.3594500003</c:v>
                </c:pt>
                <c:pt idx="3">
                  <c:v>7416271.5567891886</c:v>
                </c:pt>
                <c:pt idx="4">
                  <c:v>9745466.5458088517</c:v>
                </c:pt>
                <c:pt idx="5">
                  <c:v>12477906.442440962</c:v>
                </c:pt>
                <c:pt idx="6">
                  <c:v>15797212.356677938</c:v>
                </c:pt>
                <c:pt idx="7">
                  <c:v>19978545.663738348</c:v>
                </c:pt>
                <c:pt idx="8">
                  <c:v>25450516.445415057</c:v>
                </c:pt>
                <c:pt idx="9">
                  <c:v>32906547.619545832</c:v>
                </c:pt>
                <c:pt idx="10">
                  <c:v>43512890.119296789</c:v>
                </c:pt>
                <c:pt idx="11">
                  <c:v>59312540.074221246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A-47B1-BA49-9193E637B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88864"/>
        <c:axId val="230947904"/>
      </c:lineChart>
      <c:catAx>
        <c:axId val="18878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947904"/>
        <c:crosses val="autoZero"/>
        <c:auto val="1"/>
        <c:lblAlgn val="ctr"/>
        <c:lblOffset val="100"/>
        <c:noMultiLvlLbl val="0"/>
      </c:catAx>
      <c:valAx>
        <c:axId val="2309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Dynamics!$A$29</c:f>
              <c:strCache>
                <c:ptCount val="1"/>
                <c:pt idx="0">
                  <c:v>Реальный внутренний курс монеты, центов ($/100)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Dynamics!$C$29:$Q$29</c:f>
              <c:numCache>
                <c:formatCode>#,##0.00</c:formatCode>
                <c:ptCount val="15"/>
                <c:pt idx="0">
                  <c:v>101.46330663525718</c:v>
                </c:pt>
                <c:pt idx="1">
                  <c:v>101.53287609912987</c:v>
                </c:pt>
                <c:pt idx="2">
                  <c:v>101.66193878381948</c:v>
                </c:pt>
                <c:pt idx="3">
                  <c:v>101.80671472533413</c:v>
                </c:pt>
                <c:pt idx="4">
                  <c:v>101.95233544253419</c:v>
                </c:pt>
                <c:pt idx="5">
                  <c:v>102.09113307993458</c:v>
                </c:pt>
                <c:pt idx="6">
                  <c:v>102.21822898216242</c:v>
                </c:pt>
                <c:pt idx="7">
                  <c:v>102.33018744621548</c:v>
                </c:pt>
                <c:pt idx="8">
                  <c:v>102.42475222588145</c:v>
                </c:pt>
                <c:pt idx="9">
                  <c:v>102.50107343477643</c:v>
                </c:pt>
                <c:pt idx="10">
                  <c:v>102.56012925218543</c:v>
                </c:pt>
                <c:pt idx="11">
                  <c:v>102.60379947176645</c:v>
                </c:pt>
                <c:pt idx="12">
                  <c:v>102.63588793341218</c:v>
                </c:pt>
                <c:pt idx="13">
                  <c:v>102.66279012272923</c:v>
                </c:pt>
                <c:pt idx="14">
                  <c:v>102.69592725949201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52864"/>
        <c:axId val="238153648"/>
      </c:lineChart>
      <c:catAx>
        <c:axId val="23815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153648"/>
        <c:crosses val="autoZero"/>
        <c:auto val="1"/>
        <c:lblAlgn val="ctr"/>
        <c:lblOffset val="100"/>
        <c:noMultiLvlLbl val="0"/>
      </c:catAx>
      <c:valAx>
        <c:axId val="2381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1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31</xdr:row>
      <xdr:rowOff>147637</xdr:rowOff>
    </xdr:from>
    <xdr:to>
      <xdr:col>11</xdr:col>
      <xdr:colOff>200025</xdr:colOff>
      <xdr:row>46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1619250</xdr:colOff>
      <xdr:row>32</xdr:row>
      <xdr:rowOff>109537</xdr:rowOff>
    </xdr:from>
    <xdr:to>
      <xdr:col>4</xdr:col>
      <xdr:colOff>628650</xdr:colOff>
      <xdr:row>46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abSelected="1" workbookViewId="0">
      <selection activeCell="F9" sqref="F9"/>
    </sheetView>
  </sheetViews>
  <sheetFormatPr defaultRowHeight="15" x14ac:dyDescent="0.25"/>
  <cols>
    <col min="1" max="1" width="47.5703125" customWidth="1"/>
    <col min="2" max="2" width="14.7109375" bestFit="1" customWidth="1"/>
    <col min="3" max="3" width="9.5703125" customWidth="1"/>
    <col min="4" max="10" width="11.5703125" bestFit="1" customWidth="1"/>
    <col min="11" max="13" width="11.7109375" bestFit="1" customWidth="1"/>
    <col min="14" max="14" width="10.85546875" customWidth="1"/>
    <col min="15" max="15" width="11" customWidth="1"/>
    <col min="16" max="16" width="13.85546875" customWidth="1"/>
    <col min="17" max="17" width="13.5703125" customWidth="1"/>
    <col min="18" max="18" width="15" bestFit="1" customWidth="1"/>
  </cols>
  <sheetData>
    <row r="1" spans="1:38" x14ac:dyDescent="0.25">
      <c r="A1" s="23" t="s">
        <v>43</v>
      </c>
      <c r="B1" s="23" t="s">
        <v>44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38" x14ac:dyDescent="0.25">
      <c r="A2" s="23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21">
        <v>13</v>
      </c>
      <c r="O2" s="21">
        <v>14</v>
      </c>
      <c r="P2" s="21">
        <v>15</v>
      </c>
      <c r="Q2" s="21">
        <v>16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spans="1:38" x14ac:dyDescent="0.25">
      <c r="A3" s="1" t="s">
        <v>4</v>
      </c>
      <c r="B3" s="5">
        <f>SUMPRODUCT(B4:B6,Constants!$B$6:$B$8)</f>
        <v>7800</v>
      </c>
      <c r="C3" s="5">
        <f>SUMPRODUCT(C4:C6,Constants!$B$6:$B$8)+B3</f>
        <v>15726</v>
      </c>
      <c r="D3" s="5">
        <f>SUMPRODUCT(D4:D6,Constants!$B$6:$B$8)+C3</f>
        <v>24013.689600000002</v>
      </c>
      <c r="E3" s="5">
        <f>SUMPRODUCT(E4:E6,Constants!$B$6:$B$8)+D3</f>
        <v>32938.132612162808</v>
      </c>
      <c r="F3" s="5">
        <f>SUMPRODUCT(F4:F6,Constants!$B$6:$B$8)+E3</f>
        <v>42848.141643869851</v>
      </c>
      <c r="G3" s="5">
        <f>SUMPRODUCT(G4:G6,Constants!$B$6:$B$8)+F3</f>
        <v>54217.723017632648</v>
      </c>
      <c r="H3" s="5">
        <f>SUMPRODUCT(H4:H6,Constants!$B$6:$B$8)+G3</f>
        <v>67729.372241468271</v>
      </c>
      <c r="I3" s="5">
        <f>SUMPRODUCT(I4:I6,Constants!$B$6:$B$8)+H3</f>
        <v>84416.649717602471</v>
      </c>
      <c r="J3" s="5">
        <f>SUMPRODUCT(J4:J6,Constants!$B$6:$B$8)+I3</f>
        <v>105919.39055419998</v>
      </c>
      <c r="K3" s="5">
        <f>SUMPRODUCT(K4:K6,Constants!$B$6:$B$8)+J3</f>
        <v>134959.34575603274</v>
      </c>
      <c r="L3" s="5">
        <f>SUMPRODUCT(L4:L6,Constants!$B$6:$B$8)+K3</f>
        <v>176261.87789268373</v>
      </c>
      <c r="M3" s="5">
        <f>SUMPRODUCT(M4:M6,Constants!$B$6:$B$8)+L3</f>
        <v>238412.68958619464</v>
      </c>
      <c r="N3" s="5">
        <f>SUMPRODUCT(N4:N6,Constants!$B$6:$B$8)+M3</f>
        <v>337747.17373075045</v>
      </c>
      <c r="O3" s="5">
        <f>SUMPRODUCT(O4:O6,Constants!$B$6:$B$8)+N3</f>
        <v>506825.35611406178</v>
      </c>
      <c r="P3" s="5">
        <f>SUMPRODUCT(P4:P6,Constants!$B$6:$B$8)+O3</f>
        <v>813649.11872014438</v>
      </c>
      <c r="Q3" s="5">
        <f>SUMPRODUCT(Q4:Q6,Constants!$B$6:$B$8)+P3</f>
        <v>1407024.1174929824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8" x14ac:dyDescent="0.25">
      <c r="A4" s="2" t="s">
        <v>9</v>
      </c>
      <c r="B4" s="5">
        <v>2</v>
      </c>
      <c r="C4" s="5">
        <f t="shared" ref="C4:M4" si="0">B4*B16</f>
        <v>2.06</v>
      </c>
      <c r="D4" s="5">
        <f t="shared" si="0"/>
        <v>2.2278900000000004</v>
      </c>
      <c r="E4" s="5">
        <f t="shared" si="0"/>
        <v>2.529936186750001</v>
      </c>
      <c r="F4" s="5">
        <f t="shared" si="0"/>
        <v>3.0165788995320648</v>
      </c>
      <c r="G4" s="5">
        <f t="shared" si="0"/>
        <v>3.7766706211793286</v>
      </c>
      <c r="H4" s="5">
        <f t="shared" si="0"/>
        <v>4.9646979338899992</v>
      </c>
      <c r="I4" s="5">
        <f t="shared" si="0"/>
        <v>6.8527651599727131</v>
      </c>
      <c r="J4" s="5">
        <f t="shared" si="0"/>
        <v>9.9318046155504831</v>
      </c>
      <c r="K4" s="5">
        <f t="shared" si="0"/>
        <v>15.11401275977124</v>
      </c>
      <c r="L4" s="5">
        <f t="shared" si="0"/>
        <v>24.150198284419229</v>
      </c>
      <c r="M4" s="5">
        <f t="shared" si="0"/>
        <v>40.518272067733307</v>
      </c>
      <c r="N4" s="5">
        <f t="shared" ref="N4:N6" si="1">M4*M16</f>
        <v>71.378995303518465</v>
      </c>
      <c r="O4" s="5">
        <f>N4*N16</f>
        <v>132.03201286875543</v>
      </c>
      <c r="P4" s="5">
        <f t="shared" ref="P4:P6" si="2">O4*O16</f>
        <v>256.43503337993468</v>
      </c>
      <c r="Q4" s="5">
        <f t="shared" ref="Q4:Q6" si="3">P4*P16</f>
        <v>522.95554056599667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8" x14ac:dyDescent="0.25">
      <c r="A5" s="2" t="s">
        <v>10</v>
      </c>
      <c r="B5" s="5">
        <v>1</v>
      </c>
      <c r="C5" s="5">
        <f>B5*B17</f>
        <v>1.01</v>
      </c>
      <c r="D5" s="5">
        <f t="shared" ref="D5:M5" si="4">C5*C17</f>
        <v>1.040502</v>
      </c>
      <c r="E5" s="5">
        <f t="shared" si="4"/>
        <v>1.0933636636080002</v>
      </c>
      <c r="F5" s="5">
        <f t="shared" si="4"/>
        <v>1.1718891293974201</v>
      </c>
      <c r="G5" s="5">
        <f t="shared" si="4"/>
        <v>1.2811753864303108</v>
      </c>
      <c r="H5" s="5">
        <f t="shared" si="4"/>
        <v>1.4286663611869486</v>
      </c>
      <c r="I5" s="5">
        <f t="shared" si="4"/>
        <v>1.624999469291744</v>
      </c>
      <c r="J5" s="5">
        <f t="shared" si="4"/>
        <v>1.8852797363162441</v>
      </c>
      <c r="K5" s="5">
        <f t="shared" si="4"/>
        <v>2.2309947457570898</v>
      </c>
      <c r="L5" s="5">
        <f t="shared" si="4"/>
        <v>2.6929076937026175</v>
      </c>
      <c r="M5" s="5">
        <f t="shared" si="4"/>
        <v>3.3154658467062861</v>
      </c>
      <c r="N5" s="5">
        <f t="shared" si="1"/>
        <v>4.163588704696064</v>
      </c>
      <c r="O5" s="5">
        <f t="shared" ref="O5:O6" si="5">N5*N17</f>
        <v>5.3332415827707216</v>
      </c>
      <c r="P5" s="5">
        <f t="shared" si="2"/>
        <v>6.9681078400169465</v>
      </c>
      <c r="Q5" s="5">
        <f t="shared" si="3"/>
        <v>9.2862130167706081</v>
      </c>
    </row>
    <row r="6" spans="1:38" x14ac:dyDescent="0.25">
      <c r="A6" s="2" t="s">
        <v>11</v>
      </c>
      <c r="B6" s="5">
        <v>2</v>
      </c>
      <c r="C6" s="5">
        <f t="shared" ref="C6:M6" si="6">B6*B18</f>
        <v>2.04</v>
      </c>
      <c r="D6" s="5">
        <f t="shared" si="6"/>
        <v>2.143224</v>
      </c>
      <c r="E6" s="5">
        <f t="shared" si="6"/>
        <v>2.3192212684319999</v>
      </c>
      <c r="F6" s="5">
        <f t="shared" si="6"/>
        <v>2.5849612129696915</v>
      </c>
      <c r="G6" s="5">
        <f t="shared" si="6"/>
        <v>2.9675845510797871</v>
      </c>
      <c r="H6" s="5">
        <f t="shared" si="6"/>
        <v>3.509048710027201</v>
      </c>
      <c r="I6" s="5">
        <f t="shared" si="6"/>
        <v>4.2737874242569056</v>
      </c>
      <c r="J6" s="5">
        <f t="shared" si="6"/>
        <v>5.3613438486645393</v>
      </c>
      <c r="K6" s="5">
        <f t="shared" si="6"/>
        <v>6.9274217831901677</v>
      </c>
      <c r="L6" s="5">
        <f t="shared" si="6"/>
        <v>9.2194884592967181</v>
      </c>
      <c r="M6" s="5">
        <f t="shared" si="6"/>
        <v>12.638025980615421</v>
      </c>
      <c r="N6" s="5">
        <f t="shared" si="1"/>
        <v>17.843863293892657</v>
      </c>
      <c r="O6" s="5">
        <f t="shared" si="5"/>
        <v>25.94990400175562</v>
      </c>
      <c r="P6" s="5">
        <f t="shared" si="2"/>
        <v>38.870475065157983</v>
      </c>
      <c r="Q6" s="5">
        <f t="shared" si="3"/>
        <v>59.970982807470669</v>
      </c>
    </row>
    <row r="7" spans="1:38" x14ac:dyDescent="0.25">
      <c r="A7" s="1" t="s">
        <v>22</v>
      </c>
      <c r="B7" s="5">
        <f>B4*Constants!$B$6*Constants!$B$9</f>
        <v>9000</v>
      </c>
      <c r="C7" s="5">
        <f>C4*Constants!$B$6*Constants!$B$9</f>
        <v>9270</v>
      </c>
      <c r="D7" s="5">
        <f>D4*Constants!$B$6*Constants!$B$9</f>
        <v>10025.505000000001</v>
      </c>
      <c r="E7" s="5">
        <f>E4*Constants!$B$6*Constants!$B$9</f>
        <v>11384.712840375005</v>
      </c>
      <c r="F7" s="5">
        <f>F4*Constants!$B$6*Constants!$B$9</f>
        <v>13574.605047894293</v>
      </c>
      <c r="G7" s="5">
        <f>G4*Constants!$B$6*Constants!$B$9</f>
        <v>16995.01779530698</v>
      </c>
      <c r="H7" s="5">
        <f>H4*Constants!$B$6*Constants!$B$9</f>
        <v>22341.140702504996</v>
      </c>
      <c r="I7" s="5">
        <f>I4*Constants!$B$6*Constants!$B$9</f>
        <v>30837.443219877208</v>
      </c>
      <c r="J7" s="5">
        <f>J4*Constants!$B$6*Constants!$B$9</f>
        <v>44693.120769977177</v>
      </c>
      <c r="K7" s="5">
        <f>K4*Constants!$B$6*Constants!$B$9</f>
        <v>68013.05741897058</v>
      </c>
      <c r="L7" s="5">
        <f>L4*Constants!$B$6*Constants!$B$9</f>
        <v>108675.89227988652</v>
      </c>
      <c r="M7" s="5">
        <f>M4*Constants!$B$6*Constants!$B$9</f>
        <v>182332.22430479986</v>
      </c>
      <c r="N7" s="5">
        <f>N4*Constants!$B$6*Constants!$B$9</f>
        <v>321205.47886583308</v>
      </c>
      <c r="O7" s="5">
        <f>O4*Constants!$B$6*Constants!$B$9</f>
        <v>594144.0579093995</v>
      </c>
      <c r="P7" s="5">
        <f>P4*Constants!$B$6*Constants!$B$9</f>
        <v>1153957.650209706</v>
      </c>
      <c r="Q7" s="5">
        <f>Q4*Constants!$B$6*Constants!$B$9</f>
        <v>2353299.9325469849</v>
      </c>
    </row>
    <row r="8" spans="1:38" x14ac:dyDescent="0.25">
      <c r="A8" s="1" t="s">
        <v>23</v>
      </c>
      <c r="B8" s="5">
        <f>B5*Constants!$B$6*Constants!$B$9</f>
        <v>4500</v>
      </c>
      <c r="C8" s="5">
        <f>C5*Constants!$B$6*Constants!$B$9</f>
        <v>4545</v>
      </c>
      <c r="D8" s="5">
        <f>D5*Constants!$B$6*Constants!$B$9</f>
        <v>4682.259</v>
      </c>
      <c r="E8" s="5">
        <f>E5*Constants!$B$6*Constants!$B$9</f>
        <v>4920.1364862360015</v>
      </c>
      <c r="F8" s="5">
        <f>F5*Constants!$B$6*Constants!$B$9</f>
        <v>5273.5010822883896</v>
      </c>
      <c r="G8" s="5">
        <f>G5*Constants!$B$6*Constants!$B$9</f>
        <v>5765.2892389363979</v>
      </c>
      <c r="H8" s="5">
        <f>H5*Constants!$B$6*Constants!$B$9</f>
        <v>6428.9986253412681</v>
      </c>
      <c r="I8" s="5">
        <f>I5*Constants!$B$6*Constants!$B$9</f>
        <v>7312.4976118128479</v>
      </c>
      <c r="J8" s="5">
        <f>J5*Constants!$B$6*Constants!$B$9</f>
        <v>8483.7588134230991</v>
      </c>
      <c r="K8" s="5">
        <f>K5*Constants!$B$6*Constants!$B$9</f>
        <v>10039.476355906903</v>
      </c>
      <c r="L8" s="5">
        <f>L5*Constants!$B$6*Constants!$B$9</f>
        <v>12118.084621661779</v>
      </c>
      <c r="M8" s="5">
        <f>M5*Constants!$B$6*Constants!$B$9</f>
        <v>14919.596310178287</v>
      </c>
      <c r="N8" s="5">
        <f>N5*Constants!$B$6*Constants!$B$9</f>
        <v>18736.149171132289</v>
      </c>
      <c r="O8" s="5">
        <f>O5*Constants!$B$6*Constants!$B$9</f>
        <v>23999.587122468249</v>
      </c>
      <c r="P8" s="5">
        <f>P5*Constants!$B$6*Constants!$B$9</f>
        <v>31356.48528007626</v>
      </c>
      <c r="Q8" s="5">
        <f>Q5*Constants!$B$6*Constants!$B$9</f>
        <v>41787.958575467732</v>
      </c>
    </row>
    <row r="9" spans="1:38" x14ac:dyDescent="0.25">
      <c r="A9" s="1" t="s">
        <v>24</v>
      </c>
      <c r="B9" s="5">
        <f>B6*Constants!$B$6*Constants!$B$9</f>
        <v>9000</v>
      </c>
      <c r="C9" s="5">
        <f>C6*Constants!$B$6*Constants!$B$9</f>
        <v>9180</v>
      </c>
      <c r="D9" s="5">
        <f>D6*Constants!$B$6*Constants!$B$9</f>
        <v>9644.5080000000016</v>
      </c>
      <c r="E9" s="5">
        <f>E6*Constants!$B$6*Constants!$B$9</f>
        <v>10436.495707943999</v>
      </c>
      <c r="F9" s="5">
        <f>F6*Constants!$B$6*Constants!$B$9</f>
        <v>11632.325458363612</v>
      </c>
      <c r="G9" s="5">
        <f>G6*Constants!$B$6*Constants!$B$9</f>
        <v>13354.130479859043</v>
      </c>
      <c r="H9" s="5">
        <f>H6*Constants!$B$6*Constants!$B$9</f>
        <v>15790.719195122405</v>
      </c>
      <c r="I9" s="5">
        <f>I6*Constants!$B$6*Constants!$B$9</f>
        <v>19232.043409156078</v>
      </c>
      <c r="J9" s="5">
        <f>J6*Constants!$B$6*Constants!$B$9</f>
        <v>24126.047318990426</v>
      </c>
      <c r="K9" s="5">
        <f>K6*Constants!$B$6*Constants!$B$9</f>
        <v>31173.398024355756</v>
      </c>
      <c r="L9" s="5">
        <f>L6*Constants!$B$6*Constants!$B$9</f>
        <v>41487.698066835226</v>
      </c>
      <c r="M9" s="5">
        <f>M6*Constants!$B$6*Constants!$B$9</f>
        <v>56871.116912769394</v>
      </c>
      <c r="N9" s="5">
        <f>N6*Constants!$B$6*Constants!$B$9</f>
        <v>80297.384822516949</v>
      </c>
      <c r="O9" s="5">
        <f>O6*Constants!$B$6*Constants!$B$9</f>
        <v>116774.56800790028</v>
      </c>
      <c r="P9" s="5">
        <f>P6*Constants!$B$6*Constants!$B$9</f>
        <v>174917.13779321092</v>
      </c>
      <c r="Q9" s="5">
        <f>Q6*Constants!$B$6*Constants!$B$9</f>
        <v>269869.422633618</v>
      </c>
    </row>
    <row r="10" spans="1:38" x14ac:dyDescent="0.25">
      <c r="A10" s="1" t="s">
        <v>28</v>
      </c>
      <c r="B10" s="5">
        <f>B12+B13</f>
        <v>9095.625</v>
      </c>
      <c r="C10" s="5">
        <f t="shared" ref="C10:Q10" si="7">C12+C13</f>
        <v>9290.53125</v>
      </c>
      <c r="D10" s="5">
        <f t="shared" si="7"/>
        <v>9806.8483012500019</v>
      </c>
      <c r="E10" s="5">
        <f t="shared" si="7"/>
        <v>10701.222053689284</v>
      </c>
      <c r="F10" s="5">
        <f t="shared" si="7"/>
        <v>12077.576553829891</v>
      </c>
      <c r="G10" s="5">
        <f t="shared" si="7"/>
        <v>14109.130484335685</v>
      </c>
      <c r="H10" s="5">
        <f t="shared" si="7"/>
        <v>17078.314483165559</v>
      </c>
      <c r="I10" s="5">
        <f t="shared" si="7"/>
        <v>21448.709140013529</v>
      </c>
      <c r="J10" s="5">
        <f t="shared" si="7"/>
        <v>27997.043969635208</v>
      </c>
      <c r="K10" s="5">
        <f t="shared" si="7"/>
        <v>38062.329631161803</v>
      </c>
      <c r="L10" s="5">
        <f t="shared" si="7"/>
        <v>54032.002420176228</v>
      </c>
      <c r="M10" s="5">
        <f t="shared" si="7"/>
        <v>80325.724346361065</v>
      </c>
      <c r="N10" s="5">
        <f t="shared" si="7"/>
        <v>125464.3953527324</v>
      </c>
      <c r="O10" s="5">
        <f t="shared" si="7"/>
        <v>206599.1087741802</v>
      </c>
      <c r="P10" s="5">
        <f t="shared" si="7"/>
        <v>359841.10547434818</v>
      </c>
      <c r="Q10" s="5">
        <f t="shared" si="7"/>
        <v>664831.78345606918</v>
      </c>
    </row>
    <row r="11" spans="1:38" x14ac:dyDescent="0.25">
      <c r="A11" s="1" t="s">
        <v>63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4"/>
    </row>
    <row r="12" spans="1:38" x14ac:dyDescent="0.25">
      <c r="A12" s="18" t="s">
        <v>64</v>
      </c>
      <c r="B12" s="19">
        <f>SUMPRODUCT(B7:B9,Constants!$B$12:$B$14,Constants!$B$15:$B$17)*Constants!$B$2</f>
        <v>2362.5</v>
      </c>
      <c r="C12" s="19">
        <f>SUMPRODUCT(C7:C9,Constants!$B$12:$B$14,Constants!$B$15:$B$17)*Constants!$B$2</f>
        <v>2413.125</v>
      </c>
      <c r="D12" s="19">
        <f>SUMPRODUCT(D7:D9,Constants!$B$12:$B$14,Constants!$B$15:$B$17)*Constants!$B$2</f>
        <v>2547.2333250000006</v>
      </c>
      <c r="E12" s="19">
        <f>SUMPRODUCT(E7:E9,Constants!$B$12:$B$14,Constants!$B$15:$B$17)*Constants!$B$2</f>
        <v>2779.5381957634504</v>
      </c>
      <c r="F12" s="19">
        <f>SUMPRODUCT(F7:F9,Constants!$B$12:$B$14,Constants!$B$15:$B$17)*Constants!$B$2</f>
        <v>3137.0328711246475</v>
      </c>
      <c r="G12" s="19">
        <f>SUMPRODUCT(G7:G9,Constants!$B$12:$B$14,Constants!$B$15:$B$17)*Constants!$B$2</f>
        <v>3664.7092167105675</v>
      </c>
      <c r="H12" s="19">
        <f>SUMPRODUCT(H7:H9,Constants!$B$12:$B$14,Constants!$B$15:$B$17)*Constants!$B$2</f>
        <v>4435.9258397832627</v>
      </c>
      <c r="I12" s="19">
        <f>SUMPRODUCT(I7:I9,Constants!$B$12:$B$14,Constants!$B$15:$B$17)*Constants!$B$2</f>
        <v>5571.0932831203972</v>
      </c>
      <c r="J12" s="19">
        <f>SUMPRODUCT(J7:J9,Constants!$B$12:$B$14,Constants!$B$15:$B$17)*Constants!$B$2</f>
        <v>7271.9594726325222</v>
      </c>
      <c r="K12" s="19">
        <f>SUMPRODUCT(K7:K9,Constants!$B$12:$B$14,Constants!$B$15:$B$17)*Constants!$B$2</f>
        <v>9886.3193847173534</v>
      </c>
      <c r="L12" s="19">
        <f>SUMPRODUCT(L7:L9,Constants!$B$12:$B$14,Constants!$B$15:$B$17)*Constants!$B$2</f>
        <v>14034.286342902918</v>
      </c>
      <c r="M12" s="19">
        <f>SUMPRODUCT(M7:M9,Constants!$B$12:$B$14,Constants!$B$15:$B$17)*Constants!$B$2</f>
        <v>20863.824505548331</v>
      </c>
      <c r="N12" s="19">
        <f>SUMPRODUCT(N7:N9,Constants!$B$12:$B$14,Constants!$B$15:$B$17)*Constants!$B$2</f>
        <v>32588.154637073356</v>
      </c>
      <c r="O12" s="19">
        <f>SUMPRODUCT(O7:O9,Constants!$B$12:$B$14,Constants!$B$15:$B$17)*Constants!$B$2</f>
        <v>53662.106175111752</v>
      </c>
      <c r="P12" s="19">
        <f>SUMPRODUCT(P7:P9,Constants!$B$12:$B$14,Constants!$B$15:$B$17)*Constants!$B$2</f>
        <v>93465.222201129392</v>
      </c>
      <c r="Q12" s="19">
        <f>SUMPRODUCT(Q7:Q9,Constants!$B$12:$B$14,Constants!$B$15:$B$17)*Constants!$B$2</f>
        <v>172683.58011845956</v>
      </c>
    </row>
    <row r="13" spans="1:38" x14ac:dyDescent="0.25">
      <c r="A13" s="18" t="s">
        <v>65</v>
      </c>
      <c r="B13" s="19">
        <f>SUMPRODUCT(B7:B9,Constants!$B$12:$B$14,Constants!$D$15:$D$17,Constants!$B$18:$B$20)</f>
        <v>6733.125</v>
      </c>
      <c r="C13" s="19">
        <f>SUMPRODUCT(C7:C9,Constants!$B$12:$B$14,Constants!$D$15:$D$17,Constants!$B$18:$B$20)</f>
        <v>6877.4062499999991</v>
      </c>
      <c r="D13" s="19">
        <f>SUMPRODUCT(D7:D9,Constants!$B$12:$B$14,Constants!$D$15:$D$17,Constants!$B$18:$B$20)</f>
        <v>7259.6149762500008</v>
      </c>
      <c r="E13" s="19">
        <f>SUMPRODUCT(E7:E9,Constants!$B$12:$B$14,Constants!$D$15:$D$17,Constants!$B$18:$B$20)</f>
        <v>7921.6838579258329</v>
      </c>
      <c r="F13" s="19">
        <f>SUMPRODUCT(F7:F9,Constants!$B$12:$B$14,Constants!$D$15:$D$17,Constants!$B$18:$B$20)</f>
        <v>8940.5436827052436</v>
      </c>
      <c r="G13" s="19">
        <f>SUMPRODUCT(G7:G9,Constants!$B$12:$B$14,Constants!$D$15:$D$17,Constants!$B$18:$B$20)</f>
        <v>10444.421267625117</v>
      </c>
      <c r="H13" s="19">
        <f>SUMPRODUCT(H7:H9,Constants!$B$12:$B$14,Constants!$D$15:$D$17,Constants!$B$18:$B$20)</f>
        <v>12642.388643382297</v>
      </c>
      <c r="I13" s="19">
        <f>SUMPRODUCT(I7:I9,Constants!$B$12:$B$14,Constants!$D$15:$D$17,Constants!$B$18:$B$20)</f>
        <v>15877.615856893131</v>
      </c>
      <c r="J13" s="19">
        <f>SUMPRODUCT(J7:J9,Constants!$B$12:$B$14,Constants!$D$15:$D$17,Constants!$B$18:$B$20)</f>
        <v>20725.084497002685</v>
      </c>
      <c r="K13" s="19">
        <f>SUMPRODUCT(K7:K9,Constants!$B$12:$B$14,Constants!$D$15:$D$17,Constants!$B$18:$B$20)</f>
        <v>28176.01024644445</v>
      </c>
      <c r="L13" s="19">
        <f>SUMPRODUCT(L7:L9,Constants!$B$12:$B$14,Constants!$D$15:$D$17,Constants!$B$18:$B$20)</f>
        <v>39997.716077273311</v>
      </c>
      <c r="M13" s="19">
        <f>SUMPRODUCT(M7:M9,Constants!$B$12:$B$14,Constants!$D$15:$D$17,Constants!$B$18:$B$20)</f>
        <v>59461.899840812737</v>
      </c>
      <c r="N13" s="19">
        <f>SUMPRODUCT(N7:N9,Constants!$B$12:$B$14,Constants!$D$15:$D$17,Constants!$B$18:$B$20)</f>
        <v>92876.240715659049</v>
      </c>
      <c r="O13" s="19">
        <f>SUMPRODUCT(O7:O9,Constants!$B$12:$B$14,Constants!$D$15:$D$17,Constants!$B$18:$B$20)</f>
        <v>152937.00259906845</v>
      </c>
      <c r="P13" s="19">
        <f>SUMPRODUCT(P7:P9,Constants!$B$12:$B$14,Constants!$D$15:$D$17,Constants!$B$18:$B$20)</f>
        <v>266375.88327321876</v>
      </c>
      <c r="Q13" s="19">
        <f>SUMPRODUCT(Q7:Q9,Constants!$B$12:$B$14,Constants!$D$15:$D$17,Constants!$B$18:$B$20)</f>
        <v>492148.20333760965</v>
      </c>
    </row>
    <row r="14" spans="1:38" x14ac:dyDescent="0.25">
      <c r="A14" s="1" t="s">
        <v>30</v>
      </c>
      <c r="B14" s="5">
        <f>(B7*Constants!$B$12*Constants!$B$15+Dynamics!B8*Constants!$B$13*Constants!$B$16+Dynamics!B9*Constants!$B$14*Constants!$B$17)*(1-Constants!$B$2-Constants!$B$4-Constants!$B$5)</f>
        <v>18900</v>
      </c>
      <c r="C14" s="5">
        <f>(C7*Constants!$B$12*Constants!$B$15+Dynamics!C8*Constants!$B$13*Constants!$B$16+Dynamics!C9*Constants!$B$14*Constants!$B$17)*(1-Constants!$B$2-Constants!$B$4-Constants!$B$5)</f>
        <v>19305</v>
      </c>
      <c r="D14" s="5">
        <f>(D7*Constants!$B$12*Constants!$B$15+Dynamics!D8*Constants!$B$13*Constants!$B$16+Dynamics!D9*Constants!$B$14*Constants!$B$17)*(1-Constants!$B$2-Constants!$B$4-Constants!$B$5)</f>
        <v>20377.866600000001</v>
      </c>
      <c r="E14" s="5">
        <f>(E7*Constants!$B$12*Constants!$B$15+Dynamics!E8*Constants!$B$13*Constants!$B$16+Dynamics!E9*Constants!$B$14*Constants!$B$17)*(1-Constants!$B$2-Constants!$B$4-Constants!$B$5)</f>
        <v>22236.3055661076</v>
      </c>
      <c r="F14" s="5">
        <f>(F7*Constants!$B$12*Constants!$B$15+Dynamics!F8*Constants!$B$13*Constants!$B$16+Dynamics!F9*Constants!$B$14*Constants!$B$17)*(1-Constants!$B$2-Constants!$B$4-Constants!$B$5)</f>
        <v>25096.262968997176</v>
      </c>
      <c r="G14" s="5">
        <f>(G7*Constants!$B$12*Constants!$B$15+Dynamics!G8*Constants!$B$13*Constants!$B$16+Dynamics!G9*Constants!$B$14*Constants!$B$17)*(1-Constants!$B$2-Constants!$B$4-Constants!$B$5)</f>
        <v>29317.673733684536</v>
      </c>
      <c r="H14" s="5">
        <f>(H7*Constants!$B$12*Constants!$B$15+Dynamics!H8*Constants!$B$13*Constants!$B$16+Dynamics!H9*Constants!$B$14*Constants!$B$17)*(1-Constants!$B$2-Constants!$B$4-Constants!$B$5)</f>
        <v>35487.406718266102</v>
      </c>
      <c r="I14" s="5">
        <f>(I7*Constants!$B$12*Constants!$B$15+Dynamics!I8*Constants!$B$13*Constants!$B$16+Dynamics!I9*Constants!$B$14*Constants!$B$17)*(1-Constants!$B$2-Constants!$B$4-Constants!$B$5)</f>
        <v>44568.746264963171</v>
      </c>
      <c r="J14" s="5">
        <f>(J7*Constants!$B$12*Constants!$B$15+Dynamics!J8*Constants!$B$13*Constants!$B$16+Dynamics!J9*Constants!$B$14*Constants!$B$17)*(1-Constants!$B$2-Constants!$B$4-Constants!$B$5)</f>
        <v>58175.67578106017</v>
      </c>
      <c r="K14" s="5">
        <f>(K7*Constants!$B$12*Constants!$B$15+Dynamics!K8*Constants!$B$13*Constants!$B$16+Dynamics!K9*Constants!$B$14*Constants!$B$17)*(1-Constants!$B$2-Constants!$B$4-Constants!$B$5)</f>
        <v>79090.555077738827</v>
      </c>
      <c r="L14" s="5">
        <f>(L7*Constants!$B$12*Constants!$B$15+Dynamics!L8*Constants!$B$13*Constants!$B$16+Dynamics!L9*Constants!$B$14*Constants!$B$17)*(1-Constants!$B$2-Constants!$B$4-Constants!$B$5)</f>
        <v>112274.29074322333</v>
      </c>
      <c r="M14" s="5">
        <f>(M7*Constants!$B$12*Constants!$B$15+Dynamics!M8*Constants!$B$13*Constants!$B$16+Dynamics!M9*Constants!$B$14*Constants!$B$17)*(1-Constants!$B$2-Constants!$B$4-Constants!$B$5)</f>
        <v>166910.59604438662</v>
      </c>
      <c r="N14" s="5">
        <f>(N7*Constants!$B$12*Constants!$B$15+Dynamics!N8*Constants!$B$13*Constants!$B$16+Dynamics!N9*Constants!$B$14*Constants!$B$17)*(1-Constants!$B$2-Constants!$B$4-Constants!$B$5)</f>
        <v>260705.23709658679</v>
      </c>
      <c r="O14" s="5">
        <f>(O7*Constants!$B$12*Constants!$B$15+Dynamics!O8*Constants!$B$13*Constants!$B$16+Dynamics!O9*Constants!$B$14*Constants!$B$17)*(1-Constants!$B$2-Constants!$B$4-Constants!$B$5)</f>
        <v>429296.84940089396</v>
      </c>
      <c r="P14" s="5">
        <f>(P7*Constants!$B$12*Constants!$B$15+Dynamics!P8*Constants!$B$13*Constants!$B$16+Dynamics!P9*Constants!$B$14*Constants!$B$17)*(1-Constants!$B$2-Constants!$B$4-Constants!$B$5)</f>
        <v>747721.77760903502</v>
      </c>
      <c r="Q14" s="5">
        <f>(Q7*Constants!$B$12*Constants!$B$15+Dynamics!Q8*Constants!$B$13*Constants!$B$16+Dynamics!Q9*Constants!$B$14*Constants!$B$17)*(1-Constants!$B$2-Constants!$B$4-Constants!$B$5)</f>
        <v>1381468.6409476763</v>
      </c>
    </row>
    <row r="15" spans="1:38" x14ac:dyDescent="0.25">
      <c r="A15" s="1" t="s">
        <v>29</v>
      </c>
      <c r="B15" s="3">
        <f>B19/B3</f>
        <v>2.1807692307692306</v>
      </c>
      <c r="C15" s="3">
        <f t="shared" ref="C15:L15" si="8">C19/C3</f>
        <v>2.1864746280045786</v>
      </c>
      <c r="D15" s="3">
        <f t="shared" si="8"/>
        <v>2.19984809302274</v>
      </c>
      <c r="E15" s="3">
        <f t="shared" si="8"/>
        <v>2.214768112974006</v>
      </c>
      <c r="F15" s="3">
        <f t="shared" si="8"/>
        <v>2.2340568524606579</v>
      </c>
      <c r="G15" s="3">
        <f t="shared" si="8"/>
        <v>2.2573727169559472</v>
      </c>
      <c r="H15" s="3">
        <f t="shared" si="8"/>
        <v>2.2846274048947768</v>
      </c>
      <c r="I15" s="3">
        <f t="shared" si="8"/>
        <v>2.3153007174065432</v>
      </c>
      <c r="J15" s="3">
        <f t="shared" si="8"/>
        <v>2.3481041528700568</v>
      </c>
      <c r="K15" s="3">
        <f t="shared" si="8"/>
        <v>2.3805342513617416</v>
      </c>
      <c r="L15" s="3">
        <f t="shared" si="8"/>
        <v>2.4084138925971486</v>
      </c>
      <c r="M15" s="3">
        <f>M19/M3</f>
        <v>2.4257084247934748</v>
      </c>
      <c r="N15" s="3">
        <f t="shared" ref="N15:Q15" si="9">N19/N3</f>
        <v>2.4262882941976107</v>
      </c>
      <c r="O15" s="3">
        <f t="shared" si="9"/>
        <v>2.4046115082091584</v>
      </c>
      <c r="P15" s="3">
        <f t="shared" si="9"/>
        <v>2.357082312146114</v>
      </c>
      <c r="Q15" s="3">
        <f t="shared" si="9"/>
        <v>2.2810633346024436</v>
      </c>
    </row>
    <row r="16" spans="1:38" x14ac:dyDescent="0.25">
      <c r="A16" s="2" t="s">
        <v>12</v>
      </c>
      <c r="B16" s="3">
        <v>1.03</v>
      </c>
      <c r="C16" s="3">
        <f>B16*1.05</f>
        <v>1.0815000000000001</v>
      </c>
      <c r="D16" s="3">
        <f t="shared" ref="D16:M16" si="10">C16*1.05</f>
        <v>1.1355750000000002</v>
      </c>
      <c r="E16" s="3">
        <f t="shared" si="10"/>
        <v>1.1923537500000003</v>
      </c>
      <c r="F16" s="3">
        <f t="shared" si="10"/>
        <v>1.2519714375000004</v>
      </c>
      <c r="G16" s="3">
        <f t="shared" si="10"/>
        <v>1.3145700093750006</v>
      </c>
      <c r="H16" s="3">
        <f t="shared" si="10"/>
        <v>1.3802985098437506</v>
      </c>
      <c r="I16" s="3">
        <f t="shared" si="10"/>
        <v>1.4493134353359383</v>
      </c>
      <c r="J16" s="3">
        <f t="shared" si="10"/>
        <v>1.5217791071027353</v>
      </c>
      <c r="K16" s="3">
        <f t="shared" si="10"/>
        <v>1.5978680624578723</v>
      </c>
      <c r="L16" s="3">
        <f t="shared" si="10"/>
        <v>1.677761465580766</v>
      </c>
      <c r="M16" s="3">
        <f t="shared" si="10"/>
        <v>1.7616495388598044</v>
      </c>
      <c r="N16" s="3">
        <f t="shared" ref="N16" si="11">M16*1.05</f>
        <v>1.8497320158027946</v>
      </c>
      <c r="O16" s="3">
        <f t="shared" ref="O16" si="12">N16*1.05</f>
        <v>1.9422186165929343</v>
      </c>
      <c r="P16" s="3">
        <f t="shared" ref="P16" si="13">O16*1.05</f>
        <v>2.039329547422581</v>
      </c>
      <c r="Q16" s="3">
        <f t="shared" ref="Q16" si="14">P16*1.05</f>
        <v>2.1412960247937103</v>
      </c>
    </row>
    <row r="17" spans="1:18" x14ac:dyDescent="0.25">
      <c r="A17" s="2" t="s">
        <v>13</v>
      </c>
      <c r="B17" s="3">
        <v>1.01</v>
      </c>
      <c r="C17" s="3">
        <f>B17*1.02</f>
        <v>1.0302</v>
      </c>
      <c r="D17" s="3">
        <f t="shared" ref="D17:M17" si="15">C17*1.02</f>
        <v>1.0508040000000001</v>
      </c>
      <c r="E17" s="3">
        <f t="shared" si="15"/>
        <v>1.0718200800000002</v>
      </c>
      <c r="F17" s="3">
        <f t="shared" si="15"/>
        <v>1.0932564816000001</v>
      </c>
      <c r="G17" s="3">
        <f t="shared" si="15"/>
        <v>1.1151216112320002</v>
      </c>
      <c r="H17" s="3">
        <f t="shared" si="15"/>
        <v>1.1374240434566403</v>
      </c>
      <c r="I17" s="3">
        <f t="shared" si="15"/>
        <v>1.160172524325773</v>
      </c>
      <c r="J17" s="3">
        <f t="shared" si="15"/>
        <v>1.1833759748122885</v>
      </c>
      <c r="K17" s="3">
        <f t="shared" si="15"/>
        <v>1.2070434943085342</v>
      </c>
      <c r="L17" s="3">
        <f t="shared" si="15"/>
        <v>1.2311843641947049</v>
      </c>
      <c r="M17" s="3">
        <f t="shared" si="15"/>
        <v>1.255808051478599</v>
      </c>
      <c r="N17" s="3">
        <f t="shared" ref="N17" si="16">M17*1.02</f>
        <v>1.280924212508171</v>
      </c>
      <c r="O17" s="3">
        <f t="shared" ref="O17" si="17">N17*1.02</f>
        <v>1.3065426967583345</v>
      </c>
      <c r="P17" s="3">
        <f t="shared" ref="P17" si="18">O17*1.02</f>
        <v>1.3326735506935012</v>
      </c>
      <c r="Q17" s="3">
        <f t="shared" ref="Q17" si="19">P17*1.02</f>
        <v>1.3593270217073712</v>
      </c>
    </row>
    <row r="18" spans="1:18" x14ac:dyDescent="0.25">
      <c r="A18" s="2" t="s">
        <v>14</v>
      </c>
      <c r="B18" s="3">
        <v>1.02</v>
      </c>
      <c r="C18" s="3">
        <f>B18*1.03</f>
        <v>1.0506</v>
      </c>
      <c r="D18" s="3">
        <f t="shared" ref="D18:M18" si="20">C18*1.03</f>
        <v>1.0821179999999999</v>
      </c>
      <c r="E18" s="3">
        <f t="shared" si="20"/>
        <v>1.1145815399999999</v>
      </c>
      <c r="F18" s="3">
        <f t="shared" si="20"/>
        <v>1.1480189861999999</v>
      </c>
      <c r="G18" s="3">
        <f t="shared" si="20"/>
        <v>1.1824595557859998</v>
      </c>
      <c r="H18" s="3">
        <f t="shared" si="20"/>
        <v>1.2179333424595797</v>
      </c>
      <c r="I18" s="3">
        <f t="shared" si="20"/>
        <v>1.2544713427333671</v>
      </c>
      <c r="J18" s="3">
        <f t="shared" si="20"/>
        <v>1.2921054830153682</v>
      </c>
      <c r="K18" s="3">
        <f t="shared" si="20"/>
        <v>1.3308686475058293</v>
      </c>
      <c r="L18" s="3">
        <f t="shared" si="20"/>
        <v>1.3707947069310042</v>
      </c>
      <c r="M18" s="3">
        <f t="shared" si="20"/>
        <v>1.4119185481389345</v>
      </c>
      <c r="N18" s="3">
        <f t="shared" ref="N18" si="21">M18*1.03</f>
        <v>1.4542761045831025</v>
      </c>
      <c r="O18" s="3">
        <f t="shared" ref="O18" si="22">N18*1.03</f>
        <v>1.4979043877205955</v>
      </c>
      <c r="P18" s="3">
        <f t="shared" ref="P18" si="23">O18*1.03</f>
        <v>1.5428415193522134</v>
      </c>
      <c r="Q18" s="3">
        <f t="shared" ref="Q18" si="24">P18*1.03</f>
        <v>1.5891267649327798</v>
      </c>
    </row>
    <row r="19" spans="1:18" x14ac:dyDescent="0.25">
      <c r="A19" s="2" t="s">
        <v>5</v>
      </c>
      <c r="B19" s="5">
        <f>Constants!$B$21+Dynamics!B14-Dynamics!B25</f>
        <v>17010</v>
      </c>
      <c r="C19" s="5">
        <f>B19+C14-C25</f>
        <v>34384.5</v>
      </c>
      <c r="D19" s="5">
        <f t="shared" ref="D19:L19" si="25">C19+D14-D25</f>
        <v>52826.469273000002</v>
      </c>
      <c r="E19" s="5">
        <f t="shared" si="25"/>
        <v>72950.325810327384</v>
      </c>
      <c r="F19" s="5">
        <f t="shared" si="25"/>
        <v>95725.184454692324</v>
      </c>
      <c r="G19" s="5">
        <f t="shared" si="25"/>
        <v>122389.60871547842</v>
      </c>
      <c r="H19" s="5">
        <f t="shared" si="25"/>
        <v>154736.37993917798</v>
      </c>
      <c r="I19" s="5">
        <f t="shared" si="25"/>
        <v>195449.92965222185</v>
      </c>
      <c r="J19" s="5">
        <f t="shared" si="25"/>
        <v>248709.76082978246</v>
      </c>
      <c r="K19" s="5">
        <f t="shared" si="25"/>
        <v>321275.34511360782</v>
      </c>
      <c r="L19" s="5">
        <f t="shared" si="25"/>
        <v>424511.55545200169</v>
      </c>
      <c r="M19" s="5">
        <f>L19+M14-M25</f>
        <v>578319.66970690386</v>
      </c>
      <c r="N19" s="5">
        <f t="shared" ref="N19:Q19" si="26">M19+N14-N25</f>
        <v>819472.01402124658</v>
      </c>
      <c r="O19" s="5">
        <f t="shared" si="26"/>
        <v>1218718.083964078</v>
      </c>
      <c r="P19" s="5">
        <f t="shared" si="26"/>
        <v>1917837.9460285259</v>
      </c>
      <c r="Q19" s="5">
        <f t="shared" si="26"/>
        <v>3209511.1253146031</v>
      </c>
    </row>
    <row r="20" spans="1:18" x14ac:dyDescent="0.25">
      <c r="A20" s="2" t="s">
        <v>6</v>
      </c>
      <c r="B20" s="5">
        <f>(B7*Constants!$B$12*Constants!$B$15+Dynamics!B8*Constants!$B$13*Constants!$B$16+Dynamics!B9*Constants!$B$14*Constants!$B$17)*Constants!$B$4</f>
        <v>1181.25</v>
      </c>
      <c r="C20" s="5">
        <f>(C7*Constants!$B$12*Constants!$B$15+Dynamics!C8*Constants!$B$13*Constants!$B$16+Dynamics!C9*Constants!$B$14*Constants!$B$17)*Constants!$B$4</f>
        <v>1206.5625</v>
      </c>
      <c r="D20" s="5">
        <f>(D7*Constants!$B$12*Constants!$B$15+Dynamics!D8*Constants!$B$13*Constants!$B$16+Dynamics!D9*Constants!$B$14*Constants!$B$17)*Constants!$B$4</f>
        <v>1273.6166625000003</v>
      </c>
      <c r="E20" s="5">
        <f>(E7*Constants!$B$12*Constants!$B$15+Dynamics!E8*Constants!$B$13*Constants!$B$16+Dynamics!E9*Constants!$B$14*Constants!$B$17)*Constants!$B$4</f>
        <v>1389.7690978817252</v>
      </c>
      <c r="F20" s="5">
        <f>(F7*Constants!$B$12*Constants!$B$15+Dynamics!F8*Constants!$B$13*Constants!$B$16+Dynamics!F9*Constants!$B$14*Constants!$B$17)*Constants!$B$4</f>
        <v>1568.5164355623237</v>
      </c>
      <c r="G20" s="5">
        <f>(G7*Constants!$B$12*Constants!$B$15+Dynamics!G8*Constants!$B$13*Constants!$B$16+Dynamics!G9*Constants!$B$14*Constants!$B$17)*Constants!$B$4</f>
        <v>1832.3546083552837</v>
      </c>
      <c r="H20" s="5">
        <f>(H7*Constants!$B$12*Constants!$B$15+Dynamics!H8*Constants!$B$13*Constants!$B$16+Dynamics!H9*Constants!$B$14*Constants!$B$17)*Constants!$B$4</f>
        <v>2217.9629198916314</v>
      </c>
      <c r="I20" s="5">
        <f>(I7*Constants!$B$12*Constants!$B$15+Dynamics!I8*Constants!$B$13*Constants!$B$16+Dynamics!I9*Constants!$B$14*Constants!$B$17)*Constants!$B$4</f>
        <v>2785.5466415601986</v>
      </c>
      <c r="J20" s="5">
        <f>(J7*Constants!$B$12*Constants!$B$15+Dynamics!J8*Constants!$B$13*Constants!$B$16+Dynamics!J9*Constants!$B$14*Constants!$B$17)*Constants!$B$4</f>
        <v>3635.9797363162611</v>
      </c>
      <c r="K20" s="5">
        <f>(K7*Constants!$B$12*Constants!$B$15+Dynamics!K8*Constants!$B$13*Constants!$B$16+Dynamics!K9*Constants!$B$14*Constants!$B$17)*Constants!$B$4</f>
        <v>4943.1596923586767</v>
      </c>
      <c r="L20" s="5">
        <f>(L7*Constants!$B$12*Constants!$B$15+Dynamics!L8*Constants!$B$13*Constants!$B$16+Dynamics!L9*Constants!$B$14*Constants!$B$17)*Constants!$B$4</f>
        <v>7017.1431714514592</v>
      </c>
      <c r="M20" s="5">
        <f>(M7*Constants!$B$12*Constants!$B$15+Dynamics!M8*Constants!$B$13*Constants!$B$16+Dynamics!M9*Constants!$B$14*Constants!$B$17)*Constants!$B$4</f>
        <v>10431.912252774166</v>
      </c>
      <c r="N20" s="5">
        <f>(N7*Constants!$B$12*Constants!$B$15+Dynamics!N8*Constants!$B$13*Constants!$B$16+Dynamics!N9*Constants!$B$14*Constants!$B$17)*Constants!$B$4</f>
        <v>16294.077318536678</v>
      </c>
      <c r="O20" s="5">
        <f>(O7*Constants!$B$12*Constants!$B$15+Dynamics!O8*Constants!$B$13*Constants!$B$16+Dynamics!O9*Constants!$B$14*Constants!$B$17)*Constants!$B$4</f>
        <v>26831.053087555876</v>
      </c>
      <c r="P20" s="5">
        <f>(P7*Constants!$B$12*Constants!$B$15+Dynamics!P8*Constants!$B$13*Constants!$B$16+Dynamics!P9*Constants!$B$14*Constants!$B$17)*Constants!$B$4</f>
        <v>46732.611100564696</v>
      </c>
      <c r="Q20" s="5">
        <f>(Q7*Constants!$B$12*Constants!$B$15+Dynamics!Q8*Constants!$B$13*Constants!$B$16+Dynamics!Q9*Constants!$B$14*Constants!$B$17)*Constants!$B$4</f>
        <v>86341.790059229781</v>
      </c>
    </row>
    <row r="21" spans="1:18" x14ac:dyDescent="0.25">
      <c r="A21" s="2" t="s">
        <v>38</v>
      </c>
      <c r="B21" s="6">
        <v>0.03</v>
      </c>
      <c r="C21" s="6">
        <v>3.5000000000000003E-2</v>
      </c>
      <c r="D21" s="6">
        <v>0.04</v>
      </c>
      <c r="E21" s="6">
        <v>4.4999999999999998E-2</v>
      </c>
      <c r="F21" s="6">
        <v>0.05</v>
      </c>
      <c r="G21" s="6">
        <v>5.5E-2</v>
      </c>
      <c r="H21" s="6">
        <v>0.06</v>
      </c>
      <c r="I21" s="6">
        <v>6.5000000000000002E-2</v>
      </c>
      <c r="J21" s="6">
        <v>7.0000000000000007E-2</v>
      </c>
      <c r="K21" s="6">
        <v>7.4999999999999997E-2</v>
      </c>
      <c r="L21" s="6">
        <v>0.08</v>
      </c>
      <c r="M21" s="6">
        <v>8.5000000000000006E-2</v>
      </c>
      <c r="N21" s="6">
        <v>0.09</v>
      </c>
      <c r="O21" s="6">
        <v>9.5000000000000001E-2</v>
      </c>
      <c r="P21" s="6">
        <v>0.1</v>
      </c>
      <c r="Q21" s="6">
        <v>0.105</v>
      </c>
    </row>
    <row r="22" spans="1:18" x14ac:dyDescent="0.25">
      <c r="A22" s="2" t="s">
        <v>41</v>
      </c>
      <c r="B22" s="5">
        <f>Constants!$B$22*Constants!$B$23*Dynamics!B3*Dynamics!B21*Constants!$B$24</f>
        <v>7020</v>
      </c>
      <c r="C22" s="5">
        <f>Constants!$B$22*Constants!$B$23*Dynamics!C3*Dynamics!C21*Constants!$B$24</f>
        <v>16512.300000000003</v>
      </c>
      <c r="D22" s="5">
        <f>Constants!$B$22*Constants!$B$23*Dynamics!D3*Dynamics!D21*Constants!$B$24</f>
        <v>28816.427520000005</v>
      </c>
      <c r="E22" s="5">
        <f>Constants!$B$22*Constants!$B$23*Dynamics!E3*Dynamics!E21*Constants!$B$24</f>
        <v>44466.479026419795</v>
      </c>
      <c r="F22" s="5">
        <f>Constants!$B$22*Constants!$B$23*Dynamics!F3*Dynamics!F21*Constants!$B$24</f>
        <v>64272.212465804776</v>
      </c>
      <c r="G22" s="5">
        <f>Constants!$B$22*Constants!$B$23*Dynamics!G3*Dynamics!G21*Constants!$B$24</f>
        <v>89459.242979093891</v>
      </c>
      <c r="H22" s="5">
        <f>Constants!$B$22*Constants!$B$23*Dynamics!H3*Dynamics!H21*Constants!$B$24</f>
        <v>121912.8700346429</v>
      </c>
      <c r="I22" s="5">
        <f>Constants!$B$22*Constants!$B$23*Dynamics!I3*Dynamics!I21*Constants!$B$24</f>
        <v>164612.46694932482</v>
      </c>
      <c r="J22" s="5">
        <f>Constants!$B$22*Constants!$B$23*Dynamics!J3*Dynamics!J21*Constants!$B$24</f>
        <v>222430.72016382002</v>
      </c>
      <c r="K22" s="5">
        <f>Constants!$B$22*Constants!$B$23*Dynamics!K3*Dynamics!K21*Constants!$B$24</f>
        <v>303658.52795107366</v>
      </c>
      <c r="L22" s="5">
        <f>Constants!$B$22*Constants!$B$23*Dynamics!L3*Dynamics!L21*Constants!$B$24</f>
        <v>423028.50694244093</v>
      </c>
      <c r="M22" s="5">
        <f>Constants!$B$22*Constants!$B$23*Dynamics!M3*Dynamics!M21*Constants!$B$24</f>
        <v>607952.35844479641</v>
      </c>
      <c r="N22" s="5">
        <f>Constants!$B$22*Constants!$B$23*Dynamics!N3*Dynamics!N21*Constants!$B$24</f>
        <v>911917.36907302623</v>
      </c>
      <c r="O22" s="5">
        <f>Constants!$B$22*Constants!$B$23*Dynamics!O3*Dynamics!O21*Constants!$B$24</f>
        <v>1444452.2649250762</v>
      </c>
      <c r="P22" s="5">
        <f>Constants!$B$22*Constants!$B$23*Dynamics!P3*Dynamics!P21*Constants!$B$24</f>
        <v>2440947.3561604335</v>
      </c>
      <c r="Q22" s="5">
        <f>Constants!$B$22*Constants!$B$23*Dynamics!Q3*Dynamics!Q21*Constants!$B$24</f>
        <v>4432125.9701028941</v>
      </c>
    </row>
    <row r="23" spans="1:18" x14ac:dyDescent="0.25">
      <c r="A23" s="2" t="s">
        <v>66</v>
      </c>
      <c r="B23" s="5">
        <f>B25*Constants!$B$30</f>
        <v>18.900000000000002</v>
      </c>
      <c r="C23" s="5">
        <f>C25*Constants!$B$30</f>
        <v>19.305</v>
      </c>
      <c r="D23" s="5">
        <f>D25*Constants!$B$30</f>
        <v>19.358973270000003</v>
      </c>
      <c r="E23" s="5">
        <f>E25*Constants!$B$30</f>
        <v>21.124490287802217</v>
      </c>
      <c r="F23" s="5">
        <f>F25*Constants!$B$30</f>
        <v>23.21404324632239</v>
      </c>
      <c r="G23" s="5">
        <f>G25*Constants!$B$30</f>
        <v>26.532494728984503</v>
      </c>
      <c r="H23" s="5">
        <f>H25*Constants!$B$30</f>
        <v>31.406354945665498</v>
      </c>
      <c r="I23" s="5">
        <f>I25*Constants!$B$30</f>
        <v>38.551965519193139</v>
      </c>
      <c r="J23" s="5">
        <f>J25*Constants!$B$30</f>
        <v>49.158446034995848</v>
      </c>
      <c r="K23" s="5">
        <f>K25*Constants!$B$30</f>
        <v>65.249707939134538</v>
      </c>
      <c r="L23" s="5">
        <f>L25*Constants!$B$30</f>
        <v>90.380804048294792</v>
      </c>
      <c r="M23" s="5">
        <f>M25*Constants!$B$30</f>
        <v>131.02481789484349</v>
      </c>
      <c r="N23" s="5">
        <f>N25*Constants!$B$30</f>
        <v>195.5289278224401</v>
      </c>
      <c r="O23" s="5">
        <f>O25*Constants!$B$30</f>
        <v>300.50779458062584</v>
      </c>
      <c r="P23" s="5">
        <f>P25*Constants!$B$30</f>
        <v>486.01915544587274</v>
      </c>
      <c r="Q23" s="5">
        <f>Q25*Constants!$B$30</f>
        <v>897.95461661598972</v>
      </c>
    </row>
    <row r="24" spans="1:18" x14ac:dyDescent="0.25">
      <c r="A24" s="2" t="s">
        <v>35</v>
      </c>
      <c r="B24" s="7">
        <v>0.2</v>
      </c>
      <c r="C24" s="7">
        <v>0.2</v>
      </c>
      <c r="D24" s="7">
        <v>0.19</v>
      </c>
      <c r="E24" s="7">
        <v>0.19</v>
      </c>
      <c r="F24" s="7">
        <v>0.185</v>
      </c>
      <c r="G24" s="7">
        <v>0.18099999999999999</v>
      </c>
      <c r="H24" s="7">
        <v>0.17699999999999999</v>
      </c>
      <c r="I24" s="7">
        <v>0.17299999999999999</v>
      </c>
      <c r="J24" s="7">
        <v>0.16900000000000001</v>
      </c>
      <c r="K24" s="7">
        <v>0.16500000000000001</v>
      </c>
      <c r="L24" s="7">
        <v>0.161</v>
      </c>
      <c r="M24" s="7">
        <v>0.157</v>
      </c>
      <c r="N24" s="22">
        <v>0.15</v>
      </c>
      <c r="O24" s="22">
        <v>0.14000000000000001</v>
      </c>
      <c r="P24" s="22">
        <v>0.13</v>
      </c>
      <c r="Q24" s="22">
        <v>0.13</v>
      </c>
    </row>
    <row r="25" spans="1:18" x14ac:dyDescent="0.25">
      <c r="A25" s="2" t="s">
        <v>8</v>
      </c>
      <c r="B25" s="5">
        <f>B14*(1-Constants!$B$25)*B24</f>
        <v>1890</v>
      </c>
      <c r="C25" s="5">
        <f>C14*(1-Constants!$B$25)*C24</f>
        <v>1930.5</v>
      </c>
      <c r="D25" s="5">
        <f>D14*(1-Constants!$B$25)*D24</f>
        <v>1935.8973270000001</v>
      </c>
      <c r="E25" s="5">
        <f>E14*(1-Constants!$B$25)*E24</f>
        <v>2112.4490287802219</v>
      </c>
      <c r="F25" s="5">
        <f>F14*(1-Constants!$B$25)*F24</f>
        <v>2321.404324632239</v>
      </c>
      <c r="G25" s="5">
        <f>G14*(1-Constants!$B$25)*G24</f>
        <v>2653.2494728984502</v>
      </c>
      <c r="H25" s="5">
        <f>H14*(1-Constants!$B$25)*H24</f>
        <v>3140.6354945665498</v>
      </c>
      <c r="I25" s="5">
        <f>I14*(1-Constants!$B$25)*I24</f>
        <v>3855.1965519193141</v>
      </c>
      <c r="J25" s="5">
        <f>J14*(1-Constants!$B$25)*J24</f>
        <v>4915.844603499585</v>
      </c>
      <c r="K25" s="5">
        <f>K14*(1-Constants!$B$25)*K24</f>
        <v>6524.9707939134532</v>
      </c>
      <c r="L25" s="5">
        <f>L14*(1-Constants!$B$25)*L24</f>
        <v>9038.0804048294794</v>
      </c>
      <c r="M25" s="5">
        <f>M14*(1-Constants!$B$25)*M24</f>
        <v>13102.481789484349</v>
      </c>
      <c r="N25" s="5">
        <f>N14*(1-Constants!$B$25)*N24</f>
        <v>19552.892782244009</v>
      </c>
      <c r="O25" s="5">
        <f>O14*(1-Constants!$B$25)*O24</f>
        <v>30050.779458062581</v>
      </c>
      <c r="P25" s="5">
        <f>P14*(1-Constants!$B$25)*P24</f>
        <v>48601.915544587275</v>
      </c>
      <c r="Q25" s="5">
        <f>Q14*(1-Constants!$B$25)*Q24</f>
        <v>89795.461661598965</v>
      </c>
    </row>
    <row r="26" spans="1:18" x14ac:dyDescent="0.25">
      <c r="A26" s="2" t="s">
        <v>37</v>
      </c>
      <c r="B26" s="5">
        <f>(B19+B20)*Constants!$B$25*Constants!$B$26*(1-Constants!$B$29)</f>
        <v>316.52774999999997</v>
      </c>
      <c r="C26" s="5">
        <f>(C19+C20)*Constants!$B$25*Constants!$B$26*(1-Constants!$B$29)</f>
        <v>619.28448749999995</v>
      </c>
      <c r="D26" s="5">
        <f>(D19+D20)*Constants!$B$25*Constants!$B$26*(1-Constants!$B$29)</f>
        <v>941.34149527770001</v>
      </c>
      <c r="E26" s="5">
        <f>(E19+E20)*Constants!$B$25*Constants!$B$26*(1-Constants!$B$29)</f>
        <v>1293.5176514028385</v>
      </c>
      <c r="F26" s="5">
        <f>(F19+F20)*Constants!$B$25*Constants!$B$26*(1-Constants!$B$29)</f>
        <v>1692.9103954904308</v>
      </c>
      <c r="G26" s="5">
        <f>(G19+G20)*Constants!$B$25*Constants!$B$26*(1-Constants!$B$29)</f>
        <v>2161.4621618347064</v>
      </c>
      <c r="H26" s="5">
        <f>(H19+H20)*Constants!$B$25*Constants!$B$26*(1-Constants!$B$29)</f>
        <v>2731.005565747811</v>
      </c>
      <c r="I26" s="5">
        <f>(I19+I20)*Constants!$B$25*Constants!$B$26*(1-Constants!$B$29)</f>
        <v>3449.297287511808</v>
      </c>
      <c r="J26" s="5">
        <f>(J19+J20)*Constants!$B$25*Constants!$B$26*(1-Constants!$B$29)</f>
        <v>4390.8158858501174</v>
      </c>
      <c r="K26" s="5">
        <f>(K19+K20)*Constants!$B$25*Constants!$B$26*(1-Constants!$B$29)</f>
        <v>5676.2019836238178</v>
      </c>
      <c r="L26" s="5">
        <f>(L19+L20)*Constants!$B$25*Constants!$B$26*(1-Constants!$B$29)</f>
        <v>7508.5993560480847</v>
      </c>
      <c r="M26" s="5">
        <f>(M19+M20)*Constants!$B$25*Constants!$B$26*(1-Constants!$B$29)</f>
        <v>10244.277526098396</v>
      </c>
      <c r="N26" s="5">
        <f>(N19+N20)*Constants!$B$25*Constants!$B$26*(1-Constants!$B$29)</f>
        <v>14542.329989312229</v>
      </c>
      <c r="O26" s="5">
        <f>(O19+O20)*Constants!$B$25*Constants!$B$26*(1-Constants!$B$29)</f>
        <v>21672.554984698429</v>
      </c>
      <c r="P26" s="5">
        <f>(P19+P20)*Constants!$B$25*Constants!$B$26*(1-Constants!$B$29)</f>
        <v>34183.527694046177</v>
      </c>
      <c r="Q26" s="5">
        <f>(Q19+Q20)*Constants!$B$25*Constants!$B$26*(1-Constants!$B$29)</f>
        <v>57347.840727504692</v>
      </c>
    </row>
    <row r="27" spans="1:18" x14ac:dyDescent="0.25">
      <c r="A27" s="2" t="s">
        <v>45</v>
      </c>
      <c r="B27" s="17"/>
      <c r="C27" s="26">
        <v>0.04</v>
      </c>
      <c r="D27" s="26">
        <v>0.04</v>
      </c>
      <c r="E27" s="26">
        <v>0.04</v>
      </c>
      <c r="F27" s="26">
        <v>0.04</v>
      </c>
      <c r="G27" s="26">
        <v>0.04</v>
      </c>
      <c r="H27" s="26">
        <v>0.04</v>
      </c>
      <c r="I27" s="26">
        <v>0.04</v>
      </c>
      <c r="J27" s="26">
        <v>0.04</v>
      </c>
      <c r="K27" s="26">
        <v>0.04</v>
      </c>
      <c r="L27" s="26">
        <v>0.04</v>
      </c>
      <c r="M27" s="26">
        <v>0.04</v>
      </c>
      <c r="N27" s="26">
        <v>0.04</v>
      </c>
      <c r="O27" s="26">
        <v>0.04</v>
      </c>
      <c r="P27" s="26">
        <v>0.04</v>
      </c>
      <c r="Q27" s="26">
        <v>0.04</v>
      </c>
      <c r="R27" s="17"/>
    </row>
    <row r="28" spans="1:18" x14ac:dyDescent="0.25">
      <c r="A28" s="2" t="s">
        <v>36</v>
      </c>
      <c r="B28" s="5"/>
      <c r="C28" s="5">
        <f>C29*C19</f>
        <v>3488765.0670000007</v>
      </c>
      <c r="D28" s="5">
        <f>D29*D19</f>
        <v>5363623.3594500003</v>
      </c>
      <c r="E28" s="5">
        <f>E29*E19</f>
        <v>7416271.5567891886</v>
      </c>
      <c r="F28" s="5">
        <f>F29*F19</f>
        <v>9745466.5458088517</v>
      </c>
      <c r="G28" s="5">
        <f>G29*G19</f>
        <v>12477906.442440962</v>
      </c>
      <c r="H28" s="5">
        <f>H29*H19</f>
        <v>15797212.356677938</v>
      </c>
      <c r="I28" s="5">
        <f>I29*I19</f>
        <v>19978545.663738348</v>
      </c>
      <c r="J28" s="5">
        <f>J29*J19</f>
        <v>25450516.445415057</v>
      </c>
      <c r="K28" s="5">
        <f>K29*K19</f>
        <v>32906547.619545832</v>
      </c>
      <c r="L28" s="5">
        <f>L29*L19</f>
        <v>43512890.119296789</v>
      </c>
      <c r="M28" s="5">
        <f>M29*M19</f>
        <v>59312540.074221246</v>
      </c>
      <c r="N28" s="5">
        <f>N29*N19</f>
        <v>84080942.199360564</v>
      </c>
      <c r="O28" s="5">
        <f>O29*O19</f>
        <v>125084212.68815993</v>
      </c>
      <c r="P28" s="5">
        <f>P29*P19</f>
        <v>196890594.54253268</v>
      </c>
      <c r="Q28" s="5">
        <f>Q29*Q19</f>
        <v>329603721.06383884</v>
      </c>
    </row>
    <row r="29" spans="1:18" x14ac:dyDescent="0.25">
      <c r="A29" s="25" t="s">
        <v>53</v>
      </c>
      <c r="B29" s="4"/>
      <c r="C29" s="4">
        <f>(C19+((B12+B13+B22+B23)*(1-Constants!$B$28)+B26)*C27)/C19*100</f>
        <v>101.46330663525718</v>
      </c>
      <c r="D29" s="4">
        <f>(D19+((C12+C13+C22+C23)*(1-Constants!$B$28)+C26)*D27)/D19*100</f>
        <v>101.53287609912987</v>
      </c>
      <c r="E29" s="4">
        <f>(E19+((D12+D13+D22+D23)*(1-Constants!$B$28)+D26)*E27)/E19*100</f>
        <v>101.66193878381948</v>
      </c>
      <c r="F29" s="4">
        <f>(F19+((E12+E13+E22+E23)*(1-Constants!$B$28)+E26)*F27)/F19*100</f>
        <v>101.80671472533413</v>
      </c>
      <c r="G29" s="4">
        <f>(G19+((F12+F13+F22+F23)*(1-Constants!$B$28)+F26)*G27)/G19*100</f>
        <v>101.95233544253419</v>
      </c>
      <c r="H29" s="4">
        <f>(H19+((G12+G13+G22+G23)*(1-Constants!$B$28)+G26)*H27)/H19*100</f>
        <v>102.09113307993458</v>
      </c>
      <c r="I29" s="4">
        <f>(I19+((H12+H13+H22+H23)*(1-Constants!$B$28)+H26)*I27)/I19*100</f>
        <v>102.21822898216242</v>
      </c>
      <c r="J29" s="4">
        <f>(J19+((I12+I13+I22+I23)*(1-Constants!$B$28)+I26)*J27)/J19*100</f>
        <v>102.33018744621548</v>
      </c>
      <c r="K29" s="4">
        <f>(K19+((J12+J13+J22+J23)*(1-Constants!$B$28)+J26)*K27)/K19*100</f>
        <v>102.42475222588145</v>
      </c>
      <c r="L29" s="4">
        <f>(L19+((K12+K13+K22+K23)*(1-Constants!$B$28)+K26)*L27)/L19*100</f>
        <v>102.50107343477643</v>
      </c>
      <c r="M29" s="4">
        <f>(M19+((L12+L13+L22+L23)*(1-Constants!$B$28)+L26)*M27)/M19*100</f>
        <v>102.56012925218543</v>
      </c>
      <c r="N29" s="4">
        <f>(N19+((M12+M13+M22+M23)*(1-Constants!$B$28)+M26)*N27)/N19*100</f>
        <v>102.60379947176645</v>
      </c>
      <c r="O29" s="4">
        <f>(O19+((N12+N13+N22+N23)*(1-Constants!$B$28)+N26)*O27)/O19*100</f>
        <v>102.63588793341218</v>
      </c>
      <c r="P29" s="4">
        <f>(P19+((O12+O13+O22+O23)*(1-Constants!$B$28)+O26)*P27)/P19*100</f>
        <v>102.66279012272923</v>
      </c>
      <c r="Q29" s="4">
        <f>(Q19+((P12+P13+P22+P23)*(1-Constants!$B$28)+P26)*Q27)/Q19*100</f>
        <v>102.69592725949201</v>
      </c>
    </row>
    <row r="30" spans="1:18" x14ac:dyDescent="0.25">
      <c r="B30" s="4"/>
      <c r="C30" s="4"/>
      <c r="D30" s="4">
        <f>D29/C29</f>
        <v>1.0006856613112638</v>
      </c>
      <c r="E30" s="4">
        <f t="shared" ref="E30:Q30" si="27">E29/D29</f>
        <v>1.0012711418177853</v>
      </c>
      <c r="F30" s="4">
        <f t="shared" si="27"/>
        <v>1.0014240918798776</v>
      </c>
      <c r="G30" s="4">
        <f t="shared" si="27"/>
        <v>1.0014303645647826</v>
      </c>
      <c r="H30" s="4">
        <f t="shared" si="27"/>
        <v>1.0013613973313895</v>
      </c>
      <c r="I30" s="4">
        <f t="shared" si="27"/>
        <v>1.0012449259636322</v>
      </c>
      <c r="J30" s="4">
        <f t="shared" si="27"/>
        <v>1.0010952886306863</v>
      </c>
      <c r="K30" s="4">
        <f t="shared" si="27"/>
        <v>1.000924114203501</v>
      </c>
      <c r="L30" s="4">
        <f t="shared" si="27"/>
        <v>1.0007451441886495</v>
      </c>
      <c r="M30" s="4">
        <f t="shared" si="27"/>
        <v>1.0005761482824527</v>
      </c>
      <c r="N30" s="4">
        <f t="shared" si="27"/>
        <v>1.000425801136362</v>
      </c>
      <c r="O30" s="4">
        <f t="shared" si="27"/>
        <v>1.000312741456076</v>
      </c>
      <c r="P30" s="4">
        <f t="shared" si="27"/>
        <v>1.000262112891102</v>
      </c>
      <c r="Q30" s="4">
        <f t="shared" si="27"/>
        <v>1.0003227765066891</v>
      </c>
    </row>
    <row r="31" spans="1:18" x14ac:dyDescent="0.25">
      <c r="A31" s="21" t="s">
        <v>68</v>
      </c>
      <c r="B31" s="4"/>
      <c r="C31" s="4">
        <f>((B12+B13+B22+B23)*(1-Constants!$B$28)+B26)*(1-C27)</f>
        <v>12075.616079999998</v>
      </c>
      <c r="D31" s="4">
        <f>((C12+C13+C22+C23)*(1-Constants!$B$28)+C26)*(1-D27)</f>
        <v>19434.343715999999</v>
      </c>
      <c r="E31" s="4">
        <f>((D12+D13+D22+D23)*(1-Constants!$B$28)+D26)*(1-E27)</f>
        <v>29097.354181548384</v>
      </c>
      <c r="F31" s="4">
        <f>((E12+E13+E22+E23)*(1-Constants!$B$28)+E26)*(1-F27)</f>
        <v>41507.544081508291</v>
      </c>
      <c r="G31" s="4">
        <f>((F12+F13+F22+F23)*(1-Constants!$B$28)+F26)*(1-G27)</f>
        <v>57346.937014348783</v>
      </c>
      <c r="H31" s="4">
        <f>((G12+G13+G22+G23)*(1-Constants!$B$28)+G26)*(1-H27)</f>
        <v>77657.847062433793</v>
      </c>
      <c r="I31" s="4">
        <f>((H12+H13+H22+H23)*(1-Constants!$B$28)+H26)*(1-I27)</f>
        <v>104052.6476438793</v>
      </c>
      <c r="J31" s="4">
        <f>((I12+I13+I22+I23)*(1-Constants!$B$28)+I26)*(1-J27)</f>
        <v>139089.68698483543</v>
      </c>
      <c r="K31" s="4">
        <f>((J12+J13+J22+J23)*(1-Constants!$B$28)+J26)*(1-K27)</f>
        <v>186963.14596441219</v>
      </c>
      <c r="L31" s="4">
        <f>((K12+K13+K22+K23)*(1-Constants!$B$28)+K26)*(1-L27)</f>
        <v>254816.29778319027</v>
      </c>
      <c r="M31" s="4">
        <f>((L12+L13+L22+L23)*(1-Constants!$B$28)+L26)*(1-M27)</f>
        <v>355337.54484740528</v>
      </c>
      <c r="N31" s="4">
        <f>((M12+M13+M22+M23)*(1-Constants!$B$28)+M26)*(1-N27)</f>
        <v>512097.791336619</v>
      </c>
      <c r="O31" s="4">
        <f>((N12+N13+N22+N23)*(1-Constants!$B$28)+N26)*(1-O27)</f>
        <v>770977.03002051241</v>
      </c>
      <c r="P31" s="4">
        <f>((O12+O13+O22+O23)*(1-Constants!$B$28)+O26)*(1-P27)</f>
        <v>1225631.9855232143</v>
      </c>
      <c r="Q31" s="4">
        <f>((P12+P13+P22+P23)*(1-Constants!$B$28)+P26)*(1-Q27)</f>
        <v>2076626.0477708343</v>
      </c>
      <c r="R31" s="4">
        <f>SUM(C31:Q31)</f>
        <v>5862711.8200107422</v>
      </c>
    </row>
    <row r="32" spans="1:1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14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14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2:14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2:14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2:14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2:14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2:14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2:14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2:14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2:14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2:14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2:14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2:14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2:14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2:14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2:14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2:14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2:14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2:14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2:14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2:14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2:14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2:14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2:14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2:14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2:14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2:14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2:14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2:14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2:14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2:14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2:14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2:14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2:14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2:14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2:14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2:14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2:14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2:14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2:14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2:14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2:14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2:14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2:14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2:14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2:14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2:14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2:14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2:14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2:14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2:14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</sheetData>
  <mergeCells count="2">
    <mergeCell ref="A1:A2"/>
    <mergeCell ref="B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C14" sqref="C14"/>
    </sheetView>
  </sheetViews>
  <sheetFormatPr defaultRowHeight="15" x14ac:dyDescent="0.25"/>
  <cols>
    <col min="1" max="1" width="58.42578125" customWidth="1"/>
    <col min="2" max="2" width="23.7109375" customWidth="1"/>
    <col min="3" max="3" width="81.42578125" customWidth="1"/>
  </cols>
  <sheetData>
    <row r="1" spans="1:4" x14ac:dyDescent="0.25">
      <c r="A1" s="8" t="s">
        <v>62</v>
      </c>
    </row>
    <row r="2" spans="1:4" x14ac:dyDescent="0.25">
      <c r="A2" s="9" t="s">
        <v>0</v>
      </c>
      <c r="B2" s="7">
        <v>0.1</v>
      </c>
      <c r="C2" s="10" t="s">
        <v>49</v>
      </c>
    </row>
    <row r="3" spans="1:4" x14ac:dyDescent="0.25">
      <c r="A3" s="1" t="s">
        <v>1</v>
      </c>
      <c r="B3" s="11" t="s">
        <v>15</v>
      </c>
      <c r="C3" s="10" t="s">
        <v>50</v>
      </c>
    </row>
    <row r="4" spans="1:4" x14ac:dyDescent="0.25">
      <c r="A4" s="9" t="s">
        <v>2</v>
      </c>
      <c r="B4" s="7">
        <v>0.05</v>
      </c>
      <c r="C4" s="10" t="s">
        <v>51</v>
      </c>
    </row>
    <row r="5" spans="1:4" x14ac:dyDescent="0.25">
      <c r="A5" s="9" t="s">
        <v>3</v>
      </c>
      <c r="B5" s="7">
        <v>0.05</v>
      </c>
      <c r="C5" s="10" t="s">
        <v>52</v>
      </c>
    </row>
    <row r="6" spans="1:4" x14ac:dyDescent="0.25">
      <c r="A6" s="1" t="s">
        <v>16</v>
      </c>
      <c r="B6" s="12">
        <v>1000</v>
      </c>
      <c r="C6" s="10"/>
    </row>
    <row r="7" spans="1:4" x14ac:dyDescent="0.25">
      <c r="A7" s="1" t="s">
        <v>17</v>
      </c>
      <c r="B7" s="12">
        <v>5000</v>
      </c>
      <c r="C7" s="10"/>
    </row>
    <row r="8" spans="1:4" x14ac:dyDescent="0.25">
      <c r="A8" s="1" t="s">
        <v>18</v>
      </c>
      <c r="B8" s="12">
        <v>400</v>
      </c>
      <c r="C8" s="10"/>
    </row>
    <row r="9" spans="1:4" x14ac:dyDescent="0.25">
      <c r="A9" s="1" t="s">
        <v>19</v>
      </c>
      <c r="B9" s="12">
        <v>4.5</v>
      </c>
      <c r="C9" s="10"/>
    </row>
    <row r="10" spans="1:4" x14ac:dyDescent="0.25">
      <c r="A10" s="1" t="s">
        <v>20</v>
      </c>
      <c r="B10" s="12">
        <v>1</v>
      </c>
      <c r="C10" s="10" t="s">
        <v>54</v>
      </c>
    </row>
    <row r="11" spans="1:4" x14ac:dyDescent="0.25">
      <c r="A11" s="1" t="s">
        <v>21</v>
      </c>
      <c r="B11" s="12">
        <v>3</v>
      </c>
      <c r="C11" s="10"/>
    </row>
    <row r="12" spans="1:4" x14ac:dyDescent="0.25">
      <c r="A12" s="1" t="s">
        <v>55</v>
      </c>
      <c r="B12" s="1">
        <v>10</v>
      </c>
      <c r="C12" s="10"/>
    </row>
    <row r="13" spans="1:4" x14ac:dyDescent="0.25">
      <c r="A13" s="1" t="s">
        <v>56</v>
      </c>
      <c r="B13" s="1">
        <v>5</v>
      </c>
      <c r="C13" s="10"/>
    </row>
    <row r="14" spans="1:4" x14ac:dyDescent="0.25">
      <c r="A14" s="1" t="s">
        <v>57</v>
      </c>
      <c r="B14" s="1">
        <v>40</v>
      </c>
      <c r="C14" s="10"/>
    </row>
    <row r="15" spans="1:4" x14ac:dyDescent="0.25">
      <c r="A15" s="1" t="s">
        <v>31</v>
      </c>
      <c r="B15" s="7">
        <v>0.05</v>
      </c>
      <c r="C15" s="10"/>
      <c r="D15" s="20">
        <f>1-B15</f>
        <v>0.95</v>
      </c>
    </row>
    <row r="16" spans="1:4" x14ac:dyDescent="0.25">
      <c r="A16" s="1" t="s">
        <v>32</v>
      </c>
      <c r="B16" s="7">
        <v>0.05</v>
      </c>
      <c r="C16" s="10"/>
      <c r="D16" s="20">
        <f t="shared" ref="D16:D17" si="0">1-B16</f>
        <v>0.95</v>
      </c>
    </row>
    <row r="17" spans="1:6" x14ac:dyDescent="0.25">
      <c r="A17" s="1" t="s">
        <v>33</v>
      </c>
      <c r="B17" s="7">
        <v>0.05</v>
      </c>
      <c r="C17" s="10"/>
      <c r="D17" s="20">
        <f t="shared" si="0"/>
        <v>0.95</v>
      </c>
    </row>
    <row r="18" spans="1:6" x14ac:dyDescent="0.25">
      <c r="A18" s="9" t="s">
        <v>25</v>
      </c>
      <c r="B18" s="6">
        <v>1.4999999999999999E-2</v>
      </c>
      <c r="C18" s="24" t="s">
        <v>34</v>
      </c>
    </row>
    <row r="19" spans="1:6" x14ac:dyDescent="0.25">
      <c r="A19" s="9" t="s">
        <v>26</v>
      </c>
      <c r="B19" s="6">
        <v>1.4999999999999999E-2</v>
      </c>
      <c r="C19" s="24"/>
    </row>
    <row r="20" spans="1:6" x14ac:dyDescent="0.25">
      <c r="A20" s="9" t="s">
        <v>27</v>
      </c>
      <c r="B20" s="6">
        <v>1.4999999999999999E-2</v>
      </c>
      <c r="C20" s="24"/>
    </row>
    <row r="21" spans="1:6" x14ac:dyDescent="0.25">
      <c r="A21" s="9" t="s">
        <v>7</v>
      </c>
      <c r="B21" s="12">
        <v>0</v>
      </c>
      <c r="C21" s="10" t="s">
        <v>58</v>
      </c>
    </row>
    <row r="22" spans="1:6" x14ac:dyDescent="0.25">
      <c r="A22" s="1" t="s">
        <v>39</v>
      </c>
      <c r="B22" s="1">
        <v>30</v>
      </c>
      <c r="C22" s="10"/>
    </row>
    <row r="23" spans="1:6" x14ac:dyDescent="0.25">
      <c r="A23" s="1" t="s">
        <v>40</v>
      </c>
      <c r="B23" s="1">
        <v>100</v>
      </c>
      <c r="C23" s="13"/>
    </row>
    <row r="24" spans="1:6" x14ac:dyDescent="0.25">
      <c r="A24" s="9" t="s">
        <v>42</v>
      </c>
      <c r="B24" s="7">
        <v>0.01</v>
      </c>
      <c r="C24" s="1"/>
      <c r="D24" s="8"/>
      <c r="E24" s="8"/>
      <c r="F24" s="8"/>
    </row>
    <row r="25" spans="1:6" x14ac:dyDescent="0.25">
      <c r="A25" s="9" t="s">
        <v>46</v>
      </c>
      <c r="B25" s="7">
        <v>0.5</v>
      </c>
      <c r="C25" s="1"/>
    </row>
    <row r="26" spans="1:6" x14ac:dyDescent="0.25">
      <c r="A26" s="1" t="s">
        <v>47</v>
      </c>
      <c r="B26" s="7">
        <v>0.04</v>
      </c>
      <c r="C26" s="14" t="s">
        <v>59</v>
      </c>
    </row>
    <row r="27" spans="1:6" x14ac:dyDescent="0.25">
      <c r="A27" s="15" t="s">
        <v>45</v>
      </c>
      <c r="B27" s="16"/>
      <c r="C27" s="10" t="s">
        <v>48</v>
      </c>
    </row>
    <row r="28" spans="1:6" x14ac:dyDescent="0.25">
      <c r="A28" s="1" t="s">
        <v>60</v>
      </c>
      <c r="B28" s="7">
        <v>0.24</v>
      </c>
      <c r="C28" s="1"/>
    </row>
    <row r="29" spans="1:6" x14ac:dyDescent="0.25">
      <c r="A29" s="1" t="s">
        <v>61</v>
      </c>
      <c r="B29" s="7">
        <v>0.13</v>
      </c>
      <c r="C29" s="1"/>
    </row>
    <row r="30" spans="1:6" x14ac:dyDescent="0.25">
      <c r="A30" s="21" t="s">
        <v>67</v>
      </c>
      <c r="B30" s="20">
        <v>0.01</v>
      </c>
    </row>
    <row r="51" spans="3:13" x14ac:dyDescent="0.25">
      <c r="D51">
        <v>1</v>
      </c>
      <c r="E51">
        <v>2</v>
      </c>
      <c r="F51">
        <v>3</v>
      </c>
      <c r="G51">
        <v>4</v>
      </c>
      <c r="H51">
        <v>5</v>
      </c>
      <c r="I51">
        <v>6</v>
      </c>
      <c r="J51">
        <v>7</v>
      </c>
      <c r="K51">
        <v>8</v>
      </c>
      <c r="L51">
        <v>9</v>
      </c>
      <c r="M51">
        <v>10</v>
      </c>
    </row>
    <row r="52" spans="3:13" x14ac:dyDescent="0.25"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</row>
    <row r="53" spans="3:13" x14ac:dyDescent="0.25">
      <c r="C53">
        <v>0.75</v>
      </c>
      <c r="E53">
        <v>200</v>
      </c>
      <c r="F53">
        <v>300</v>
      </c>
      <c r="G53">
        <v>400</v>
      </c>
      <c r="H53">
        <v>500</v>
      </c>
      <c r="I53">
        <v>600</v>
      </c>
      <c r="J53">
        <v>700</v>
      </c>
      <c r="K53">
        <v>800</v>
      </c>
      <c r="L53">
        <v>900</v>
      </c>
    </row>
    <row r="54" spans="3:13" x14ac:dyDescent="0.25">
      <c r="D54">
        <f>D52*(1-$C$53)</f>
        <v>25</v>
      </c>
      <c r="E54">
        <f t="shared" ref="E54:M54" si="1">E52*(1-$C$53)</f>
        <v>25</v>
      </c>
      <c r="F54">
        <f t="shared" si="1"/>
        <v>25</v>
      </c>
      <c r="G54">
        <f t="shared" si="1"/>
        <v>25</v>
      </c>
      <c r="H54">
        <f t="shared" si="1"/>
        <v>25</v>
      </c>
      <c r="I54">
        <f t="shared" si="1"/>
        <v>25</v>
      </c>
      <c r="J54">
        <f t="shared" si="1"/>
        <v>25</v>
      </c>
      <c r="K54">
        <f t="shared" si="1"/>
        <v>25</v>
      </c>
      <c r="L54">
        <f t="shared" si="1"/>
        <v>25</v>
      </c>
      <c r="M54">
        <f t="shared" si="1"/>
        <v>25</v>
      </c>
    </row>
    <row r="55" spans="3:13" x14ac:dyDescent="0.25">
      <c r="E55">
        <f>D54+E54+D52*(1-$C$53)</f>
        <v>75</v>
      </c>
      <c r="F55">
        <f>E54+F54+E52*(1-$C$53)</f>
        <v>75</v>
      </c>
      <c r="G55">
        <f>F54+G54+F52*(1-$C$53)</f>
        <v>75</v>
      </c>
    </row>
    <row r="57" spans="3:13" x14ac:dyDescent="0.25">
      <c r="D57">
        <v>25</v>
      </c>
      <c r="E57">
        <v>25</v>
      </c>
      <c r="F57">
        <v>25</v>
      </c>
      <c r="G57">
        <v>25</v>
      </c>
      <c r="H57">
        <v>25</v>
      </c>
      <c r="I57">
        <v>25</v>
      </c>
      <c r="J57">
        <v>25</v>
      </c>
      <c r="K57">
        <v>25</v>
      </c>
      <c r="L57">
        <v>25</v>
      </c>
    </row>
    <row r="58" spans="3:13" x14ac:dyDescent="0.25">
      <c r="E58">
        <v>25</v>
      </c>
      <c r="F58">
        <v>25</v>
      </c>
      <c r="G58">
        <v>25</v>
      </c>
      <c r="H58">
        <v>25</v>
      </c>
      <c r="I58">
        <v>25</v>
      </c>
      <c r="J58">
        <v>25</v>
      </c>
      <c r="K58">
        <v>25</v>
      </c>
      <c r="L58">
        <v>25</v>
      </c>
    </row>
    <row r="59" spans="3:13" x14ac:dyDescent="0.25">
      <c r="F59">
        <v>25</v>
      </c>
      <c r="G59">
        <v>25</v>
      </c>
      <c r="H59">
        <v>25</v>
      </c>
      <c r="I59">
        <v>25</v>
      </c>
      <c r="J59">
        <v>25</v>
      </c>
      <c r="K59">
        <v>25</v>
      </c>
      <c r="L59">
        <v>25</v>
      </c>
    </row>
    <row r="60" spans="3:13" x14ac:dyDescent="0.25">
      <c r="G60">
        <v>25</v>
      </c>
      <c r="H60">
        <v>25</v>
      </c>
      <c r="I60">
        <v>25</v>
      </c>
      <c r="J60">
        <v>25</v>
      </c>
    </row>
    <row r="63" spans="3:13" x14ac:dyDescent="0.25">
      <c r="E63">
        <f>1-SUM(E57:E61)/E53</f>
        <v>0.75</v>
      </c>
      <c r="F63">
        <f t="shared" ref="F63:L63" si="2">1-SUM(F57:F61)/F53</f>
        <v>0.75</v>
      </c>
      <c r="G63">
        <f t="shared" si="2"/>
        <v>0.75</v>
      </c>
      <c r="H63">
        <f t="shared" si="2"/>
        <v>0.8</v>
      </c>
      <c r="I63">
        <f t="shared" si="2"/>
        <v>0.83333333333333337</v>
      </c>
      <c r="J63">
        <f t="shared" si="2"/>
        <v>0.85714285714285721</v>
      </c>
      <c r="K63">
        <f t="shared" si="2"/>
        <v>0.90625</v>
      </c>
      <c r="L63">
        <f t="shared" si="2"/>
        <v>0.91666666666666663</v>
      </c>
    </row>
  </sheetData>
  <mergeCells count="1">
    <mergeCell ref="C18:C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Dynamics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2023-02-17T18:16:44Z</dcterms:modified>
</cp:coreProperties>
</file>