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water.sharepoint.com/teams/des-smb-wqp/Shared Documents/Paperless QAQC/Completed Sheets/STAGED/Pre-measurement Calibration/SM-26/"/>
    </mc:Choice>
  </mc:AlternateContent>
  <xr:revisionPtr revIDLastSave="0" documentId="8_{C52B6D09-7242-4CCA-B534-E65878A622CC}" xr6:coauthVersionLast="44" xr6:coauthVersionMax="44" xr10:uidLastSave="{00000000-0000-0000-0000-000000000000}"/>
  <bookViews>
    <workbookView xWindow="0" yWindow="0" windowWidth="15360" windowHeight="10920" xr2:uid="{998987F7-FA5E-4B26-92EB-2D94A965C2B8}"/>
  </bookViews>
  <sheets>
    <sheet name="ENTRY" sheetId="2" r:id="rId1"/>
    <sheet name="RESULT" sheetId="3" r:id="rId2"/>
    <sheet name="EVENT" sheetId="4" r:id="rId3"/>
    <sheet name="ACTION" sheetId="5" r:id="rId4"/>
    <sheet name="INSTRUMENT" sheetId="6" r:id="rId5"/>
    <sheet name="SOLUTION" sheetId="7" r:id="rId6"/>
    <sheet name="DOCALC" sheetId="8" r:id="rId7"/>
  </sheets>
  <definedNames>
    <definedName name="Bar">DOCALC!$B$4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7" i="3" l="1"/>
  <c r="H8" i="3" l="1"/>
  <c r="H7" i="3"/>
  <c r="H6" i="3"/>
  <c r="H5" i="3"/>
  <c r="H4" i="3"/>
  <c r="H3" i="3"/>
  <c r="H2" i="3"/>
  <c r="H9" i="3"/>
  <c r="H10" i="3"/>
  <c r="H11" i="3"/>
  <c r="H12" i="3"/>
  <c r="H13" i="3"/>
  <c r="H14" i="3"/>
  <c r="H15" i="3"/>
  <c r="H16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9" i="3"/>
  <c r="H40" i="3"/>
  <c r="H42" i="3"/>
  <c r="H43" i="3"/>
  <c r="J35" i="2" l="1"/>
  <c r="H38" i="3" s="1"/>
  <c r="B4" i="8" l="1"/>
  <c r="H8" i="8" s="1"/>
  <c r="B2" i="8"/>
  <c r="F2" i="8" s="1"/>
  <c r="K2" i="8" s="1"/>
  <c r="G2" i="8"/>
  <c r="J2" i="8" l="1"/>
  <c r="H2" i="8"/>
  <c r="L2" i="8"/>
  <c r="I2" i="8"/>
  <c r="M2" i="8" l="1"/>
  <c r="H7" i="8" s="1"/>
  <c r="J36" i="2" s="1"/>
  <c r="H41" i="3" s="1"/>
  <c r="E2" i="5"/>
  <c r="G3" i="7" l="1"/>
  <c r="G4" i="7"/>
  <c r="G5" i="7"/>
  <c r="G6" i="7"/>
  <c r="G7" i="7"/>
  <c r="G2" i="7"/>
  <c r="G4" i="6"/>
  <c r="G3" i="6"/>
  <c r="G2" i="6"/>
  <c r="G2" i="4" l="1"/>
  <c r="A2" i="4"/>
  <c r="C2" i="5"/>
  <c r="A2" i="5"/>
  <c r="C3" i="6"/>
  <c r="C4" i="6"/>
  <c r="C5" i="6"/>
  <c r="C6" i="6"/>
  <c r="A3" i="6"/>
  <c r="A4" i="6"/>
  <c r="A5" i="6"/>
  <c r="A6" i="6"/>
  <c r="A2" i="6"/>
  <c r="C3" i="7"/>
  <c r="C4" i="7"/>
  <c r="C5" i="7"/>
  <c r="C6" i="7"/>
  <c r="C7" i="7"/>
  <c r="A3" i="7"/>
  <c r="A4" i="7"/>
  <c r="A5" i="7"/>
  <c r="A6" i="7"/>
  <c r="A7" i="7"/>
  <c r="A2" i="7"/>
  <c r="C2" i="7"/>
  <c r="C2" i="6"/>
  <c r="C2" i="4"/>
  <c r="E6" i="6"/>
  <c r="E5" i="6"/>
  <c r="G5" i="6"/>
  <c r="G6" i="6"/>
  <c r="F3" i="6"/>
  <c r="F4" i="6"/>
  <c r="F5" i="6"/>
  <c r="F6" i="6"/>
  <c r="E3" i="6"/>
  <c r="E4" i="6"/>
  <c r="E2" i="6"/>
  <c r="F2" i="6"/>
  <c r="F3" i="7"/>
  <c r="F4" i="7"/>
  <c r="F5" i="7"/>
  <c r="F6" i="7"/>
  <c r="F7" i="7"/>
  <c r="E3" i="7"/>
  <c r="E4" i="7"/>
  <c r="E5" i="7"/>
  <c r="E6" i="7"/>
  <c r="E7" i="7"/>
  <c r="E2" i="7"/>
  <c r="F2" i="7"/>
  <c r="G8" i="3" l="1"/>
  <c r="G7" i="3"/>
  <c r="G3" i="3" l="1"/>
  <c r="G4" i="3"/>
  <c r="G5" i="3"/>
  <c r="G6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2" i="3"/>
  <c r="J39" i="2" l="1"/>
</calcChain>
</file>

<file path=xl/sharedStrings.xml><?xml version="1.0" encoding="utf-8"?>
<sst xmlns="http://schemas.openxmlformats.org/spreadsheetml/2006/main" count="443" uniqueCount="161">
  <si>
    <t>Sonde ID</t>
  </si>
  <si>
    <t>CA Department of Water Resources</t>
  </si>
  <si>
    <t>Division of Environmental Services, Suisun Marsh Branch</t>
  </si>
  <si>
    <t xml:space="preserve">Discrete </t>
  </si>
  <si>
    <t xml:space="preserve">Real Time </t>
  </si>
  <si>
    <t>Performed by (Last Name)</t>
  </si>
  <si>
    <t>Attachments?</t>
  </si>
  <si>
    <t>Parameter</t>
  </si>
  <si>
    <t>Chlorophyll (RFU) in DIW</t>
  </si>
  <si>
    <t>Blue Green Algae (RFU) in DIW</t>
  </si>
  <si>
    <t>Specific Conductance (μS/cm) in Std</t>
  </si>
  <si>
    <t>pH 7 (units)</t>
  </si>
  <si>
    <t>pH 4 (units)</t>
  </si>
  <si>
    <t>pH 10 (units)</t>
  </si>
  <si>
    <t>Dissolved Oxygen (% Sat)</t>
  </si>
  <si>
    <t>Dissolved Oxygen (mg/L)</t>
  </si>
  <si>
    <t>Standard</t>
  </si>
  <si>
    <t>Passing Criteria</t>
  </si>
  <si>
    <t>Additional Info</t>
  </si>
  <si>
    <t>mV</t>
  </si>
  <si>
    <t>≤ ± 0.20 °C</t>
  </si>
  <si>
    <t>&lt; 2 μS/cm</t>
  </si>
  <si>
    <t>&lt; 0.10 RFU</t>
  </si>
  <si>
    <t>&lt; 0.10 μg/L</t>
  </si>
  <si>
    <t>≤ ± 0.5 NTU</t>
  </si>
  <si>
    <t>≤ ± 5%</t>
  </si>
  <si>
    <t>≤ ± 3%</t>
  </si>
  <si>
    <t>≤ ± 0.2 units</t>
  </si>
  <si>
    <t>≤ ± 0.3 mg/L</t>
  </si>
  <si>
    <r>
      <t>Temperature (</t>
    </r>
    <r>
      <rPr>
        <sz val="8"/>
        <color theme="1"/>
        <rFont val="Calibri"/>
        <family val="2"/>
      </rPr>
      <t>°C) in Water</t>
    </r>
  </si>
  <si>
    <r>
      <t>Chlorophyll (</t>
    </r>
    <r>
      <rPr>
        <sz val="8"/>
        <color theme="1"/>
        <rFont val="Calibri"/>
        <family val="2"/>
      </rPr>
      <t>μg/L) in DIW</t>
    </r>
  </si>
  <si>
    <r>
      <t>Blue Green Algae (</t>
    </r>
    <r>
      <rPr>
        <sz val="8"/>
        <color theme="1"/>
        <rFont val="Calibri"/>
        <family val="2"/>
      </rPr>
      <t>μg/L) in DIW</t>
    </r>
  </si>
  <si>
    <t>Delta slope (pH 7 mV - pH 10 mV)</t>
  </si>
  <si>
    <t>Comments</t>
  </si>
  <si>
    <t>7 pH Standard</t>
  </si>
  <si>
    <t>Lot Number</t>
  </si>
  <si>
    <t>Exp. Date</t>
  </si>
  <si>
    <t xml:space="preserve">Baro. Pres. (mmHg): </t>
  </si>
  <si>
    <r>
      <t>Temp. (</t>
    </r>
    <r>
      <rPr>
        <sz val="8"/>
        <color theme="1"/>
        <rFont val="Calibri"/>
        <family val="2"/>
      </rPr>
      <t>°C) in bucket :</t>
    </r>
  </si>
  <si>
    <t>Calibration Standard</t>
  </si>
  <si>
    <r>
      <t xml:space="preserve">Ideal range 160 - 180 mV, replace module if slope </t>
    </r>
    <r>
      <rPr>
        <sz val="8"/>
        <color theme="1"/>
        <rFont val="Calibri"/>
        <family val="2"/>
      </rPr>
      <t>≤ 155 mV</t>
    </r>
  </si>
  <si>
    <t>reading_type_name</t>
  </si>
  <si>
    <t>analyte_name</t>
  </si>
  <si>
    <t>rank_name</t>
  </si>
  <si>
    <t>time</t>
  </si>
  <si>
    <t>value</t>
  </si>
  <si>
    <t>cdec_code</t>
  </si>
  <si>
    <t>Calibration Date</t>
  </si>
  <si>
    <t>Calibration Time  (PST)</t>
  </si>
  <si>
    <t>Site/Run to be used on</t>
  </si>
  <si>
    <t>Pre-Measurement Calibration</t>
  </si>
  <si>
    <t>To be completed no more than 72 hours prior to measurement. Follow current standard operating procedures.</t>
  </si>
  <si>
    <t>Pre-Cal</t>
  </si>
  <si>
    <t>Post-Cal</t>
  </si>
  <si>
    <t>Dissolved Oxygen (Gain)</t>
  </si>
  <si>
    <t>Ideal range 0.87 - 1.25</t>
  </si>
  <si>
    <t>Calibrate depth to 0 ft</t>
  </si>
  <si>
    <t>Verify Sufficient battery voltage</t>
  </si>
  <si>
    <t>Verify wiper is parked correctly and working</t>
  </si>
  <si>
    <t>Verify or set date &amp; time (time.gov)</t>
  </si>
  <si>
    <t>Day of deployment</t>
  </si>
  <si>
    <t>Verify parameters &amp; reporting</t>
  </si>
  <si>
    <r>
      <t xml:space="preserve">Verify DO %sat </t>
    </r>
    <r>
      <rPr>
        <sz val="8"/>
        <color theme="1"/>
        <rFont val="Calibri"/>
        <family val="2"/>
      </rPr>
      <t>≤ 5 %</t>
    </r>
  </si>
  <si>
    <t>Sonde started &amp; ready for measurement</t>
  </si>
  <si>
    <t>Pre-Measurement Calibration Check</t>
  </si>
  <si>
    <t>interval_name</t>
  </si>
  <si>
    <t>Specific Conductance (μS/cm) Dry</t>
  </si>
  <si>
    <t>Turbidity (NTU) in DIW</t>
  </si>
  <si>
    <t>Turbidity (NTU) in Std</t>
  </si>
  <si>
    <t>contact_name</t>
  </si>
  <si>
    <t>comments</t>
  </si>
  <si>
    <t>Pre-measurement calibration</t>
  </si>
  <si>
    <t>unit_name</t>
  </si>
  <si>
    <t>Specific Conductance</t>
  </si>
  <si>
    <t>μS/cm</t>
  </si>
  <si>
    <t>Standard: Specific Conductance - Dry</t>
  </si>
  <si>
    <t>a. Calibration Standard</t>
  </si>
  <si>
    <t>Standard: Specific Conductance - Standard Solution</t>
  </si>
  <si>
    <t>Temperature</t>
  </si>
  <si>
    <t>°C</t>
  </si>
  <si>
    <t>Standard: Temperature - Water Bath</t>
  </si>
  <si>
    <t>Chlorophyll</t>
  </si>
  <si>
    <t>RFU</t>
  </si>
  <si>
    <t>μg/L</t>
  </si>
  <si>
    <t>Blue green algae</t>
  </si>
  <si>
    <t>Turbidity</t>
  </si>
  <si>
    <t>NTU</t>
  </si>
  <si>
    <t>Standard: Turbidity - High</t>
  </si>
  <si>
    <t>pH</t>
  </si>
  <si>
    <t>pH Units</t>
  </si>
  <si>
    <t>Standard: pH - 4</t>
  </si>
  <si>
    <t>Standard: pH - 7</t>
  </si>
  <si>
    <t>Standard: pH - 10</t>
  </si>
  <si>
    <t>Dissolved Oxygen</t>
  </si>
  <si>
    <t>%</t>
  </si>
  <si>
    <t>Standard: Dissolved Oxygen - fully saturated</t>
  </si>
  <si>
    <t>mg/L</t>
  </si>
  <si>
    <t>arrival_time</t>
  </si>
  <si>
    <t>summary_name</t>
  </si>
  <si>
    <t>reason_name</t>
  </si>
  <si>
    <t>event_type_name</t>
  </si>
  <si>
    <t>Specific Conductance (μS/cm) Check</t>
  </si>
  <si>
    <t>Conductance Check</t>
  </si>
  <si>
    <t>Standard: Specific Conductance - Standard Check</t>
  </si>
  <si>
    <t>Cell constant:</t>
  </si>
  <si>
    <t>Verification Instrument</t>
  </si>
  <si>
    <t>Serial         Number</t>
  </si>
  <si>
    <t>Thermometer</t>
  </si>
  <si>
    <t>Turbidimeter</t>
  </si>
  <si>
    <t>Barometer</t>
  </si>
  <si>
    <t>addl. instrument</t>
  </si>
  <si>
    <t>lot_number</t>
  </si>
  <si>
    <t>expiration_date</t>
  </si>
  <si>
    <t>instrument_name</t>
  </si>
  <si>
    <t>serial_number</t>
  </si>
  <si>
    <t>calibration_due_date</t>
  </si>
  <si>
    <t>location_name</t>
  </si>
  <si>
    <t>Lab</t>
  </si>
  <si>
    <t>Calibrated</t>
  </si>
  <si>
    <t>Wagner QAQC</t>
  </si>
  <si>
    <t>Calibration Due Date</t>
  </si>
  <si>
    <t>2017080C0003</t>
  </si>
  <si>
    <t>261829</t>
  </si>
  <si>
    <t xml:space="preserve"> </t>
  </si>
  <si>
    <t>Inputs</t>
  </si>
  <si>
    <t>Temp in Kelvin (T)</t>
  </si>
  <si>
    <t>Salinity (S)</t>
  </si>
  <si>
    <t>BP in atm (P)</t>
  </si>
  <si>
    <r>
      <t>Vapor Pressure of water in atmospheres (</t>
    </r>
    <r>
      <rPr>
        <i/>
        <sz val="11"/>
        <color theme="1"/>
        <rFont val="Calibri"/>
        <family val="2"/>
        <scheme val="minor"/>
      </rPr>
      <t>u</t>
    </r>
    <r>
      <rPr>
        <sz val="11"/>
        <color theme="1"/>
        <rFont val="Calibri"/>
        <family val="2"/>
        <scheme val="minor"/>
      </rPr>
      <t>)</t>
    </r>
  </si>
  <si>
    <r>
      <t>Second Virial Coeffecient of Oxygen (0</t>
    </r>
    <r>
      <rPr>
        <vertAlign val="subscript"/>
        <sz val="11"/>
        <color theme="1"/>
        <rFont val="Calibri"/>
        <family val="2"/>
        <scheme val="minor"/>
      </rPr>
      <t>o</t>
    </r>
    <r>
      <rPr>
        <sz val="11"/>
        <color theme="1"/>
        <rFont val="Calibri"/>
        <family val="2"/>
        <scheme val="minor"/>
      </rPr>
      <t>)</t>
    </r>
  </si>
  <si>
    <r>
      <t>DO Concentration @ zero salinity and one ATM (DO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)</t>
    </r>
  </si>
  <si>
    <r>
      <t>Salinity Factor (F</t>
    </r>
    <r>
      <rPr>
        <vertAlign val="subscript"/>
        <sz val="11"/>
        <color theme="1"/>
        <rFont val="Calibri"/>
        <family val="2"/>
        <scheme val="minor"/>
      </rPr>
      <t>s</t>
    </r>
    <r>
      <rPr>
        <sz val="11"/>
        <color theme="1"/>
        <rFont val="Calibri"/>
        <family val="2"/>
        <scheme val="minor"/>
      </rPr>
      <t>)</t>
    </r>
  </si>
  <si>
    <r>
      <t>Pressure Factor (F</t>
    </r>
    <r>
      <rPr>
        <vertAlign val="subscript"/>
        <sz val="11"/>
        <color theme="1"/>
        <rFont val="Calibri"/>
        <family val="2"/>
        <scheme val="minor"/>
      </rPr>
      <t>P</t>
    </r>
    <r>
      <rPr>
        <sz val="11"/>
        <color theme="1"/>
        <rFont val="Calibri"/>
        <family val="2"/>
        <scheme val="minor"/>
      </rPr>
      <t>)</t>
    </r>
  </si>
  <si>
    <r>
      <t>Temp in C (</t>
    </r>
    <r>
      <rPr>
        <i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>)</t>
    </r>
  </si>
  <si>
    <t>SpCond (µS/cm)</t>
  </si>
  <si>
    <t>Barometric Pressure (mmHg)</t>
  </si>
  <si>
    <t>Oxygen Solubility</t>
  </si>
  <si>
    <t>sonde_name</t>
  </si>
  <si>
    <t>action_name</t>
  </si>
  <si>
    <t>LAB</t>
  </si>
  <si>
    <t>summary was not specified</t>
  </si>
  <si>
    <t>Turbidity Standard</t>
  </si>
  <si>
    <t>Conductance Standard</t>
  </si>
  <si>
    <t>10 pH Standard</t>
  </si>
  <si>
    <t>20700</t>
  </si>
  <si>
    <t>Water Quality Instrument Record (SOP v1.0.0)</t>
  </si>
  <si>
    <t>21860</t>
  </si>
  <si>
    <t>b. Pre-calibration Reading</t>
  </si>
  <si>
    <t>c. Post-calibration Reading</t>
  </si>
  <si>
    <t>4 pH Standard</t>
  </si>
  <si>
    <t>A0037</t>
  </si>
  <si>
    <t>A0016</t>
  </si>
  <si>
    <t>solution_name</t>
  </si>
  <si>
    <t>Standard: DIW</t>
  </si>
  <si>
    <t>Wiper activated during calibration</t>
  </si>
  <si>
    <t>191957329</t>
  </si>
  <si>
    <t>21833</t>
  </si>
  <si>
    <t>SM-26</t>
  </si>
  <si>
    <t>x</t>
  </si>
  <si>
    <t>Pluton</t>
  </si>
  <si>
    <t>Verification Sonde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</si>
</sst>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000"/>
    <numFmt numFmtId="166" formatCode="\X"/>
    <numFmt numFmtId="167" formatCode="dd\ mmm\ yyyy"/>
  </numFmts>
  <fonts count="20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i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CC"/>
      </patternFill>
    </fill>
  </fills>
  <borders count="4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auto="1"/>
      </diagonal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 diagonalUp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Up="1">
      <left/>
      <right/>
      <top style="thin">
        <color indexed="64"/>
      </top>
      <bottom style="thin">
        <color indexed="64"/>
      </bottom>
      <diagonal style="thin">
        <color indexed="64"/>
      </diagonal>
    </border>
    <border diagonalUp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 style="thin">
        <color indexed="64"/>
      </diagonal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 diagonalUp="1"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</borders>
  <cellStyleXfs count="6">
    <xf numFmtId="0" fontId="0" fillId="0" borderId="0"/>
    <xf numFmtId="0" fontId="1" fillId="0" borderId="0" applyNumberFormat="0" applyFill="0" applyBorder="0" applyAlignment="0" applyProtection="0"/>
    <xf numFmtId="0" fontId="14" fillId="2" borderId="43" applyNumberFormat="0" applyAlignment="0" applyProtection="0"/>
    <xf numFmtId="0" fontId="15" fillId="2" borderId="42" applyNumberFormat="0" applyAlignment="0" applyProtection="0"/>
    <xf numFmtId="0" fontId="16" fillId="0" borderId="44" applyNumberFormat="0" applyFill="0" applyAlignment="0" applyProtection="0"/>
    <xf numFmtId="0" fontId="13" fillId="3" borderId="45" applyNumberFormat="0" applyFont="0" applyAlignment="0" applyProtection="0"/>
  </cellStyleXfs>
  <cellXfs count="139">
    <xf numFmtId="0" fontId="0" fillId="0" borderId="0" xfId="0"/>
    <xf numFmtId="0" fontId="0" fillId="0" borderId="0" xfId="0" applyBorder="1"/>
    <xf numFmtId="0" fontId="0" fillId="0" borderId="0" xfId="0" applyBorder="1" applyAlignment="1">
      <alignment horizontal="center"/>
    </xf>
    <xf numFmtId="0" fontId="3" fillId="0" borderId="0" xfId="0" applyFont="1" applyBorder="1"/>
    <xf numFmtId="0" fontId="3" fillId="0" borderId="0" xfId="0" applyFont="1" applyBorder="1" applyAlignment="1">
      <alignment horizontal="right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/>
    </xf>
    <xf numFmtId="0" fontId="6" fillId="0" borderId="12" xfId="0" applyFont="1" applyBorder="1" applyAlignment="1"/>
    <xf numFmtId="0" fontId="4" fillId="0" borderId="0" xfId="0" applyFont="1" applyBorder="1" applyAlignment="1">
      <alignment horizontal="center"/>
    </xf>
    <xf numFmtId="0" fontId="0" fillId="0" borderId="0" xfId="0" applyBorder="1" applyAlignment="1"/>
    <xf numFmtId="0" fontId="0" fillId="0" borderId="0" xfId="0" applyAlignment="1"/>
    <xf numFmtId="0" fontId="1" fillId="0" borderId="0" xfId="1"/>
    <xf numFmtId="166" fontId="2" fillId="0" borderId="1" xfId="0" applyNumberFormat="1" applyFont="1" applyBorder="1" applyAlignment="1" applyProtection="1">
      <alignment horizontal="center"/>
      <protection locked="0"/>
    </xf>
    <xf numFmtId="0" fontId="3" fillId="0" borderId="0" xfId="0" applyFont="1" applyBorder="1" applyAlignment="1">
      <alignment horizontal="center"/>
    </xf>
    <xf numFmtId="0" fontId="6" fillId="0" borderId="0" xfId="0" applyFont="1" applyBorder="1" applyAlignment="1">
      <alignment horizontal="left"/>
    </xf>
    <xf numFmtId="0" fontId="3" fillId="0" borderId="34" xfId="0" applyFont="1" applyBorder="1" applyAlignment="1"/>
    <xf numFmtId="0" fontId="1" fillId="0" borderId="0" xfId="1" applyNumberFormat="1"/>
    <xf numFmtId="0" fontId="0" fillId="0" borderId="1" xfId="0" applyBorder="1" applyProtection="1">
      <protection locked="0"/>
    </xf>
    <xf numFmtId="0" fontId="0" fillId="0" borderId="33" xfId="0" applyBorder="1" applyProtection="1">
      <protection locked="0"/>
    </xf>
    <xf numFmtId="2" fontId="1" fillId="0" borderId="0" xfId="1" applyNumberFormat="1"/>
    <xf numFmtId="1" fontId="1" fillId="0" borderId="0" xfId="1" applyNumberFormat="1"/>
    <xf numFmtId="49" fontId="1" fillId="0" borderId="0" xfId="1" applyNumberFormat="1"/>
    <xf numFmtId="0" fontId="1" fillId="0" borderId="0" xfId="1" applyNumberFormat="1" applyProtection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9" fillId="0" borderId="0" xfId="0" applyFont="1"/>
    <xf numFmtId="0" fontId="16" fillId="0" borderId="44" xfId="4"/>
    <xf numFmtId="0" fontId="0" fillId="3" borderId="45" xfId="5" applyFont="1"/>
    <xf numFmtId="0" fontId="15" fillId="2" borderId="42" xfId="3"/>
    <xf numFmtId="2" fontId="14" fillId="2" borderId="43" xfId="2" applyNumberFormat="1"/>
    <xf numFmtId="0" fontId="6" fillId="0" borderId="13" xfId="0" applyFont="1" applyBorder="1" applyAlignment="1" applyProtection="1">
      <alignment horizontal="center"/>
      <protection locked="0"/>
    </xf>
    <xf numFmtId="0" fontId="6" fillId="0" borderId="26" xfId="0" applyFont="1" applyBorder="1" applyAlignment="1" applyProtection="1">
      <alignment horizontal="center"/>
      <protection locked="0"/>
    </xf>
    <xf numFmtId="0" fontId="6" fillId="0" borderId="12" xfId="0" applyFont="1" applyBorder="1" applyAlignment="1" applyProtection="1">
      <alignment horizontal="center"/>
      <protection locked="0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2" fontId="6" fillId="0" borderId="6" xfId="0" applyNumberFormat="1" applyFont="1" applyBorder="1" applyAlignment="1" applyProtection="1">
      <alignment horizontal="center"/>
      <protection locked="0"/>
    </xf>
    <xf numFmtId="0" fontId="6" fillId="0" borderId="6" xfId="0" applyFont="1" applyBorder="1" applyAlignment="1" applyProtection="1">
      <alignment horizontal="center"/>
      <protection locked="0"/>
    </xf>
    <xf numFmtId="2" fontId="6" fillId="0" borderId="6" xfId="0" applyNumberFormat="1" applyFont="1" applyBorder="1" applyAlignment="1" applyProtection="1">
      <alignment horizontal="center"/>
    </xf>
    <xf numFmtId="0" fontId="3" fillId="0" borderId="0" xfId="0" applyFont="1" applyBorder="1" applyAlignment="1">
      <alignment horizontal="center"/>
    </xf>
    <xf numFmtId="0" fontId="3" fillId="0" borderId="1" xfId="0" applyFont="1" applyBorder="1" applyAlignment="1" applyProtection="1">
      <alignment horizontal="center"/>
    </xf>
    <xf numFmtId="0" fontId="6" fillId="0" borderId="0" xfId="0" applyFont="1" applyBorder="1" applyAlignment="1">
      <alignment horizontal="left"/>
    </xf>
    <xf numFmtId="0" fontId="6" fillId="0" borderId="6" xfId="0" applyFont="1" applyBorder="1" applyAlignment="1">
      <alignment horizontal="left"/>
    </xf>
    <xf numFmtId="0" fontId="6" fillId="0" borderId="13" xfId="0" applyFont="1" applyBorder="1" applyAlignment="1">
      <alignment horizontal="left"/>
    </xf>
    <xf numFmtId="0" fontId="0" fillId="0" borderId="14" xfId="0" applyBorder="1" applyAlignment="1" applyProtection="1">
      <alignment horizontal="center"/>
      <protection locked="0"/>
    </xf>
    <xf numFmtId="0" fontId="0" fillId="0" borderId="8" xfId="0" applyBorder="1" applyAlignment="1" applyProtection="1">
      <alignment horizontal="center"/>
      <protection locked="0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1" fontId="6" fillId="0" borderId="6" xfId="0" applyNumberFormat="1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1" fontId="6" fillId="0" borderId="6" xfId="0" applyNumberFormat="1" applyFont="1" applyBorder="1" applyAlignment="1" applyProtection="1">
      <alignment horizontal="center"/>
      <protection locked="0"/>
    </xf>
    <xf numFmtId="0" fontId="6" fillId="0" borderId="5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167" fontId="3" fillId="0" borderId="7" xfId="0" applyNumberFormat="1" applyFont="1" applyBorder="1" applyAlignment="1" applyProtection="1">
      <alignment horizontal="center"/>
    </xf>
    <xf numFmtId="167" fontId="3" fillId="0" borderId="46" xfId="0" applyNumberFormat="1" applyFont="1" applyBorder="1" applyAlignment="1" applyProtection="1">
      <alignment horizontal="center"/>
    </xf>
    <xf numFmtId="49" fontId="3" fillId="0" borderId="6" xfId="0" applyNumberFormat="1" applyFont="1" applyBorder="1" applyAlignment="1" applyProtection="1">
      <alignment horizontal="center"/>
      <protection locked="0"/>
    </xf>
    <xf numFmtId="49" fontId="3" fillId="0" borderId="7" xfId="0" applyNumberFormat="1" applyFont="1" applyBorder="1" applyAlignment="1" applyProtection="1">
      <alignment horizontal="center"/>
    </xf>
    <xf numFmtId="49" fontId="3" fillId="0" borderId="10" xfId="0" applyNumberFormat="1" applyFont="1" applyBorder="1" applyAlignment="1" applyProtection="1">
      <alignment horizontal="center"/>
      <protection locked="0"/>
    </xf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167" fontId="3" fillId="0" borderId="10" xfId="0" applyNumberFormat="1" applyFont="1" applyBorder="1" applyAlignment="1" applyProtection="1">
      <alignment horizontal="center"/>
      <protection locked="0"/>
    </xf>
    <xf numFmtId="167" fontId="3" fillId="0" borderId="11" xfId="0" applyNumberFormat="1" applyFont="1" applyBorder="1" applyAlignment="1" applyProtection="1">
      <alignment horizontal="center"/>
      <protection locked="0"/>
    </xf>
    <xf numFmtId="0" fontId="6" fillId="0" borderId="7" xfId="0" applyFont="1" applyBorder="1" applyAlignment="1">
      <alignment horizontal="center"/>
    </xf>
    <xf numFmtId="2" fontId="6" fillId="0" borderId="7" xfId="0" applyNumberFormat="1" applyFont="1" applyBorder="1" applyAlignment="1" applyProtection="1">
      <alignment horizontal="center"/>
    </xf>
    <xf numFmtId="0" fontId="7" fillId="0" borderId="6" xfId="0" applyFont="1" applyBorder="1" applyAlignment="1">
      <alignment horizontal="center"/>
    </xf>
    <xf numFmtId="164" fontId="6" fillId="0" borderId="6" xfId="0" applyNumberFormat="1" applyFont="1" applyBorder="1" applyAlignment="1" applyProtection="1">
      <alignment horizontal="center"/>
      <protection locked="0"/>
    </xf>
    <xf numFmtId="2" fontId="6" fillId="0" borderId="46" xfId="0" applyNumberFormat="1" applyFont="1" applyBorder="1" applyAlignment="1" applyProtection="1">
      <alignment horizontal="center"/>
    </xf>
    <xf numFmtId="2" fontId="6" fillId="0" borderId="6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1" xfId="0" applyBorder="1" applyAlignment="1" applyProtection="1">
      <alignment horizontal="center"/>
      <protection locked="0"/>
    </xf>
    <xf numFmtId="165" fontId="3" fillId="0" borderId="1" xfId="0" applyNumberFormat="1" applyFont="1" applyBorder="1" applyAlignment="1" applyProtection="1">
      <alignment horizontal="center"/>
      <protection locked="0"/>
    </xf>
    <xf numFmtId="0" fontId="11" fillId="0" borderId="0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 vertical="top"/>
    </xf>
    <xf numFmtId="0" fontId="6" fillId="0" borderId="25" xfId="0" applyFont="1" applyBorder="1" applyAlignment="1" applyProtection="1">
      <alignment horizontal="center"/>
      <protection locked="0"/>
    </xf>
    <xf numFmtId="0" fontId="6" fillId="0" borderId="14" xfId="0" applyFont="1" applyBorder="1" applyAlignment="1" applyProtection="1">
      <alignment horizontal="center"/>
      <protection locked="0"/>
    </xf>
    <xf numFmtId="49" fontId="3" fillId="0" borderId="13" xfId="0" applyNumberFormat="1" applyFont="1" applyBorder="1" applyAlignment="1" applyProtection="1">
      <alignment horizontal="center"/>
      <protection locked="0"/>
    </xf>
    <xf numFmtId="49" fontId="3" fillId="0" borderId="26" xfId="0" applyNumberFormat="1" applyFont="1" applyBorder="1" applyAlignment="1" applyProtection="1">
      <alignment horizontal="center"/>
      <protection locked="0"/>
    </xf>
    <xf numFmtId="49" fontId="3" fillId="0" borderId="14" xfId="0" applyNumberFormat="1" applyFont="1" applyBorder="1" applyAlignment="1" applyProtection="1">
      <alignment horizontal="center"/>
      <protection locked="0"/>
    </xf>
    <xf numFmtId="167" fontId="3" fillId="0" borderId="26" xfId="0" applyNumberFormat="1" applyFont="1" applyBorder="1" applyAlignment="1" applyProtection="1">
      <alignment horizontal="center"/>
      <protection locked="0"/>
    </xf>
    <xf numFmtId="167" fontId="3" fillId="0" borderId="12" xfId="0" applyNumberFormat="1" applyFont="1" applyBorder="1" applyAlignment="1" applyProtection="1">
      <alignment horizontal="center"/>
      <protection locked="0"/>
    </xf>
    <xf numFmtId="0" fontId="6" fillId="0" borderId="27" xfId="0" applyFont="1" applyBorder="1" applyAlignment="1" applyProtection="1">
      <alignment horizontal="center"/>
      <protection locked="0"/>
    </xf>
    <xf numFmtId="0" fontId="6" fillId="0" borderId="28" xfId="0" applyFont="1" applyBorder="1" applyAlignment="1" applyProtection="1">
      <alignment horizontal="center"/>
      <protection locked="0"/>
    </xf>
    <xf numFmtId="0" fontId="6" fillId="0" borderId="16" xfId="0" applyFont="1" applyBorder="1" applyAlignment="1" applyProtection="1">
      <alignment horizontal="center"/>
      <protection locked="0"/>
    </xf>
    <xf numFmtId="49" fontId="3" fillId="0" borderId="15" xfId="0" applyNumberFormat="1" applyFont="1" applyBorder="1" applyAlignment="1" applyProtection="1">
      <alignment horizontal="center"/>
      <protection locked="0"/>
    </xf>
    <xf numFmtId="49" fontId="3" fillId="0" borderId="28" xfId="0" applyNumberFormat="1" applyFont="1" applyBorder="1" applyAlignment="1" applyProtection="1">
      <alignment horizontal="center"/>
      <protection locked="0"/>
    </xf>
    <xf numFmtId="49" fontId="3" fillId="0" borderId="16" xfId="0" applyNumberFormat="1" applyFont="1" applyBorder="1" applyAlignment="1" applyProtection="1">
      <alignment horizontal="center"/>
      <protection locked="0"/>
    </xf>
    <xf numFmtId="167" fontId="3" fillId="0" borderId="28" xfId="0" applyNumberFormat="1" applyFont="1" applyBorder="1" applyAlignment="1" applyProtection="1">
      <alignment horizontal="center"/>
      <protection locked="0"/>
    </xf>
    <xf numFmtId="167" fontId="3" fillId="0" borderId="29" xfId="0" applyNumberFormat="1" applyFont="1" applyBorder="1" applyAlignment="1" applyProtection="1">
      <alignment horizontal="center"/>
      <protection locked="0"/>
    </xf>
    <xf numFmtId="0" fontId="4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49" fontId="0" fillId="0" borderId="1" xfId="0" applyNumberFormat="1" applyBorder="1" applyAlignment="1" applyProtection="1">
      <alignment horizontal="center"/>
      <protection locked="0"/>
    </xf>
    <xf numFmtId="49" fontId="3" fillId="0" borderId="1" xfId="0" applyNumberFormat="1" applyFont="1" applyBorder="1" applyAlignment="1" applyProtection="1">
      <alignment horizontal="center"/>
      <protection locked="0"/>
    </xf>
    <xf numFmtId="0" fontId="10" fillId="0" borderId="0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167" fontId="3" fillId="0" borderId="1" xfId="0" applyNumberFormat="1" applyFont="1" applyBorder="1" applyAlignment="1" applyProtection="1">
      <alignment horizontal="left"/>
      <protection locked="0"/>
    </xf>
    <xf numFmtId="0" fontId="6" fillId="0" borderId="25" xfId="0" applyFont="1" applyBorder="1" applyAlignment="1" applyProtection="1">
      <alignment horizontal="center"/>
    </xf>
    <xf numFmtId="0" fontId="6" fillId="0" borderId="26" xfId="0" applyFont="1" applyBorder="1" applyAlignment="1" applyProtection="1">
      <alignment horizontal="center"/>
    </xf>
    <xf numFmtId="167" fontId="3" fillId="0" borderId="6" xfId="0" applyNumberFormat="1" applyFont="1" applyBorder="1" applyAlignment="1" applyProtection="1">
      <alignment horizontal="center"/>
      <protection locked="0"/>
    </xf>
    <xf numFmtId="167" fontId="3" fillId="0" borderId="8" xfId="0" applyNumberFormat="1" applyFont="1" applyBorder="1" applyAlignment="1" applyProtection="1">
      <alignment horizontal="center"/>
      <protection locked="0"/>
    </xf>
    <xf numFmtId="0" fontId="4" fillId="0" borderId="36" xfId="0" applyFont="1" applyBorder="1" applyAlignment="1" applyProtection="1">
      <alignment horizontal="center" wrapText="1"/>
    </xf>
    <xf numFmtId="0" fontId="4" fillId="0" borderId="34" xfId="0" applyFont="1" applyBorder="1" applyAlignment="1" applyProtection="1">
      <alignment horizontal="center" wrapText="1"/>
    </xf>
    <xf numFmtId="0" fontId="4" fillId="0" borderId="40" xfId="0" applyFont="1" applyBorder="1" applyAlignment="1" applyProtection="1">
      <alignment horizontal="center" wrapText="1"/>
    </xf>
    <xf numFmtId="0" fontId="4" fillId="0" borderId="23" xfId="0" applyFont="1" applyBorder="1" applyAlignment="1" applyProtection="1">
      <alignment horizontal="center" wrapText="1"/>
    </xf>
    <xf numFmtId="0" fontId="4" fillId="0" borderId="37" xfId="0" applyFont="1" applyBorder="1" applyAlignment="1" applyProtection="1">
      <alignment horizontal="center" wrapText="1"/>
    </xf>
    <xf numFmtId="0" fontId="4" fillId="0" borderId="38" xfId="0" applyFont="1" applyBorder="1" applyAlignment="1" applyProtection="1">
      <alignment horizontal="center" wrapText="1"/>
    </xf>
    <xf numFmtId="0" fontId="4" fillId="0" borderId="22" xfId="0" applyFont="1" applyBorder="1" applyAlignment="1" applyProtection="1">
      <alignment horizontal="center" wrapText="1"/>
    </xf>
    <xf numFmtId="0" fontId="4" fillId="0" borderId="24" xfId="0" applyFont="1" applyBorder="1" applyAlignment="1" applyProtection="1">
      <alignment horizontal="center" wrapText="1"/>
    </xf>
    <xf numFmtId="0" fontId="4" fillId="0" borderId="39" xfId="0" applyFont="1" applyBorder="1" applyAlignment="1" applyProtection="1">
      <alignment horizontal="center" wrapText="1"/>
    </xf>
    <xf numFmtId="0" fontId="4" fillId="0" borderId="41" xfId="0" applyFont="1" applyBorder="1" applyAlignment="1" applyProtection="1">
      <alignment horizontal="center" wrapText="1"/>
    </xf>
    <xf numFmtId="0" fontId="6" fillId="0" borderId="0" xfId="0" applyFont="1" applyAlignment="1">
      <alignment horizontal="right"/>
    </xf>
    <xf numFmtId="0" fontId="12" fillId="0" borderId="0" xfId="0" applyFont="1" applyAlignment="1">
      <alignment horizontal="right"/>
    </xf>
    <xf numFmtId="0" fontId="0" fillId="0" borderId="17" xfId="0" applyBorder="1" applyAlignment="1" applyProtection="1">
      <alignment horizontal="center"/>
      <protection locked="0"/>
    </xf>
    <xf numFmtId="0" fontId="0" fillId="0" borderId="18" xfId="0" applyBorder="1" applyAlignment="1" applyProtection="1">
      <alignment horizontal="center"/>
      <protection locked="0"/>
    </xf>
    <xf numFmtId="0" fontId="0" fillId="0" borderId="19" xfId="0" applyBorder="1" applyAlignment="1" applyProtection="1">
      <alignment horizontal="center"/>
      <protection locked="0"/>
    </xf>
    <xf numFmtId="0" fontId="0" fillId="0" borderId="20" xfId="0" applyBorder="1" applyAlignment="1" applyProtection="1">
      <alignment horizontal="center"/>
      <protection locked="0"/>
    </xf>
    <xf numFmtId="0" fontId="0" fillId="0" borderId="0" xfId="0" applyBorder="1" applyAlignment="1" applyProtection="1">
      <alignment horizontal="center"/>
      <protection locked="0"/>
    </xf>
    <xf numFmtId="0" fontId="0" fillId="0" borderId="21" xfId="0" applyBorder="1" applyAlignment="1" applyProtection="1">
      <alignment horizontal="center"/>
      <protection locked="0"/>
    </xf>
    <xf numFmtId="0" fontId="0" fillId="0" borderId="22" xfId="0" applyBorder="1" applyAlignment="1" applyProtection="1">
      <alignment horizontal="center"/>
      <protection locked="0"/>
    </xf>
    <xf numFmtId="0" fontId="0" fillId="0" borderId="23" xfId="0" applyBorder="1" applyAlignment="1" applyProtection="1">
      <alignment horizontal="center"/>
      <protection locked="0"/>
    </xf>
    <xf numFmtId="0" fontId="0" fillId="0" borderId="24" xfId="0" applyBorder="1" applyAlignment="1" applyProtection="1">
      <alignment horizontal="center"/>
      <protection locked="0"/>
    </xf>
    <xf numFmtId="0" fontId="6" fillId="0" borderId="25" xfId="0" applyFont="1" applyBorder="1" applyAlignment="1">
      <alignment horizontal="center"/>
    </xf>
    <xf numFmtId="0" fontId="6" fillId="0" borderId="26" xfId="0" applyFont="1" applyBorder="1" applyAlignment="1">
      <alignment horizontal="center"/>
    </xf>
    <xf numFmtId="0" fontId="6" fillId="0" borderId="30" xfId="0" applyFont="1" applyBorder="1" applyAlignment="1" applyProtection="1">
      <alignment horizontal="center"/>
    </xf>
    <xf numFmtId="0" fontId="6" fillId="0" borderId="31" xfId="0" applyFont="1" applyBorder="1" applyAlignment="1" applyProtection="1">
      <alignment horizontal="center"/>
    </xf>
    <xf numFmtId="0" fontId="6" fillId="0" borderId="32" xfId="0" applyFont="1" applyBorder="1" applyAlignment="1" applyProtection="1">
      <alignment horizontal="center"/>
    </xf>
    <xf numFmtId="0" fontId="7" fillId="0" borderId="30" xfId="0" applyFont="1" applyBorder="1" applyAlignment="1">
      <alignment horizontal="center"/>
    </xf>
    <xf numFmtId="0" fontId="7" fillId="0" borderId="31" xfId="0" applyFont="1" applyBorder="1" applyAlignment="1">
      <alignment horizontal="center"/>
    </xf>
    <xf numFmtId="0" fontId="7" fillId="0" borderId="32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1" fontId="6" fillId="0" borderId="10" xfId="0" applyNumberFormat="1" applyFont="1" applyBorder="1" applyAlignment="1" applyProtection="1">
      <alignment horizontal="center"/>
      <protection locked="0"/>
    </xf>
    <xf numFmtId="0" fontId="6" fillId="0" borderId="35" xfId="0" applyFont="1" applyBorder="1" applyAlignment="1" applyProtection="1">
      <alignment horizontal="center"/>
    </xf>
    <xf numFmtId="0" fontId="6" fillId="0" borderId="10" xfId="0" applyFont="1" applyBorder="1" applyAlignment="1" applyProtection="1">
      <alignment horizontal="center"/>
      <protection locked="0"/>
    </xf>
    <xf numFmtId="0" fontId="6" fillId="0" borderId="11" xfId="0" applyFont="1" applyBorder="1" applyAlignment="1" applyProtection="1">
      <alignment horizontal="center"/>
      <protection locked="0"/>
    </xf>
    <xf numFmtId="0" fontId="0" fillId="0" borderId="26" xfId="0" applyBorder="1" applyAlignment="1" applyProtection="1">
      <alignment horizontal="center"/>
      <protection locked="0"/>
    </xf>
    <xf numFmtId="0" fontId="0" fillId="0" borderId="12" xfId="0" applyBorder="1" applyAlignment="1" applyProtection="1">
      <alignment horizontal="center"/>
      <protection locked="0"/>
    </xf>
    <xf numFmtId="0" fontId="6" fillId="0" borderId="26" xfId="0" applyFont="1" applyBorder="1" applyAlignment="1">
      <alignment horizontal="left"/>
    </xf>
  </cellXfs>
  <cellStyles count="6">
    <cellStyle name="Calculation" xfId="3" builtinId="22"/>
    <cellStyle name="Explanatory Text" xfId="1" builtinId="53"/>
    <cellStyle name="Linked Cell" xfId="4" builtinId="24"/>
    <cellStyle name="Normal" xfId="0" builtinId="0"/>
    <cellStyle name="Note" xfId="5" builtinId="10"/>
    <cellStyle name="Output" xfId="2" builtinId="21"/>
  </cellStyles>
  <dxfs count="124">
    <dxf>
      <fill>
        <patternFill>
          <bgColor theme="7" tint="0.79998168889431442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 patternType="none">
          <bgColor auto="1"/>
        </patternFill>
      </fill>
    </dxf>
    <dxf>
      <font>
        <color theme="1" tint="0.499984740745262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79998168889431442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ill>
        <patternFill>
          <bgColor theme="7" tint="0.79998168889431442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ill>
        <patternFill>
          <bgColor theme="7" tint="0.79998168889431442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ill>
        <patternFill>
          <bgColor theme="7" tint="0.79998168889431442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ill>
        <patternFill>
          <bgColor theme="7" tint="0.79998168889431442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ill>
        <patternFill>
          <bgColor theme="7" tint="0.79998168889431442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ill>
        <patternFill>
          <bgColor theme="7" tint="0.79998168889431442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theme="1" tint="0.499984740745262"/>
      </font>
      <fill>
        <patternFill patternType="solid">
          <fgColor auto="1"/>
          <bgColor theme="1" tint="0.499984740745262"/>
        </patternFill>
      </fill>
      <border>
        <vertical/>
        <horizontal/>
      </border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auto="1"/>
      </font>
      <fill>
        <patternFill patternType="solid"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colors>
    <mruColors>
      <color rgb="FFFFFA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47625</xdr:colOff>
      <xdr:row>2</xdr:row>
      <xdr:rowOff>106680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F7A89C8-86BB-48A0-AD98-17D458A6AFA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biLevel thresh="25000"/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47700" cy="6400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AE4C7-005F-4538-ADD8-1C3019F05583}">
  <dimension ref="A1:AF59"/>
  <sheetViews>
    <sheetView showGridLines="0" tabSelected="1" zoomScaleNormal="100" zoomScalePageLayoutView="85" workbookViewId="0">
      <selection activeCell="F10" sqref="F10:AD10"/>
    </sheetView>
  </sheetViews>
  <sheetFormatPr defaultColWidth="3" defaultRowHeight="15" x14ac:dyDescent="0.25"/>
  <cols>
    <col min="47" max="48" width="3" customWidth="1"/>
  </cols>
  <sheetData>
    <row r="1" spans="1:32" ht="23.25" x14ac:dyDescent="0.35">
      <c r="A1" s="93" t="s">
        <v>64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  <c r="U1" s="93"/>
      <c r="V1" s="93"/>
      <c r="W1" s="93"/>
      <c r="X1" s="93"/>
      <c r="Y1" s="93"/>
      <c r="Z1" s="93"/>
      <c r="AA1" s="93"/>
      <c r="AB1" s="93"/>
      <c r="AC1" s="93"/>
      <c r="AD1" s="93"/>
    </row>
    <row r="2" spans="1:32" ht="18.75" x14ac:dyDescent="0.3">
      <c r="A2" s="94" t="s">
        <v>145</v>
      </c>
      <c r="B2" s="94"/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  <c r="Q2" s="94"/>
      <c r="R2" s="94"/>
      <c r="S2" s="94"/>
      <c r="T2" s="94"/>
      <c r="U2" s="94"/>
      <c r="V2" s="94"/>
      <c r="W2" s="94"/>
      <c r="X2" s="94"/>
      <c r="Y2" s="94"/>
      <c r="Z2" s="94"/>
      <c r="AA2" s="94"/>
      <c r="AB2" s="94"/>
      <c r="AC2" s="94"/>
      <c r="AD2" s="94"/>
    </row>
    <row r="3" spans="1:32" x14ac:dyDescent="0.25">
      <c r="A3" s="95" t="s">
        <v>1</v>
      </c>
      <c r="B3" s="95"/>
      <c r="C3" s="95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  <c r="Q3" s="95"/>
      <c r="R3" s="95"/>
      <c r="S3" s="95"/>
      <c r="T3" s="95"/>
      <c r="U3" s="95"/>
      <c r="V3" s="95"/>
      <c r="W3" s="95"/>
      <c r="X3" s="95"/>
      <c r="Y3" s="95"/>
      <c r="Z3" s="95"/>
      <c r="AA3" s="95"/>
      <c r="AB3" s="95"/>
      <c r="AC3" s="95"/>
      <c r="AD3" s="95"/>
      <c r="AE3" s="1"/>
    </row>
    <row r="4" spans="1:32" x14ac:dyDescent="0.25">
      <c r="A4" s="95" t="s">
        <v>2</v>
      </c>
      <c r="B4" s="95"/>
      <c r="C4" s="95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5"/>
      <c r="U4" s="95"/>
      <c r="V4" s="95"/>
      <c r="W4" s="95"/>
      <c r="X4" s="95"/>
      <c r="Y4" s="95"/>
      <c r="Z4" s="95"/>
      <c r="AA4" s="95"/>
      <c r="AB4" s="95"/>
      <c r="AC4" s="95"/>
      <c r="AD4" s="95"/>
    </row>
    <row r="5" spans="1:32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</row>
    <row r="6" spans="1:32" ht="15.75" thickBot="1" x14ac:dyDescent="0.3">
      <c r="A6" s="2"/>
      <c r="B6" s="2"/>
      <c r="C6" s="2"/>
      <c r="D6" s="2"/>
      <c r="E6" s="2"/>
      <c r="F6" s="2"/>
      <c r="G6" s="2"/>
      <c r="H6" s="2"/>
      <c r="I6" s="1"/>
      <c r="J6" s="2"/>
      <c r="K6" s="2"/>
      <c r="L6" s="68" t="s">
        <v>0</v>
      </c>
      <c r="M6" s="68"/>
      <c r="N6" s="68"/>
      <c r="O6" s="69" t="s">
        <v>157</v>
      </c>
      <c r="P6" s="69"/>
      <c r="Q6" s="69"/>
      <c r="R6" s="69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</row>
    <row r="7" spans="1:32" x14ac:dyDescent="0.25">
      <c r="A7" s="2"/>
      <c r="B7" s="2"/>
      <c r="C7" s="2"/>
      <c r="D7" s="2"/>
      <c r="E7" s="2"/>
      <c r="F7" s="2"/>
      <c r="G7" s="2"/>
      <c r="H7" s="2"/>
      <c r="I7" s="1"/>
      <c r="J7" s="2"/>
      <c r="K7" s="2"/>
      <c r="L7" s="2"/>
      <c r="M7" s="2"/>
      <c r="N7" s="2"/>
      <c r="O7" s="2"/>
      <c r="P7" s="1"/>
      <c r="Q7" s="1"/>
      <c r="R7" s="1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</row>
    <row r="8" spans="1:32" ht="15.75" thickBot="1" x14ac:dyDescent="0.3">
      <c r="A8" s="90" t="s">
        <v>3</v>
      </c>
      <c r="B8" s="90"/>
      <c r="C8" s="90"/>
      <c r="D8" s="12" t="s">
        <v>158</v>
      </c>
      <c r="E8" s="89" t="s">
        <v>4</v>
      </c>
      <c r="F8" s="89"/>
      <c r="G8" s="89"/>
      <c r="H8" s="12"/>
      <c r="I8" s="90" t="s">
        <v>5</v>
      </c>
      <c r="J8" s="90"/>
      <c r="K8" s="90"/>
      <c r="L8" s="90"/>
      <c r="M8" s="90"/>
      <c r="N8" s="90"/>
      <c r="O8" s="90"/>
      <c r="P8" s="92" t="s">
        <v>159</v>
      </c>
      <c r="Q8" s="92"/>
      <c r="R8" s="92"/>
      <c r="S8" s="92"/>
      <c r="T8" s="92"/>
      <c r="U8" s="92"/>
      <c r="V8" s="90" t="s">
        <v>47</v>
      </c>
      <c r="W8" s="90"/>
      <c r="X8" s="90"/>
      <c r="Y8" s="90"/>
      <c r="Z8" s="90"/>
      <c r="AA8" s="96">
        <v>44005</v>
      </c>
      <c r="AB8" s="96"/>
      <c r="AC8" s="96"/>
      <c r="AD8" s="96"/>
    </row>
    <row r="9" spans="1:32" ht="15.75" thickBot="1" x14ac:dyDescent="0.3">
      <c r="A9" s="89" t="s">
        <v>49</v>
      </c>
      <c r="B9" s="89"/>
      <c r="C9" s="89"/>
      <c r="D9" s="89"/>
      <c r="E9" s="89"/>
      <c r="F9" s="89"/>
      <c r="G9" s="89"/>
      <c r="H9" s="91" t="s">
        <v>139</v>
      </c>
      <c r="I9" s="91"/>
      <c r="J9" s="91"/>
      <c r="K9" s="91"/>
      <c r="L9" s="91"/>
      <c r="M9" s="91"/>
      <c r="N9" s="91"/>
      <c r="O9" s="91"/>
      <c r="P9" s="91"/>
      <c r="Q9" s="91"/>
      <c r="R9" s="91"/>
      <c r="S9" s="91"/>
      <c r="T9" s="90" t="s">
        <v>48</v>
      </c>
      <c r="U9" s="90"/>
      <c r="V9" s="90"/>
      <c r="W9" s="90"/>
      <c r="X9" s="90"/>
      <c r="Y9" s="90"/>
      <c r="Z9" s="90"/>
      <c r="AA9" s="70">
        <v>730</v>
      </c>
      <c r="AB9" s="70"/>
      <c r="AC9" s="70"/>
      <c r="AD9" s="70"/>
    </row>
    <row r="10" spans="1:32" ht="15.75" thickBot="1" x14ac:dyDescent="0.3">
      <c r="A10" s="89" t="s">
        <v>6</v>
      </c>
      <c r="B10" s="89"/>
      <c r="C10" s="89"/>
      <c r="D10" s="89"/>
      <c r="E10" s="89"/>
      <c r="F10" s="92"/>
      <c r="G10" s="92"/>
      <c r="H10" s="92"/>
      <c r="I10" s="92"/>
      <c r="J10" s="92"/>
      <c r="K10" s="92"/>
      <c r="L10" s="92"/>
      <c r="M10" s="92"/>
      <c r="N10" s="92"/>
      <c r="O10" s="92"/>
      <c r="P10" s="92"/>
      <c r="Q10" s="92"/>
      <c r="R10" s="92"/>
      <c r="S10" s="92"/>
      <c r="T10" s="92"/>
      <c r="U10" s="92"/>
      <c r="V10" s="92"/>
      <c r="W10" s="92"/>
      <c r="X10" s="92"/>
      <c r="Y10" s="92"/>
      <c r="Z10" s="92"/>
      <c r="AA10" s="92"/>
      <c r="AB10" s="92"/>
      <c r="AC10" s="92"/>
      <c r="AD10" s="92"/>
    </row>
    <row r="11" spans="1:32" ht="15.75" thickBot="1" x14ac:dyDescent="0.3">
      <c r="A11" s="4"/>
      <c r="B11" s="4"/>
      <c r="C11" s="4"/>
      <c r="D11" s="4"/>
      <c r="E11" s="4"/>
      <c r="F11" s="4"/>
      <c r="G11" s="4"/>
      <c r="H11" s="4"/>
      <c r="I11" s="4"/>
      <c r="J11" s="4"/>
      <c r="K11" s="8"/>
      <c r="L11" s="4"/>
      <c r="M11" s="4"/>
      <c r="N11" s="4"/>
      <c r="O11" s="4"/>
      <c r="P11" s="4"/>
      <c r="Q11" s="4"/>
      <c r="R11" s="4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1"/>
      <c r="AF11" s="1"/>
    </row>
    <row r="12" spans="1:32" s="10" customFormat="1" x14ac:dyDescent="0.25">
      <c r="A12" s="101" t="s">
        <v>105</v>
      </c>
      <c r="B12" s="102"/>
      <c r="C12" s="102"/>
      <c r="D12" s="102"/>
      <c r="E12" s="102"/>
      <c r="F12" s="105" t="s">
        <v>106</v>
      </c>
      <c r="G12" s="102"/>
      <c r="H12" s="102"/>
      <c r="I12" s="102"/>
      <c r="J12" s="106"/>
      <c r="K12" s="102" t="s">
        <v>120</v>
      </c>
      <c r="L12" s="102"/>
      <c r="M12" s="102"/>
      <c r="N12" s="109"/>
      <c r="P12" s="52" t="s">
        <v>39</v>
      </c>
      <c r="Q12" s="45"/>
      <c r="R12" s="45"/>
      <c r="S12" s="45"/>
      <c r="T12" s="45"/>
      <c r="U12" s="45"/>
      <c r="V12" s="45" t="s">
        <v>35</v>
      </c>
      <c r="W12" s="45"/>
      <c r="X12" s="45"/>
      <c r="Y12" s="45"/>
      <c r="Z12" s="45"/>
      <c r="AA12" s="45" t="s">
        <v>36</v>
      </c>
      <c r="AB12" s="45"/>
      <c r="AC12" s="45"/>
      <c r="AD12" s="46"/>
      <c r="AE12" s="9"/>
      <c r="AF12" s="9"/>
    </row>
    <row r="13" spans="1:32" s="10" customFormat="1" x14ac:dyDescent="0.25">
      <c r="A13" s="103"/>
      <c r="B13" s="104"/>
      <c r="C13" s="104"/>
      <c r="D13" s="104"/>
      <c r="E13" s="104"/>
      <c r="F13" s="107"/>
      <c r="G13" s="104"/>
      <c r="H13" s="104"/>
      <c r="I13" s="104"/>
      <c r="J13" s="108"/>
      <c r="K13" s="104"/>
      <c r="L13" s="104"/>
      <c r="M13" s="104"/>
      <c r="N13" s="110"/>
      <c r="P13" s="33" t="s">
        <v>141</v>
      </c>
      <c r="Q13" s="34"/>
      <c r="R13" s="34"/>
      <c r="S13" s="34"/>
      <c r="T13" s="34"/>
      <c r="U13" s="34"/>
      <c r="V13" s="55" t="s">
        <v>156</v>
      </c>
      <c r="W13" s="55"/>
      <c r="X13" s="55"/>
      <c r="Y13" s="55"/>
      <c r="Z13" s="55"/>
      <c r="AA13" s="99">
        <v>44211</v>
      </c>
      <c r="AB13" s="99"/>
      <c r="AC13" s="99"/>
      <c r="AD13" s="100"/>
      <c r="AE13" s="9"/>
      <c r="AF13" s="9"/>
    </row>
    <row r="14" spans="1:32" s="10" customFormat="1" x14ac:dyDescent="0.25">
      <c r="A14" s="97" t="s">
        <v>107</v>
      </c>
      <c r="B14" s="98"/>
      <c r="C14" s="98"/>
      <c r="D14" s="98"/>
      <c r="E14" s="98"/>
      <c r="F14" s="76" t="s">
        <v>155</v>
      </c>
      <c r="G14" s="77"/>
      <c r="H14" s="77"/>
      <c r="I14" s="77"/>
      <c r="J14" s="78"/>
      <c r="K14" s="79">
        <v>44240</v>
      </c>
      <c r="L14" s="79"/>
      <c r="M14" s="79"/>
      <c r="N14" s="80"/>
      <c r="P14" s="33" t="s">
        <v>142</v>
      </c>
      <c r="Q14" s="34"/>
      <c r="R14" s="34"/>
      <c r="S14" s="34"/>
      <c r="T14" s="34"/>
      <c r="U14" s="34"/>
      <c r="V14" s="55" t="s">
        <v>144</v>
      </c>
      <c r="W14" s="55"/>
      <c r="X14" s="55"/>
      <c r="Y14" s="55"/>
      <c r="Z14" s="55"/>
      <c r="AA14" s="99">
        <v>44506</v>
      </c>
      <c r="AB14" s="99"/>
      <c r="AC14" s="99"/>
      <c r="AD14" s="100"/>
      <c r="AE14" s="9"/>
      <c r="AF14" s="9"/>
    </row>
    <row r="15" spans="1:32" s="10" customFormat="1" x14ac:dyDescent="0.25">
      <c r="A15" s="97" t="s">
        <v>108</v>
      </c>
      <c r="B15" s="98"/>
      <c r="C15" s="98"/>
      <c r="D15" s="98"/>
      <c r="E15" s="98"/>
      <c r="F15" s="76" t="s">
        <v>121</v>
      </c>
      <c r="G15" s="77"/>
      <c r="H15" s="77"/>
      <c r="I15" s="77"/>
      <c r="J15" s="78"/>
      <c r="K15" s="79">
        <v>44017</v>
      </c>
      <c r="L15" s="79"/>
      <c r="M15" s="79"/>
      <c r="N15" s="80"/>
      <c r="P15" s="33" t="s">
        <v>102</v>
      </c>
      <c r="Q15" s="34"/>
      <c r="R15" s="34"/>
      <c r="S15" s="34"/>
      <c r="T15" s="34"/>
      <c r="U15" s="34"/>
      <c r="V15" s="55" t="s">
        <v>146</v>
      </c>
      <c r="W15" s="55"/>
      <c r="X15" s="55"/>
      <c r="Y15" s="55"/>
      <c r="Z15" s="55"/>
      <c r="AA15" s="99">
        <v>44224</v>
      </c>
      <c r="AB15" s="99"/>
      <c r="AC15" s="99"/>
      <c r="AD15" s="100"/>
      <c r="AE15" s="9"/>
      <c r="AF15" s="9"/>
    </row>
    <row r="16" spans="1:32" s="10" customFormat="1" x14ac:dyDescent="0.25">
      <c r="A16" s="97" t="s">
        <v>109</v>
      </c>
      <c r="B16" s="98"/>
      <c r="C16" s="98"/>
      <c r="D16" s="98"/>
      <c r="E16" s="98"/>
      <c r="F16" s="76" t="s">
        <v>122</v>
      </c>
      <c r="G16" s="77"/>
      <c r="H16" s="77"/>
      <c r="I16" s="77"/>
      <c r="J16" s="78"/>
      <c r="K16" s="79"/>
      <c r="L16" s="79"/>
      <c r="M16" s="79"/>
      <c r="N16" s="80"/>
      <c r="P16" s="33" t="s">
        <v>34</v>
      </c>
      <c r="Q16" s="34"/>
      <c r="R16" s="34"/>
      <c r="S16" s="34"/>
      <c r="T16" s="34"/>
      <c r="U16" s="34"/>
      <c r="V16" s="55" t="s">
        <v>150</v>
      </c>
      <c r="W16" s="55"/>
      <c r="X16" s="55"/>
      <c r="Y16" s="55"/>
      <c r="Z16" s="55"/>
      <c r="AA16" s="99">
        <v>44593</v>
      </c>
      <c r="AB16" s="99"/>
      <c r="AC16" s="99"/>
      <c r="AD16" s="100"/>
      <c r="AE16" s="9"/>
      <c r="AF16" s="9"/>
    </row>
    <row r="17" spans="1:32" s="10" customFormat="1" x14ac:dyDescent="0.25">
      <c r="A17" s="74" t="s">
        <v>110</v>
      </c>
      <c r="B17" s="31"/>
      <c r="C17" s="31"/>
      <c r="D17" s="31"/>
      <c r="E17" s="75"/>
      <c r="F17" s="76"/>
      <c r="G17" s="77"/>
      <c r="H17" s="77"/>
      <c r="I17" s="77"/>
      <c r="J17" s="78"/>
      <c r="K17" s="79"/>
      <c r="L17" s="79"/>
      <c r="M17" s="79"/>
      <c r="N17" s="80"/>
      <c r="P17" s="33" t="s">
        <v>149</v>
      </c>
      <c r="Q17" s="34"/>
      <c r="R17" s="34"/>
      <c r="S17" s="34"/>
      <c r="T17" s="34"/>
      <c r="U17" s="34"/>
      <c r="V17" s="56" t="s">
        <v>123</v>
      </c>
      <c r="W17" s="56"/>
      <c r="X17" s="56"/>
      <c r="Y17" s="56"/>
      <c r="Z17" s="56"/>
      <c r="AA17" s="53" t="s">
        <v>123</v>
      </c>
      <c r="AB17" s="53"/>
      <c r="AC17" s="53"/>
      <c r="AD17" s="54"/>
      <c r="AE17" s="9"/>
      <c r="AF17" s="9"/>
    </row>
    <row r="18" spans="1:32" s="10" customFormat="1" ht="15.75" thickBot="1" x14ac:dyDescent="0.3">
      <c r="A18" s="81" t="s">
        <v>110</v>
      </c>
      <c r="B18" s="82"/>
      <c r="C18" s="82"/>
      <c r="D18" s="82"/>
      <c r="E18" s="83"/>
      <c r="F18" s="84"/>
      <c r="G18" s="85"/>
      <c r="H18" s="85"/>
      <c r="I18" s="85"/>
      <c r="J18" s="86"/>
      <c r="K18" s="87"/>
      <c r="L18" s="87"/>
      <c r="M18" s="87"/>
      <c r="N18" s="88"/>
      <c r="P18" s="58" t="s">
        <v>143</v>
      </c>
      <c r="Q18" s="59"/>
      <c r="R18" s="59"/>
      <c r="S18" s="59"/>
      <c r="T18" s="59"/>
      <c r="U18" s="59"/>
      <c r="V18" s="57" t="s">
        <v>151</v>
      </c>
      <c r="W18" s="57"/>
      <c r="X18" s="57"/>
      <c r="Y18" s="57"/>
      <c r="Z18" s="57"/>
      <c r="AA18" s="60">
        <v>44197</v>
      </c>
      <c r="AB18" s="60"/>
      <c r="AC18" s="60"/>
      <c r="AD18" s="61"/>
    </row>
    <row r="19" spans="1:32" s="10" customFormat="1" x14ac:dyDescent="0.25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9"/>
      <c r="P19" s="6"/>
      <c r="Q19" s="6"/>
      <c r="R19" s="6"/>
      <c r="S19" s="6"/>
      <c r="T19" s="6"/>
      <c r="U19" s="6"/>
      <c r="V19" s="5"/>
      <c r="W19" s="5"/>
      <c r="X19" s="5"/>
      <c r="Y19" s="5"/>
      <c r="Z19" s="5"/>
      <c r="AA19" s="6"/>
      <c r="AB19" s="6"/>
      <c r="AC19" s="6"/>
      <c r="AD19" s="6"/>
    </row>
    <row r="20" spans="1:32" ht="15.75" x14ac:dyDescent="0.25">
      <c r="A20" s="71" t="s">
        <v>50</v>
      </c>
      <c r="B20" s="72"/>
      <c r="C20" s="72"/>
      <c r="D20" s="72"/>
      <c r="E20" s="72"/>
      <c r="F20" s="72"/>
      <c r="G20" s="72"/>
      <c r="H20" s="72"/>
      <c r="I20" s="72"/>
      <c r="J20" s="72"/>
      <c r="K20" s="72"/>
      <c r="L20" s="72"/>
      <c r="M20" s="72"/>
      <c r="N20" s="72"/>
      <c r="O20" s="72"/>
      <c r="P20" s="72"/>
      <c r="Q20" s="72"/>
      <c r="R20" s="72"/>
      <c r="S20" s="72"/>
      <c r="T20" s="72"/>
      <c r="U20" s="72"/>
      <c r="V20" s="72"/>
      <c r="W20" s="72"/>
      <c r="X20" s="72"/>
      <c r="Y20" s="72"/>
      <c r="Z20" s="72"/>
      <c r="AA20" s="72"/>
      <c r="AB20" s="72"/>
      <c r="AC20" s="72"/>
      <c r="AD20" s="72"/>
    </row>
    <row r="21" spans="1:32" ht="15.75" thickBot="1" x14ac:dyDescent="0.3">
      <c r="A21" s="73" t="s">
        <v>51</v>
      </c>
      <c r="B21" s="73"/>
      <c r="C21" s="73"/>
      <c r="D21" s="73"/>
      <c r="E21" s="73"/>
      <c r="F21" s="73"/>
      <c r="G21" s="73"/>
      <c r="H21" s="73"/>
      <c r="I21" s="73"/>
      <c r="J21" s="73"/>
      <c r="K21" s="73"/>
      <c r="L21" s="73"/>
      <c r="M21" s="73"/>
      <c r="N21" s="73"/>
      <c r="O21" s="73"/>
      <c r="P21" s="73"/>
      <c r="Q21" s="73"/>
      <c r="R21" s="73"/>
      <c r="S21" s="73"/>
      <c r="T21" s="73"/>
      <c r="U21" s="73"/>
      <c r="V21" s="73"/>
      <c r="W21" s="73"/>
      <c r="X21" s="73"/>
      <c r="Y21" s="73"/>
      <c r="Z21" s="73"/>
      <c r="AA21" s="73"/>
      <c r="AB21" s="73"/>
      <c r="AC21" s="73"/>
      <c r="AD21" s="73"/>
    </row>
    <row r="22" spans="1:32" ht="15" customHeight="1" x14ac:dyDescent="0.25">
      <c r="A22" s="52" t="s">
        <v>7</v>
      </c>
      <c r="B22" s="45"/>
      <c r="C22" s="45"/>
      <c r="D22" s="45"/>
      <c r="E22" s="45"/>
      <c r="F22" s="45"/>
      <c r="G22" s="45"/>
      <c r="H22" s="45"/>
      <c r="I22" s="45"/>
      <c r="J22" s="45" t="s">
        <v>16</v>
      </c>
      <c r="K22" s="45"/>
      <c r="L22" s="45"/>
      <c r="M22" s="45" t="s">
        <v>52</v>
      </c>
      <c r="N22" s="45"/>
      <c r="O22" s="45"/>
      <c r="P22" s="45" t="s">
        <v>53</v>
      </c>
      <c r="Q22" s="45"/>
      <c r="R22" s="45"/>
      <c r="S22" s="45" t="s">
        <v>17</v>
      </c>
      <c r="T22" s="45"/>
      <c r="U22" s="45"/>
      <c r="V22" s="45"/>
      <c r="W22" s="45"/>
      <c r="X22" s="45" t="s">
        <v>18</v>
      </c>
      <c r="Y22" s="45"/>
      <c r="Z22" s="45"/>
      <c r="AA22" s="45"/>
      <c r="AB22" s="45"/>
      <c r="AC22" s="45"/>
      <c r="AD22" s="46"/>
    </row>
    <row r="23" spans="1:32" ht="15" customHeight="1" x14ac:dyDescent="0.25">
      <c r="A23" s="51" t="s">
        <v>66</v>
      </c>
      <c r="B23" s="49"/>
      <c r="C23" s="49"/>
      <c r="D23" s="49"/>
      <c r="E23" s="49"/>
      <c r="F23" s="49"/>
      <c r="G23" s="49"/>
      <c r="H23" s="49"/>
      <c r="I23" s="49"/>
      <c r="J23" s="47">
        <v>0</v>
      </c>
      <c r="K23" s="47"/>
      <c r="L23" s="47"/>
      <c r="M23" s="50">
        <v>-0.1</v>
      </c>
      <c r="N23" s="50"/>
      <c r="O23" s="50"/>
      <c r="P23" s="62"/>
      <c r="Q23" s="62"/>
      <c r="R23" s="62"/>
      <c r="S23" s="49" t="s">
        <v>21</v>
      </c>
      <c r="T23" s="49"/>
      <c r="U23" s="49"/>
      <c r="V23" s="49"/>
      <c r="W23" s="49"/>
      <c r="X23" s="30"/>
      <c r="Y23" s="31"/>
      <c r="Z23" s="31"/>
      <c r="AA23" s="31"/>
      <c r="AB23" s="31"/>
      <c r="AC23" s="31"/>
      <c r="AD23" s="32"/>
    </row>
    <row r="24" spans="1:32" ht="15" customHeight="1" x14ac:dyDescent="0.25">
      <c r="A24" s="51" t="s">
        <v>29</v>
      </c>
      <c r="B24" s="49"/>
      <c r="C24" s="49"/>
      <c r="D24" s="49"/>
      <c r="E24" s="49"/>
      <c r="F24" s="49"/>
      <c r="G24" s="49"/>
      <c r="H24" s="49"/>
      <c r="I24" s="49"/>
      <c r="J24" s="36">
        <v>22.08</v>
      </c>
      <c r="K24" s="36"/>
      <c r="L24" s="36"/>
      <c r="M24" s="36">
        <v>21.94</v>
      </c>
      <c r="N24" s="36"/>
      <c r="O24" s="36"/>
      <c r="P24" s="62"/>
      <c r="Q24" s="62"/>
      <c r="R24" s="62"/>
      <c r="S24" s="64" t="s">
        <v>20</v>
      </c>
      <c r="T24" s="64"/>
      <c r="U24" s="64"/>
      <c r="V24" s="64"/>
      <c r="W24" s="64"/>
      <c r="X24" s="30"/>
      <c r="Y24" s="31"/>
      <c r="Z24" s="31"/>
      <c r="AA24" s="31"/>
      <c r="AB24" s="31"/>
      <c r="AC24" s="31"/>
      <c r="AD24" s="32"/>
    </row>
    <row r="25" spans="1:32" ht="15" customHeight="1" x14ac:dyDescent="0.25">
      <c r="A25" s="51" t="s">
        <v>8</v>
      </c>
      <c r="B25" s="49"/>
      <c r="C25" s="49"/>
      <c r="D25" s="49"/>
      <c r="E25" s="49"/>
      <c r="F25" s="49"/>
      <c r="G25" s="49"/>
      <c r="H25" s="49"/>
      <c r="I25" s="49"/>
      <c r="J25" s="37">
        <v>0</v>
      </c>
      <c r="K25" s="37"/>
      <c r="L25" s="37"/>
      <c r="M25" s="35">
        <v>0.01</v>
      </c>
      <c r="N25" s="35"/>
      <c r="O25" s="35"/>
      <c r="P25" s="35">
        <v>0</v>
      </c>
      <c r="Q25" s="35"/>
      <c r="R25" s="35"/>
      <c r="S25" s="49" t="s">
        <v>22</v>
      </c>
      <c r="T25" s="49"/>
      <c r="U25" s="49"/>
      <c r="V25" s="49"/>
      <c r="W25" s="49"/>
      <c r="X25" s="30"/>
      <c r="Y25" s="31"/>
      <c r="Z25" s="31"/>
      <c r="AA25" s="31"/>
      <c r="AB25" s="31"/>
      <c r="AC25" s="31"/>
      <c r="AD25" s="32"/>
    </row>
    <row r="26" spans="1:32" ht="15" customHeight="1" x14ac:dyDescent="0.25">
      <c r="A26" s="51" t="s">
        <v>30</v>
      </c>
      <c r="B26" s="49"/>
      <c r="C26" s="49"/>
      <c r="D26" s="49"/>
      <c r="E26" s="49"/>
      <c r="F26" s="49"/>
      <c r="G26" s="49"/>
      <c r="H26" s="49"/>
      <c r="I26" s="49"/>
      <c r="J26" s="67">
        <v>0</v>
      </c>
      <c r="K26" s="67"/>
      <c r="L26" s="67"/>
      <c r="M26" s="35">
        <v>0.03</v>
      </c>
      <c r="N26" s="35"/>
      <c r="O26" s="35"/>
      <c r="P26" s="35">
        <v>0</v>
      </c>
      <c r="Q26" s="35"/>
      <c r="R26" s="35"/>
      <c r="S26" s="49" t="s">
        <v>23</v>
      </c>
      <c r="T26" s="49"/>
      <c r="U26" s="49"/>
      <c r="V26" s="49"/>
      <c r="W26" s="49"/>
      <c r="X26" s="30"/>
      <c r="Y26" s="31"/>
      <c r="Z26" s="31"/>
      <c r="AA26" s="31"/>
      <c r="AB26" s="31"/>
      <c r="AC26" s="31"/>
      <c r="AD26" s="32"/>
    </row>
    <row r="27" spans="1:32" ht="15" customHeight="1" x14ac:dyDescent="0.25">
      <c r="A27" s="51" t="s">
        <v>9</v>
      </c>
      <c r="B27" s="49"/>
      <c r="C27" s="49"/>
      <c r="D27" s="49"/>
      <c r="E27" s="49"/>
      <c r="F27" s="49"/>
      <c r="G27" s="49"/>
      <c r="H27" s="49"/>
      <c r="I27" s="49"/>
      <c r="J27" s="63"/>
      <c r="K27" s="63"/>
      <c r="L27" s="63"/>
      <c r="M27" s="63"/>
      <c r="N27" s="63"/>
      <c r="O27" s="63"/>
      <c r="P27" s="63"/>
      <c r="Q27" s="63"/>
      <c r="R27" s="66"/>
      <c r="S27" s="48" t="s">
        <v>22</v>
      </c>
      <c r="T27" s="49"/>
      <c r="U27" s="49"/>
      <c r="V27" s="49"/>
      <c r="W27" s="49"/>
      <c r="X27" s="30"/>
      <c r="Y27" s="31"/>
      <c r="Z27" s="31"/>
      <c r="AA27" s="31"/>
      <c r="AB27" s="31"/>
      <c r="AC27" s="31"/>
      <c r="AD27" s="32"/>
    </row>
    <row r="28" spans="1:32" ht="15" customHeight="1" x14ac:dyDescent="0.25">
      <c r="A28" s="51" t="s">
        <v>31</v>
      </c>
      <c r="B28" s="49"/>
      <c r="C28" s="49"/>
      <c r="D28" s="49"/>
      <c r="E28" s="49"/>
      <c r="F28" s="49"/>
      <c r="G28" s="49"/>
      <c r="H28" s="49"/>
      <c r="I28" s="49"/>
      <c r="J28" s="63"/>
      <c r="K28" s="63"/>
      <c r="L28" s="63"/>
      <c r="M28" s="63"/>
      <c r="N28" s="63"/>
      <c r="O28" s="63"/>
      <c r="P28" s="63"/>
      <c r="Q28" s="63"/>
      <c r="R28" s="63"/>
      <c r="S28" s="49" t="s">
        <v>23</v>
      </c>
      <c r="T28" s="49"/>
      <c r="U28" s="49"/>
      <c r="V28" s="49"/>
      <c r="W28" s="49"/>
      <c r="X28" s="30"/>
      <c r="Y28" s="31"/>
      <c r="Z28" s="31"/>
      <c r="AA28" s="31"/>
      <c r="AB28" s="31"/>
      <c r="AC28" s="31"/>
      <c r="AD28" s="32"/>
    </row>
    <row r="29" spans="1:32" ht="15" customHeight="1" x14ac:dyDescent="0.25">
      <c r="A29" s="51" t="s">
        <v>67</v>
      </c>
      <c r="B29" s="49"/>
      <c r="C29" s="49"/>
      <c r="D29" s="49"/>
      <c r="E29" s="49"/>
      <c r="F29" s="49"/>
      <c r="G29" s="49"/>
      <c r="H29" s="49"/>
      <c r="I29" s="49"/>
      <c r="J29" s="67">
        <v>0</v>
      </c>
      <c r="K29" s="67"/>
      <c r="L29" s="67"/>
      <c r="M29" s="35">
        <v>-0.8</v>
      </c>
      <c r="N29" s="35"/>
      <c r="O29" s="35"/>
      <c r="P29" s="35">
        <v>0</v>
      </c>
      <c r="Q29" s="35"/>
      <c r="R29" s="35"/>
      <c r="S29" s="64" t="s">
        <v>24</v>
      </c>
      <c r="T29" s="64"/>
      <c r="U29" s="64"/>
      <c r="V29" s="64"/>
      <c r="W29" s="64"/>
      <c r="X29" s="30"/>
      <c r="Y29" s="31"/>
      <c r="Z29" s="31"/>
      <c r="AA29" s="31"/>
      <c r="AB29" s="31"/>
      <c r="AC29" s="31"/>
      <c r="AD29" s="32"/>
    </row>
    <row r="30" spans="1:32" ht="15" customHeight="1" x14ac:dyDescent="0.25">
      <c r="A30" s="51" t="s">
        <v>68</v>
      </c>
      <c r="B30" s="49"/>
      <c r="C30" s="49"/>
      <c r="D30" s="49"/>
      <c r="E30" s="49"/>
      <c r="F30" s="49"/>
      <c r="G30" s="49"/>
      <c r="H30" s="49"/>
      <c r="I30" s="49"/>
      <c r="J30" s="35">
        <v>100</v>
      </c>
      <c r="K30" s="35"/>
      <c r="L30" s="35"/>
      <c r="M30" s="35">
        <v>103.97</v>
      </c>
      <c r="N30" s="35"/>
      <c r="O30" s="35"/>
      <c r="P30" s="35">
        <v>100</v>
      </c>
      <c r="Q30" s="35"/>
      <c r="R30" s="35"/>
      <c r="S30" s="64" t="s">
        <v>25</v>
      </c>
      <c r="T30" s="64"/>
      <c r="U30" s="64"/>
      <c r="V30" s="64"/>
      <c r="W30" s="64"/>
      <c r="X30" s="30"/>
      <c r="Y30" s="31"/>
      <c r="Z30" s="31"/>
      <c r="AA30" s="31"/>
      <c r="AB30" s="31"/>
      <c r="AC30" s="31"/>
      <c r="AD30" s="32"/>
    </row>
    <row r="31" spans="1:32" x14ac:dyDescent="0.25">
      <c r="A31" s="51" t="s">
        <v>10</v>
      </c>
      <c r="B31" s="49"/>
      <c r="C31" s="49"/>
      <c r="D31" s="49"/>
      <c r="E31" s="49"/>
      <c r="F31" s="49"/>
      <c r="G31" s="49"/>
      <c r="H31" s="49"/>
      <c r="I31" s="49"/>
      <c r="J31" s="50">
        <v>17500</v>
      </c>
      <c r="K31" s="50"/>
      <c r="L31" s="50"/>
      <c r="M31" s="50">
        <v>17630</v>
      </c>
      <c r="N31" s="50"/>
      <c r="O31" s="50"/>
      <c r="P31" s="50">
        <v>17500</v>
      </c>
      <c r="Q31" s="50"/>
      <c r="R31" s="50"/>
      <c r="S31" s="64" t="s">
        <v>26</v>
      </c>
      <c r="T31" s="64"/>
      <c r="U31" s="64"/>
      <c r="V31" s="64"/>
      <c r="W31" s="64"/>
      <c r="X31" s="42" t="s">
        <v>104</v>
      </c>
      <c r="Y31" s="138"/>
      <c r="Z31" s="138"/>
      <c r="AA31" s="138"/>
      <c r="AB31" s="136">
        <v>5.2</v>
      </c>
      <c r="AC31" s="136"/>
      <c r="AD31" s="137"/>
    </row>
    <row r="32" spans="1:32" ht="15" customHeight="1" x14ac:dyDescent="0.25">
      <c r="A32" s="51" t="s">
        <v>11</v>
      </c>
      <c r="B32" s="49"/>
      <c r="C32" s="49"/>
      <c r="D32" s="49"/>
      <c r="E32" s="49"/>
      <c r="F32" s="49"/>
      <c r="G32" s="49"/>
      <c r="H32" s="49"/>
      <c r="I32" s="49"/>
      <c r="J32" s="35">
        <v>7.01</v>
      </c>
      <c r="K32" s="35"/>
      <c r="L32" s="35"/>
      <c r="M32" s="35">
        <v>7</v>
      </c>
      <c r="N32" s="35"/>
      <c r="O32" s="35"/>
      <c r="P32" s="35">
        <v>7.01</v>
      </c>
      <c r="Q32" s="35"/>
      <c r="R32" s="35"/>
      <c r="S32" s="64" t="s">
        <v>27</v>
      </c>
      <c r="T32" s="64"/>
      <c r="U32" s="64"/>
      <c r="V32" s="64"/>
      <c r="W32" s="64"/>
      <c r="X32" s="36">
        <v>-18.899999999999999</v>
      </c>
      <c r="Y32" s="36"/>
      <c r="Z32" s="36"/>
      <c r="AA32" s="36"/>
      <c r="AB32" s="36"/>
      <c r="AC32" s="30"/>
      <c r="AD32" s="7" t="s">
        <v>19</v>
      </c>
    </row>
    <row r="33" spans="1:30" ht="15" customHeight="1" x14ac:dyDescent="0.25">
      <c r="A33" s="51" t="s">
        <v>12</v>
      </c>
      <c r="B33" s="49"/>
      <c r="C33" s="49"/>
      <c r="D33" s="49"/>
      <c r="E33" s="49"/>
      <c r="F33" s="49"/>
      <c r="G33" s="49"/>
      <c r="H33" s="49"/>
      <c r="I33" s="49"/>
      <c r="J33" s="63"/>
      <c r="K33" s="63"/>
      <c r="L33" s="63"/>
      <c r="M33" s="63"/>
      <c r="N33" s="63"/>
      <c r="O33" s="63"/>
      <c r="P33" s="63"/>
      <c r="Q33" s="63"/>
      <c r="R33" s="63"/>
      <c r="S33" s="64" t="s">
        <v>27</v>
      </c>
      <c r="T33" s="64"/>
      <c r="U33" s="64"/>
      <c r="V33" s="64"/>
      <c r="W33" s="64"/>
      <c r="X33" s="36"/>
      <c r="Y33" s="36"/>
      <c r="Z33" s="36"/>
      <c r="AA33" s="36"/>
      <c r="AB33" s="36"/>
      <c r="AC33" s="30"/>
      <c r="AD33" s="7" t="s">
        <v>19</v>
      </c>
    </row>
    <row r="34" spans="1:30" ht="15" customHeight="1" x14ac:dyDescent="0.25">
      <c r="A34" s="51" t="s">
        <v>13</v>
      </c>
      <c r="B34" s="49"/>
      <c r="C34" s="49"/>
      <c r="D34" s="49"/>
      <c r="E34" s="49"/>
      <c r="F34" s="49"/>
      <c r="G34" s="49"/>
      <c r="H34" s="49"/>
      <c r="I34" s="49"/>
      <c r="J34" s="35">
        <v>10.039999999999999</v>
      </c>
      <c r="K34" s="35"/>
      <c r="L34" s="35"/>
      <c r="M34" s="35">
        <v>10.039999999999999</v>
      </c>
      <c r="N34" s="35"/>
      <c r="O34" s="35"/>
      <c r="P34" s="35">
        <v>10.039999999999999</v>
      </c>
      <c r="Q34" s="35"/>
      <c r="R34" s="35"/>
      <c r="S34" s="64" t="s">
        <v>27</v>
      </c>
      <c r="T34" s="64"/>
      <c r="U34" s="64"/>
      <c r="V34" s="64"/>
      <c r="W34" s="64"/>
      <c r="X34" s="36">
        <v>-192.6</v>
      </c>
      <c r="Y34" s="36"/>
      <c r="Z34" s="36"/>
      <c r="AA34" s="36"/>
      <c r="AB34" s="36"/>
      <c r="AC34" s="30"/>
      <c r="AD34" s="7" t="s">
        <v>19</v>
      </c>
    </row>
    <row r="35" spans="1:30" ht="15" customHeight="1" x14ac:dyDescent="0.25">
      <c r="A35" s="51" t="s">
        <v>14</v>
      </c>
      <c r="B35" s="49"/>
      <c r="C35" s="49"/>
      <c r="D35" s="49"/>
      <c r="E35" s="49"/>
      <c r="F35" s="49"/>
      <c r="G35" s="49"/>
      <c r="H35" s="49"/>
      <c r="I35" s="49"/>
      <c r="J35" s="37">
        <f>IF(NOT(OR(ISBLANK(AC35), ISBLANK(AC36))), DOCALC!H8, "")</f>
        <v>99.618421052631575</v>
      </c>
      <c r="K35" s="37"/>
      <c r="L35" s="37"/>
      <c r="M35" s="35">
        <v>100.4</v>
      </c>
      <c r="N35" s="35"/>
      <c r="O35" s="35"/>
      <c r="P35" s="35">
        <v>99.4</v>
      </c>
      <c r="Q35" s="35"/>
      <c r="R35" s="35"/>
      <c r="S35" s="64" t="s">
        <v>25</v>
      </c>
      <c r="T35" s="64"/>
      <c r="U35" s="64"/>
      <c r="V35" s="64"/>
      <c r="W35" s="64"/>
      <c r="X35" s="41" t="s">
        <v>37</v>
      </c>
      <c r="Y35" s="41"/>
      <c r="Z35" s="41"/>
      <c r="AA35" s="41"/>
      <c r="AB35" s="42"/>
      <c r="AC35" s="43">
        <v>757.1</v>
      </c>
      <c r="AD35" s="44"/>
    </row>
    <row r="36" spans="1:30" ht="15" customHeight="1" x14ac:dyDescent="0.25">
      <c r="A36" s="51" t="s">
        <v>15</v>
      </c>
      <c r="B36" s="49"/>
      <c r="C36" s="49"/>
      <c r="D36" s="49"/>
      <c r="E36" s="49"/>
      <c r="F36" s="49"/>
      <c r="G36" s="49"/>
      <c r="H36" s="49"/>
      <c r="I36" s="49"/>
      <c r="J36" s="37">
        <f>IF(NOT(OR(ISBLANK(AC35), ISBLANK(AC36))),DOCALC!H7,"")</f>
        <v>9.0068046980516225</v>
      </c>
      <c r="K36" s="37"/>
      <c r="L36" s="37"/>
      <c r="M36" s="65">
        <v>9.06</v>
      </c>
      <c r="N36" s="65"/>
      <c r="O36" s="65"/>
      <c r="P36" s="65">
        <v>9</v>
      </c>
      <c r="Q36" s="65"/>
      <c r="R36" s="65"/>
      <c r="S36" s="64" t="s">
        <v>28</v>
      </c>
      <c r="T36" s="64"/>
      <c r="U36" s="64"/>
      <c r="V36" s="64"/>
      <c r="W36" s="64"/>
      <c r="X36" s="41" t="s">
        <v>38</v>
      </c>
      <c r="Y36" s="41"/>
      <c r="Z36" s="41"/>
      <c r="AA36" s="41"/>
      <c r="AB36" s="42"/>
      <c r="AC36" s="43">
        <v>20.28</v>
      </c>
      <c r="AD36" s="44"/>
    </row>
    <row r="37" spans="1:30" ht="15" customHeight="1" x14ac:dyDescent="0.25">
      <c r="A37" s="122" t="s">
        <v>54</v>
      </c>
      <c r="B37" s="123"/>
      <c r="C37" s="123"/>
      <c r="D37" s="123"/>
      <c r="E37" s="123"/>
      <c r="F37" s="123"/>
      <c r="G37" s="123"/>
      <c r="H37" s="123"/>
      <c r="I37" s="48"/>
      <c r="J37" s="124"/>
      <c r="K37" s="125"/>
      <c r="L37" s="126"/>
      <c r="M37" s="124"/>
      <c r="N37" s="125"/>
      <c r="O37" s="126"/>
      <c r="P37" s="30">
        <v>1.05</v>
      </c>
      <c r="Q37" s="31"/>
      <c r="R37" s="75"/>
      <c r="S37" s="127"/>
      <c r="T37" s="128"/>
      <c r="U37" s="128"/>
      <c r="V37" s="128"/>
      <c r="W37" s="129"/>
      <c r="X37" s="130" t="s">
        <v>55</v>
      </c>
      <c r="Y37" s="123"/>
      <c r="Z37" s="123"/>
      <c r="AA37" s="123"/>
      <c r="AB37" s="123"/>
      <c r="AC37" s="123"/>
      <c r="AD37" s="131"/>
    </row>
    <row r="38" spans="1:30" ht="15" customHeight="1" thickBot="1" x14ac:dyDescent="0.3">
      <c r="A38" s="51" t="s">
        <v>101</v>
      </c>
      <c r="B38" s="49"/>
      <c r="C38" s="49"/>
      <c r="D38" s="49"/>
      <c r="E38" s="49"/>
      <c r="F38" s="49"/>
      <c r="G38" s="49"/>
      <c r="H38" s="49"/>
      <c r="I38" s="49"/>
      <c r="J38" s="132">
        <v>6668</v>
      </c>
      <c r="K38" s="132"/>
      <c r="L38" s="132"/>
      <c r="M38" s="133"/>
      <c r="N38" s="133"/>
      <c r="O38" s="133"/>
      <c r="P38" s="132">
        <v>6611</v>
      </c>
      <c r="Q38" s="132"/>
      <c r="R38" s="132"/>
      <c r="S38" s="64" t="s">
        <v>26</v>
      </c>
      <c r="T38" s="64"/>
      <c r="U38" s="64"/>
      <c r="V38" s="64"/>
      <c r="W38" s="64"/>
      <c r="X38" s="134"/>
      <c r="Y38" s="134"/>
      <c r="Z38" s="134"/>
      <c r="AA38" s="134"/>
      <c r="AB38" s="134"/>
      <c r="AC38" s="134"/>
      <c r="AD38" s="135"/>
    </row>
    <row r="39" spans="1:30" ht="15.75" thickBot="1" x14ac:dyDescent="0.3">
      <c r="A39" s="38" t="s">
        <v>32</v>
      </c>
      <c r="B39" s="38"/>
      <c r="C39" s="38"/>
      <c r="D39" s="38"/>
      <c r="E39" s="38"/>
      <c r="F39" s="38"/>
      <c r="G39" s="38"/>
      <c r="H39" s="38"/>
      <c r="I39" s="38"/>
      <c r="J39" s="39">
        <f>IF(AND(ISBLANK(X32), ISBLANK(X34)),"",X32-X34)</f>
        <v>173.7</v>
      </c>
      <c r="K39" s="39"/>
      <c r="L39" s="39"/>
      <c r="M39" s="3"/>
      <c r="N39" s="40" t="s">
        <v>40</v>
      </c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3"/>
    </row>
    <row r="40" spans="1:30" x14ac:dyDescent="0.25">
      <c r="A40" s="13"/>
      <c r="B40" s="13"/>
      <c r="C40" s="13"/>
      <c r="D40" s="13"/>
      <c r="E40" s="13"/>
      <c r="F40" s="13"/>
      <c r="G40" s="13"/>
      <c r="H40" s="5"/>
      <c r="I40" s="5"/>
      <c r="J40" s="5"/>
      <c r="K40" s="15"/>
      <c r="L40" s="5"/>
      <c r="M40" s="5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95" t="s">
        <v>33</v>
      </c>
      <c r="Y40" s="95"/>
      <c r="Z40" s="95"/>
      <c r="AA40" s="95"/>
      <c r="AB40" s="14"/>
      <c r="AC40" s="14"/>
      <c r="AD40" s="3"/>
    </row>
    <row r="41" spans="1:30" ht="15.75" thickBot="1" x14ac:dyDescent="0.3">
      <c r="A41" s="111" t="s">
        <v>56</v>
      </c>
      <c r="B41" s="111"/>
      <c r="C41" s="111"/>
      <c r="D41" s="111"/>
      <c r="E41" s="111"/>
      <c r="F41" s="111"/>
      <c r="G41" s="111"/>
      <c r="H41" s="111"/>
      <c r="I41" s="111"/>
      <c r="J41" s="111"/>
      <c r="K41" s="17" t="s">
        <v>158</v>
      </c>
      <c r="L41" s="112" t="s">
        <v>60</v>
      </c>
      <c r="M41" s="112"/>
      <c r="N41" s="112"/>
      <c r="O41" s="112"/>
      <c r="P41" s="112"/>
      <c r="Q41" s="112"/>
      <c r="R41" s="112"/>
      <c r="S41" s="112"/>
      <c r="T41" s="112"/>
      <c r="U41" s="112"/>
      <c r="X41" s="113" t="s">
        <v>160</v>
      </c>
      <c r="Y41" s="114"/>
      <c r="Z41" s="114"/>
      <c r="AA41" s="114"/>
      <c r="AB41" s="114"/>
      <c r="AC41" s="114"/>
      <c r="AD41" s="115"/>
    </row>
    <row r="42" spans="1:30" ht="15.75" thickBot="1" x14ac:dyDescent="0.3">
      <c r="A42" s="111" t="s">
        <v>57</v>
      </c>
      <c r="B42" s="111"/>
      <c r="C42" s="111"/>
      <c r="D42" s="111"/>
      <c r="E42" s="111"/>
      <c r="F42" s="111"/>
      <c r="G42" s="111"/>
      <c r="H42" s="111"/>
      <c r="I42" s="111"/>
      <c r="J42" s="111"/>
      <c r="K42" s="18" t="s">
        <v>158</v>
      </c>
      <c r="L42" s="111" t="s">
        <v>62</v>
      </c>
      <c r="M42" s="111"/>
      <c r="N42" s="111"/>
      <c r="O42" s="111"/>
      <c r="P42" s="111"/>
      <c r="Q42" s="111"/>
      <c r="R42" s="111"/>
      <c r="S42" s="111"/>
      <c r="T42" s="111"/>
      <c r="U42" s="111"/>
      <c r="V42" s="17" t="s">
        <v>158</v>
      </c>
      <c r="W42" s="1"/>
      <c r="X42" s="116"/>
      <c r="Y42" s="117"/>
      <c r="Z42" s="117"/>
      <c r="AA42" s="117"/>
      <c r="AB42" s="117"/>
      <c r="AC42" s="117"/>
      <c r="AD42" s="118"/>
    </row>
    <row r="43" spans="1:30" ht="15.75" thickBot="1" x14ac:dyDescent="0.3">
      <c r="A43" s="111" t="s">
        <v>58</v>
      </c>
      <c r="B43" s="111"/>
      <c r="C43" s="111"/>
      <c r="D43" s="111"/>
      <c r="E43" s="111"/>
      <c r="F43" s="111"/>
      <c r="G43" s="111"/>
      <c r="H43" s="111"/>
      <c r="I43" s="111"/>
      <c r="J43" s="111"/>
      <c r="K43" s="18" t="s">
        <v>158</v>
      </c>
      <c r="L43" s="111" t="s">
        <v>61</v>
      </c>
      <c r="M43" s="111"/>
      <c r="N43" s="111"/>
      <c r="O43" s="111"/>
      <c r="P43" s="111"/>
      <c r="Q43" s="111"/>
      <c r="R43" s="111"/>
      <c r="S43" s="111"/>
      <c r="T43" s="111"/>
      <c r="U43" s="111"/>
      <c r="V43" s="18" t="s">
        <v>158</v>
      </c>
      <c r="W43" s="1"/>
      <c r="X43" s="116"/>
      <c r="Y43" s="117"/>
      <c r="Z43" s="117"/>
      <c r="AA43" s="117"/>
      <c r="AB43" s="117"/>
      <c r="AC43" s="117"/>
      <c r="AD43" s="118"/>
    </row>
    <row r="44" spans="1:30" ht="15.75" thickBot="1" x14ac:dyDescent="0.3">
      <c r="A44" s="111" t="s">
        <v>59</v>
      </c>
      <c r="B44" s="111"/>
      <c r="C44" s="111"/>
      <c r="D44" s="111"/>
      <c r="E44" s="111"/>
      <c r="F44" s="111"/>
      <c r="G44" s="111"/>
      <c r="H44" s="111"/>
      <c r="I44" s="111"/>
      <c r="J44" s="111"/>
      <c r="K44" s="18" t="s">
        <v>158</v>
      </c>
      <c r="L44" s="111" t="s">
        <v>63</v>
      </c>
      <c r="M44" s="111"/>
      <c r="N44" s="111"/>
      <c r="O44" s="111"/>
      <c r="P44" s="111"/>
      <c r="Q44" s="111"/>
      <c r="R44" s="111"/>
      <c r="S44" s="111"/>
      <c r="T44" s="111"/>
      <c r="U44" s="111"/>
      <c r="V44" s="18" t="s">
        <v>158</v>
      </c>
      <c r="W44" s="1"/>
      <c r="X44" s="116"/>
      <c r="Y44" s="117"/>
      <c r="Z44" s="117"/>
      <c r="AA44" s="117"/>
      <c r="AB44" s="117"/>
      <c r="AC44" s="117"/>
      <c r="AD44" s="118"/>
    </row>
    <row r="45" spans="1:30" ht="15.75" thickBot="1" x14ac:dyDescent="0.3">
      <c r="A45" s="111" t="s">
        <v>154</v>
      </c>
      <c r="B45" s="111"/>
      <c r="C45" s="111"/>
      <c r="D45" s="111"/>
      <c r="E45" s="111"/>
      <c r="F45" s="111"/>
      <c r="G45" s="111"/>
      <c r="H45" s="111"/>
      <c r="I45" s="111"/>
      <c r="J45" s="111"/>
      <c r="K45" s="18" t="s">
        <v>158</v>
      </c>
      <c r="X45" s="119"/>
      <c r="Y45" s="120"/>
      <c r="Z45" s="120"/>
      <c r="AA45" s="120"/>
      <c r="AB45" s="120"/>
      <c r="AC45" s="120"/>
      <c r="AD45" s="121"/>
    </row>
    <row r="46" spans="1:30" x14ac:dyDescent="0.25"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</row>
    <row r="47" spans="1:30" x14ac:dyDescent="0.25"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</row>
    <row r="48" spans="1:30" x14ac:dyDescent="0.25"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</row>
    <row r="56" spans="2:32" x14ac:dyDescent="0.25"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</row>
    <row r="57" spans="2:32" x14ac:dyDescent="0.25"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</row>
    <row r="58" spans="2:32" x14ac:dyDescent="0.25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</row>
    <row r="59" spans="2:32" x14ac:dyDescent="0.25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</row>
  </sheetData>
  <sheetProtection sheet="1" selectLockedCells="1"/>
  <mergeCells count="178">
    <mergeCell ref="A37:I37"/>
    <mergeCell ref="J37:L37"/>
    <mergeCell ref="M37:O37"/>
    <mergeCell ref="P37:R37"/>
    <mergeCell ref="S37:W37"/>
    <mergeCell ref="X37:AD37"/>
    <mergeCell ref="A41:J41"/>
    <mergeCell ref="J31:L31"/>
    <mergeCell ref="A38:I38"/>
    <mergeCell ref="J38:L38"/>
    <mergeCell ref="M38:O38"/>
    <mergeCell ref="P38:R38"/>
    <mergeCell ref="S38:W38"/>
    <mergeCell ref="X38:AD38"/>
    <mergeCell ref="AB31:AD31"/>
    <mergeCell ref="X31:AA31"/>
    <mergeCell ref="A35:I35"/>
    <mergeCell ref="A36:I36"/>
    <mergeCell ref="A32:I32"/>
    <mergeCell ref="A33:I33"/>
    <mergeCell ref="J32:L32"/>
    <mergeCell ref="A31:I31"/>
    <mergeCell ref="P34:R34"/>
    <mergeCell ref="A34:I34"/>
    <mergeCell ref="A42:J42"/>
    <mergeCell ref="A43:J43"/>
    <mergeCell ref="A44:J44"/>
    <mergeCell ref="L44:U44"/>
    <mergeCell ref="L43:U43"/>
    <mergeCell ref="L42:U42"/>
    <mergeCell ref="L41:U41"/>
    <mergeCell ref="X41:AD45"/>
    <mergeCell ref="X40:AA40"/>
    <mergeCell ref="A45:J45"/>
    <mergeCell ref="A15:E15"/>
    <mergeCell ref="F15:J15"/>
    <mergeCell ref="K15:N15"/>
    <mergeCell ref="A16:E16"/>
    <mergeCell ref="F16:J16"/>
    <mergeCell ref="K16:N16"/>
    <mergeCell ref="AA12:AD12"/>
    <mergeCell ref="AA13:AD13"/>
    <mergeCell ref="AA14:AD14"/>
    <mergeCell ref="AA15:AD15"/>
    <mergeCell ref="V12:Z12"/>
    <mergeCell ref="P12:U12"/>
    <mergeCell ref="P13:U13"/>
    <mergeCell ref="V14:Z14"/>
    <mergeCell ref="A12:E13"/>
    <mergeCell ref="F12:J13"/>
    <mergeCell ref="K12:N13"/>
    <mergeCell ref="A14:E14"/>
    <mergeCell ref="F14:J14"/>
    <mergeCell ref="K14:N14"/>
    <mergeCell ref="AA16:AD16"/>
    <mergeCell ref="A1:AD1"/>
    <mergeCell ref="A2:AD2"/>
    <mergeCell ref="A3:AD3"/>
    <mergeCell ref="A4:AD4"/>
    <mergeCell ref="A8:C8"/>
    <mergeCell ref="E8:G8"/>
    <mergeCell ref="I8:O8"/>
    <mergeCell ref="P8:U8"/>
    <mergeCell ref="V8:Z8"/>
    <mergeCell ref="AA8:AD8"/>
    <mergeCell ref="X25:AD25"/>
    <mergeCell ref="X26:AD26"/>
    <mergeCell ref="X27:AD27"/>
    <mergeCell ref="X28:AD28"/>
    <mergeCell ref="X29:AD29"/>
    <mergeCell ref="L6:N6"/>
    <mergeCell ref="O6:R6"/>
    <mergeCell ref="AA9:AD9"/>
    <mergeCell ref="V15:Z15"/>
    <mergeCell ref="A20:AD20"/>
    <mergeCell ref="A21:AD21"/>
    <mergeCell ref="P15:U15"/>
    <mergeCell ref="A17:E17"/>
    <mergeCell ref="F17:J17"/>
    <mergeCell ref="K17:N17"/>
    <mergeCell ref="A18:E18"/>
    <mergeCell ref="F18:J18"/>
    <mergeCell ref="K18:N18"/>
    <mergeCell ref="A9:G9"/>
    <mergeCell ref="T9:Z9"/>
    <mergeCell ref="H9:S9"/>
    <mergeCell ref="A10:E10"/>
    <mergeCell ref="F10:AD10"/>
    <mergeCell ref="P14:U14"/>
    <mergeCell ref="M23:O23"/>
    <mergeCell ref="S30:W30"/>
    <mergeCell ref="S29:W29"/>
    <mergeCell ref="S28:W28"/>
    <mergeCell ref="M32:O32"/>
    <mergeCell ref="P32:R32"/>
    <mergeCell ref="J29:L29"/>
    <mergeCell ref="S25:W25"/>
    <mergeCell ref="S24:W24"/>
    <mergeCell ref="J30:L30"/>
    <mergeCell ref="A27:I27"/>
    <mergeCell ref="A26:I26"/>
    <mergeCell ref="A25:I25"/>
    <mergeCell ref="A24:I24"/>
    <mergeCell ref="A30:I30"/>
    <mergeCell ref="A29:I29"/>
    <mergeCell ref="A28:I28"/>
    <mergeCell ref="P27:R27"/>
    <mergeCell ref="M27:O27"/>
    <mergeCell ref="M28:O28"/>
    <mergeCell ref="P28:R28"/>
    <mergeCell ref="P25:R25"/>
    <mergeCell ref="J26:L26"/>
    <mergeCell ref="J27:L27"/>
    <mergeCell ref="J28:L28"/>
    <mergeCell ref="M30:O30"/>
    <mergeCell ref="P24:R24"/>
    <mergeCell ref="M29:O29"/>
    <mergeCell ref="M24:O24"/>
    <mergeCell ref="S36:W36"/>
    <mergeCell ref="S34:W34"/>
    <mergeCell ref="S33:W33"/>
    <mergeCell ref="S32:W32"/>
    <mergeCell ref="S31:W31"/>
    <mergeCell ref="S35:W35"/>
    <mergeCell ref="J36:L36"/>
    <mergeCell ref="M36:O36"/>
    <mergeCell ref="P36:R36"/>
    <mergeCell ref="M33:O33"/>
    <mergeCell ref="M34:O34"/>
    <mergeCell ref="M35:O35"/>
    <mergeCell ref="J33:L33"/>
    <mergeCell ref="J34:L34"/>
    <mergeCell ref="J35:L35"/>
    <mergeCell ref="AC35:AD35"/>
    <mergeCell ref="X35:AB35"/>
    <mergeCell ref="X34:AC34"/>
    <mergeCell ref="X33:AC33"/>
    <mergeCell ref="X32:AC32"/>
    <mergeCell ref="P33:R33"/>
    <mergeCell ref="P30:R30"/>
    <mergeCell ref="P31:R31"/>
    <mergeCell ref="P35:R35"/>
    <mergeCell ref="X30:AD30"/>
    <mergeCell ref="AA17:AD17"/>
    <mergeCell ref="V16:Z16"/>
    <mergeCell ref="V17:Z17"/>
    <mergeCell ref="V18:Z18"/>
    <mergeCell ref="V13:Z13"/>
    <mergeCell ref="P17:U17"/>
    <mergeCell ref="P18:U18"/>
    <mergeCell ref="AA18:AD18"/>
    <mergeCell ref="X23:AD23"/>
    <mergeCell ref="S23:W23"/>
    <mergeCell ref="P23:R23"/>
    <mergeCell ref="X24:AD24"/>
    <mergeCell ref="P16:U16"/>
    <mergeCell ref="M25:O25"/>
    <mergeCell ref="J24:L24"/>
    <mergeCell ref="J25:L25"/>
    <mergeCell ref="A39:I39"/>
    <mergeCell ref="J39:L39"/>
    <mergeCell ref="N39:AC39"/>
    <mergeCell ref="X36:AB36"/>
    <mergeCell ref="AC36:AD36"/>
    <mergeCell ref="S22:W22"/>
    <mergeCell ref="X22:AD22"/>
    <mergeCell ref="J23:L23"/>
    <mergeCell ref="S27:W27"/>
    <mergeCell ref="S26:W26"/>
    <mergeCell ref="M31:O31"/>
    <mergeCell ref="M26:O26"/>
    <mergeCell ref="P26:R26"/>
    <mergeCell ref="A23:I23"/>
    <mergeCell ref="M22:O22"/>
    <mergeCell ref="J22:L22"/>
    <mergeCell ref="P22:R22"/>
    <mergeCell ref="A22:I22"/>
    <mergeCell ref="P29:R29"/>
  </mergeCells>
  <conditionalFormatting sqref="J35:L35">
    <cfRule type="expression" dxfId="123" priority="123">
      <formula>ISBLANK($J$35)</formula>
    </cfRule>
  </conditionalFormatting>
  <conditionalFormatting sqref="J39:L39">
    <cfRule type="expression" dxfId="122" priority="164">
      <formula>AND(ISBLANK($X$32),ISBLANK($X$34))</formula>
    </cfRule>
    <cfRule type="cellIs" dxfId="121" priority="165" operator="lessThan">
      <formula>155</formula>
    </cfRule>
    <cfRule type="cellIs" dxfId="120" priority="166" operator="notBetween">
      <formula>160</formula>
      <formula>180</formula>
    </cfRule>
  </conditionalFormatting>
  <conditionalFormatting sqref="D8 H8">
    <cfRule type="expression" dxfId="119" priority="91">
      <formula>AND(NOT(ISBLANK($D$8)), NOT(ISBLANK($H$8)))</formula>
    </cfRule>
    <cfRule type="expression" dxfId="118" priority="163">
      <formula>AND(ISBLANK($D$8), ISBLANK($H$8))</formula>
    </cfRule>
  </conditionalFormatting>
  <conditionalFormatting sqref="O6:R6">
    <cfRule type="expression" dxfId="117" priority="160">
      <formula>ISBLANK($O$6)</formula>
    </cfRule>
  </conditionalFormatting>
  <conditionalFormatting sqref="P8">
    <cfRule type="expression" dxfId="116" priority="159">
      <formula>ISBLANK($P$8)</formula>
    </cfRule>
  </conditionalFormatting>
  <conditionalFormatting sqref="AA8:AD8">
    <cfRule type="expression" dxfId="115" priority="158">
      <formula>ISBLANK($AA$8)</formula>
    </cfRule>
  </conditionalFormatting>
  <conditionalFormatting sqref="AA9:AD9">
    <cfRule type="expression" dxfId="114" priority="3">
      <formula>AND(NOT(ISBLANK($AA$8)), ISBLANK($AA$9))</formula>
    </cfRule>
    <cfRule type="expression" dxfId="113" priority="156">
      <formula>ISBLANK($AA$9)</formula>
    </cfRule>
  </conditionalFormatting>
  <conditionalFormatting sqref="F10">
    <cfRule type="expression" dxfId="112" priority="154">
      <formula>ISBLANK($O$10)</formula>
    </cfRule>
  </conditionalFormatting>
  <conditionalFormatting sqref="V13:Z13">
    <cfRule type="expression" dxfId="111" priority="145">
      <formula>ISBLANK($V$13)</formula>
    </cfRule>
  </conditionalFormatting>
  <conditionalFormatting sqref="AA13:AD13">
    <cfRule type="expression" dxfId="110" priority="144">
      <formula>ISBLANK($AA$13)</formula>
    </cfRule>
  </conditionalFormatting>
  <conditionalFormatting sqref="V14:Z14">
    <cfRule type="expression" dxfId="109" priority="142">
      <formula>ISBLANK($V$14)</formula>
    </cfRule>
  </conditionalFormatting>
  <conditionalFormatting sqref="AA14:AD14">
    <cfRule type="expression" dxfId="108" priority="141">
      <formula>ISBLANK($AA$14)</formula>
    </cfRule>
  </conditionalFormatting>
  <conditionalFormatting sqref="V15:Z15">
    <cfRule type="expression" dxfId="107" priority="140">
      <formula>AND(ISBLANK($V$15),NOT(OR($P$15="Additional Std.",ISBLANK($P$15))))</formula>
    </cfRule>
  </conditionalFormatting>
  <conditionalFormatting sqref="V16:Z16">
    <cfRule type="expression" dxfId="106" priority="138">
      <formula>ISBLANK($V$16)</formula>
    </cfRule>
  </conditionalFormatting>
  <conditionalFormatting sqref="AA16:AD16">
    <cfRule type="expression" dxfId="105" priority="137">
      <formula>ISBLANK($AA$16)</formula>
    </cfRule>
  </conditionalFormatting>
  <conditionalFormatting sqref="V17:Z17">
    <cfRule type="expression" dxfId="104" priority="136">
      <formula>ISBLANK($V$17)</formula>
    </cfRule>
  </conditionalFormatting>
  <conditionalFormatting sqref="AA17:AD17">
    <cfRule type="expression" dxfId="103" priority="135">
      <formula>ISBLANK($AA$17)</formula>
    </cfRule>
  </conditionalFormatting>
  <conditionalFormatting sqref="V18:Z18">
    <cfRule type="expression" dxfId="102" priority="134">
      <formula>ISBLANK($V$18)</formula>
    </cfRule>
  </conditionalFormatting>
  <conditionalFormatting sqref="AA18:AD18">
    <cfRule type="expression" dxfId="101" priority="133">
      <formula>ISBLANK($AA$18)</formula>
    </cfRule>
  </conditionalFormatting>
  <conditionalFormatting sqref="J24:L24">
    <cfRule type="expression" dxfId="100" priority="129">
      <formula>ISBLANK($J$24)</formula>
    </cfRule>
  </conditionalFormatting>
  <conditionalFormatting sqref="J30:L30">
    <cfRule type="expression" dxfId="99" priority="128">
      <formula>ISBLANK($J$30)</formula>
    </cfRule>
  </conditionalFormatting>
  <conditionalFormatting sqref="J31:L31">
    <cfRule type="expression" dxfId="98" priority="127">
      <formula>ISBLANK($J$31)</formula>
    </cfRule>
  </conditionalFormatting>
  <conditionalFormatting sqref="J32:L32">
    <cfRule type="expression" dxfId="97" priority="126">
      <formula>ISBLANK($J$32)</formula>
    </cfRule>
  </conditionalFormatting>
  <conditionalFormatting sqref="J33:L33">
    <cfRule type="expression" dxfId="96" priority="125">
      <formula>ISBLANK($J$33)</formula>
    </cfRule>
  </conditionalFormatting>
  <conditionalFormatting sqref="J34:L34">
    <cfRule type="expression" dxfId="95" priority="124">
      <formula>ISBLANK($J$34)</formula>
    </cfRule>
  </conditionalFormatting>
  <conditionalFormatting sqref="J36:L36">
    <cfRule type="expression" dxfId="94" priority="122">
      <formula>ISBLANK($J$36)</formula>
    </cfRule>
  </conditionalFormatting>
  <conditionalFormatting sqref="M23:O23">
    <cfRule type="cellIs" dxfId="93" priority="76" operator="greaterThan">
      <formula>2</formula>
    </cfRule>
    <cfRule type="expression" dxfId="92" priority="121">
      <formula>ISBLANK($M$23)</formula>
    </cfRule>
  </conditionalFormatting>
  <conditionalFormatting sqref="M24:O24">
    <cfRule type="expression" dxfId="91" priority="75">
      <formula>ABS($J$24-$M$24) &gt; 0.2</formula>
    </cfRule>
    <cfRule type="expression" dxfId="90" priority="120">
      <formula>ISBLANK($M$24)</formula>
    </cfRule>
  </conditionalFormatting>
  <conditionalFormatting sqref="M25:O25">
    <cfRule type="expression" dxfId="89" priority="119">
      <formula>ISBLANK($M$25)</formula>
    </cfRule>
  </conditionalFormatting>
  <conditionalFormatting sqref="M26:O26">
    <cfRule type="expression" dxfId="88" priority="118">
      <formula>ISBLANK($M$26)</formula>
    </cfRule>
  </conditionalFormatting>
  <conditionalFormatting sqref="M27:O27">
    <cfRule type="expression" dxfId="87" priority="117">
      <formula>ISBLANK($M$27)</formula>
    </cfRule>
  </conditionalFormatting>
  <conditionalFormatting sqref="M28:O28">
    <cfRule type="expression" dxfId="86" priority="116">
      <formula>ISBLANK($M$28)</formula>
    </cfRule>
  </conditionalFormatting>
  <conditionalFormatting sqref="M29:O29">
    <cfRule type="expression" dxfId="85" priority="115">
      <formula>ISBLANK($M$29)</formula>
    </cfRule>
  </conditionalFormatting>
  <conditionalFormatting sqref="M30:O30">
    <cfRule type="expression" dxfId="84" priority="114">
      <formula>ISBLANK($M$30)</formula>
    </cfRule>
  </conditionalFormatting>
  <conditionalFormatting sqref="M31:O31">
    <cfRule type="expression" dxfId="83" priority="113">
      <formula>ISBLANK($M$31)</formula>
    </cfRule>
  </conditionalFormatting>
  <conditionalFormatting sqref="M32:O32">
    <cfRule type="expression" dxfId="82" priority="112">
      <formula>ISBLANK($M$32)</formula>
    </cfRule>
  </conditionalFormatting>
  <conditionalFormatting sqref="M33:O33">
    <cfRule type="expression" dxfId="81" priority="111">
      <formula>ISBLANK($M$33)</formula>
    </cfRule>
  </conditionalFormatting>
  <conditionalFormatting sqref="M34:O34">
    <cfRule type="expression" dxfId="80" priority="110">
      <formula>ISBLANK($M$34)</formula>
    </cfRule>
  </conditionalFormatting>
  <conditionalFormatting sqref="M35:O35">
    <cfRule type="expression" dxfId="79" priority="109">
      <formula>ISBLANK($M$35)</formula>
    </cfRule>
  </conditionalFormatting>
  <conditionalFormatting sqref="M36:O36">
    <cfRule type="expression" dxfId="78" priority="108">
      <formula>ISBLANK($M$36)</formula>
    </cfRule>
  </conditionalFormatting>
  <conditionalFormatting sqref="X32:AC32">
    <cfRule type="expression" dxfId="77" priority="107">
      <formula>ISBLANK($X$32)</formula>
    </cfRule>
  </conditionalFormatting>
  <conditionalFormatting sqref="X33:AC33">
    <cfRule type="expression" dxfId="76" priority="106">
      <formula>ISBLANK($X$33)</formula>
    </cfRule>
  </conditionalFormatting>
  <conditionalFormatting sqref="X34:AC34">
    <cfRule type="expression" dxfId="75" priority="105">
      <formula>ISBLANK($X$34)</formula>
    </cfRule>
  </conditionalFormatting>
  <conditionalFormatting sqref="AC35:AD35">
    <cfRule type="expression" dxfId="74" priority="104">
      <formula>ISBLANK($AC$35)</formula>
    </cfRule>
  </conditionalFormatting>
  <conditionalFormatting sqref="AC36:AD36">
    <cfRule type="expression" dxfId="73" priority="103">
      <formula>ISBLANK($AC$36)</formula>
    </cfRule>
  </conditionalFormatting>
  <conditionalFormatting sqref="J38:L38">
    <cfRule type="expression" dxfId="72" priority="100">
      <formula>ISBLANK($J$38)</formula>
    </cfRule>
  </conditionalFormatting>
  <conditionalFormatting sqref="X38:AD38">
    <cfRule type="expression" dxfId="71" priority="98">
      <formula>AND(ISBLANK($X$38),NOT(OR($S$38="Additional Criteria",ISBLANK($S$38))))</formula>
    </cfRule>
  </conditionalFormatting>
  <conditionalFormatting sqref="D8">
    <cfRule type="expression" dxfId="70" priority="93">
      <formula>NOT(ISBLANK($D$8))</formula>
    </cfRule>
  </conditionalFormatting>
  <conditionalFormatting sqref="H8">
    <cfRule type="expression" dxfId="69" priority="92">
      <formula>NOT(ISBLANK($H$8))</formula>
    </cfRule>
  </conditionalFormatting>
  <conditionalFormatting sqref="H9">
    <cfRule type="expression" dxfId="68" priority="90">
      <formula>ISBLANK($K$9)</formula>
    </cfRule>
  </conditionalFormatting>
  <conditionalFormatting sqref="P25:R25">
    <cfRule type="expression" dxfId="67" priority="89">
      <formula>ISBLANK($P$25)</formula>
    </cfRule>
  </conditionalFormatting>
  <conditionalFormatting sqref="P26:R26">
    <cfRule type="expression" dxfId="66" priority="88">
      <formula>ISBLANK($P$26)</formula>
    </cfRule>
  </conditionalFormatting>
  <conditionalFormatting sqref="P27:R27">
    <cfRule type="expression" dxfId="65" priority="87">
      <formula>ISBLANK($P$27)</formula>
    </cfRule>
  </conditionalFormatting>
  <conditionalFormatting sqref="P28:R28">
    <cfRule type="expression" dxfId="64" priority="86">
      <formula>ISBLANK($P$28)</formula>
    </cfRule>
  </conditionalFormatting>
  <conditionalFormatting sqref="P29:R29">
    <cfRule type="cellIs" dxfId="63" priority="71" operator="notBetween">
      <formula>-0.5</formula>
      <formula>0.5</formula>
    </cfRule>
    <cfRule type="expression" dxfId="62" priority="85">
      <formula>ISBLANK($P$29)</formula>
    </cfRule>
  </conditionalFormatting>
  <conditionalFormatting sqref="P30:R30">
    <cfRule type="expression" dxfId="61" priority="70">
      <formula>ABS($P$30-$J$30)/$J$30 &gt; 0.05</formula>
    </cfRule>
    <cfRule type="expression" dxfId="60" priority="84">
      <formula>ISBLANK($P$30)</formula>
    </cfRule>
  </conditionalFormatting>
  <conditionalFormatting sqref="P31:R31">
    <cfRule type="expression" dxfId="59" priority="69">
      <formula>ABS($P$31-$J$31)/$J$31 &gt; 0.03</formula>
    </cfRule>
    <cfRule type="expression" dxfId="58" priority="83">
      <formula>ISBLANK($P$31)</formula>
    </cfRule>
  </conditionalFormatting>
  <conditionalFormatting sqref="P32:R32">
    <cfRule type="expression" dxfId="57" priority="68">
      <formula>"abs($J$32-$P$32) &gt; 0.2"</formula>
    </cfRule>
    <cfRule type="expression" dxfId="56" priority="82">
      <formula>ISBLANK($P$32)</formula>
    </cfRule>
  </conditionalFormatting>
  <conditionalFormatting sqref="P33:R33">
    <cfRule type="expression" dxfId="55" priority="67">
      <formula>ABS($J$33-$P$33) &gt; 0.2</formula>
    </cfRule>
    <cfRule type="expression" dxfId="54" priority="81">
      <formula>ISBLANK($P$33)</formula>
    </cfRule>
  </conditionalFormatting>
  <conditionalFormatting sqref="P34:R34">
    <cfRule type="expression" dxfId="53" priority="66">
      <formula>ABS($J$34-$P$34) &gt; 0.2</formula>
    </cfRule>
    <cfRule type="expression" dxfId="52" priority="80">
      <formula>ISBLANK($P$34)</formula>
    </cfRule>
  </conditionalFormatting>
  <conditionalFormatting sqref="P35:R35">
    <cfRule type="expression" dxfId="51" priority="65">
      <formula>ABS($P$35-$J$35)&gt; 5</formula>
    </cfRule>
    <cfRule type="expression" dxfId="50" priority="79">
      <formula>ISBLANK($P$35)</formula>
    </cfRule>
  </conditionalFormatting>
  <conditionalFormatting sqref="P38:R38">
    <cfRule type="expression" dxfId="49" priority="35">
      <formula>ISBLANK(P38)</formula>
    </cfRule>
    <cfRule type="expression" dxfId="48" priority="77">
      <formula>ABS($P$38-$J$38)/$J$38 &gt; 0.03</formula>
    </cfRule>
  </conditionalFormatting>
  <conditionalFormatting sqref="P25:R28">
    <cfRule type="cellIs" dxfId="47" priority="74" operator="greaterThan">
      <formula>0.1</formula>
    </cfRule>
  </conditionalFormatting>
  <conditionalFormatting sqref="P36:R36">
    <cfRule type="expression" dxfId="46" priority="64">
      <formula>ABS($J$36-$P$36) &gt; 0.3</formula>
    </cfRule>
    <cfRule type="expression" dxfId="45" priority="78">
      <formula>ISBLANK($P$36)</formula>
    </cfRule>
  </conditionalFormatting>
  <conditionalFormatting sqref="P37:R37">
    <cfRule type="expression" dxfId="44" priority="62">
      <formula>ISBLANK($P$37)</formula>
    </cfRule>
    <cfRule type="cellIs" dxfId="43" priority="63" operator="notBetween">
      <formula>0.87</formula>
      <formula>1.25</formula>
    </cfRule>
  </conditionalFormatting>
  <conditionalFormatting sqref="K41">
    <cfRule type="expression" dxfId="42" priority="53">
      <formula>NOT(ISBLANK($K$41))</formula>
    </cfRule>
    <cfRule type="expression" dxfId="41" priority="60">
      <formula>ISBLANK($K$41)</formula>
    </cfRule>
  </conditionalFormatting>
  <conditionalFormatting sqref="K42">
    <cfRule type="expression" dxfId="40" priority="52">
      <formula>NOT(ISBLANK($K$42))</formula>
    </cfRule>
    <cfRule type="expression" dxfId="39" priority="59">
      <formula>ISBLANK($K$42)</formula>
    </cfRule>
  </conditionalFormatting>
  <conditionalFormatting sqref="K43">
    <cfRule type="expression" dxfId="38" priority="51">
      <formula>NOT(ISBLANK($K$43))</formula>
    </cfRule>
    <cfRule type="expression" dxfId="37" priority="58">
      <formula>ISBLANK($K$43)</formula>
    </cfRule>
  </conditionalFormatting>
  <conditionalFormatting sqref="K44">
    <cfRule type="expression" dxfId="36" priority="50">
      <formula>NOT(ISBLANK($K$44))</formula>
    </cfRule>
    <cfRule type="expression" dxfId="35" priority="57">
      <formula>ISBLANK($K$44)</formula>
    </cfRule>
  </conditionalFormatting>
  <conditionalFormatting sqref="V42">
    <cfRule type="expression" dxfId="34" priority="48">
      <formula>NOT(ISBLANK($V$42))</formula>
    </cfRule>
    <cfRule type="expression" dxfId="33" priority="56">
      <formula>ISBLANK($V$42)</formula>
    </cfRule>
  </conditionalFormatting>
  <conditionalFormatting sqref="V43">
    <cfRule type="expression" dxfId="32" priority="47">
      <formula>NOT(ISBLANK($V$43))</formula>
    </cfRule>
    <cfRule type="expression" dxfId="31" priority="55">
      <formula>ISBLANK($V$43)</formula>
    </cfRule>
  </conditionalFormatting>
  <conditionalFormatting sqref="V44">
    <cfRule type="expression" dxfId="30" priority="46">
      <formula>NOT(ISBLANK($V$44))</formula>
    </cfRule>
    <cfRule type="expression" dxfId="29" priority="54">
      <formula>ISBLANK($V$44)</formula>
    </cfRule>
  </conditionalFormatting>
  <conditionalFormatting sqref="AA15:AD15">
    <cfRule type="expression" dxfId="28" priority="198">
      <formula>AND($AA$15&lt;#REF!, NOT(ISBLANK($AA$15)))</formula>
    </cfRule>
    <cfRule type="expression" dxfId="27" priority="199">
      <formula>AND(ISBLANK($AA$15),NOT(OR($P$15="Additional Std.",ISBLANK($P$15))))</formula>
    </cfRule>
  </conditionalFormatting>
  <conditionalFormatting sqref="AA16:AD18 AA13:AD14">
    <cfRule type="cellIs" dxfId="26" priority="200" operator="lessThan">
      <formula>$AA$8</formula>
    </cfRule>
  </conditionalFormatting>
  <conditionalFormatting sqref="X41:AD45">
    <cfRule type="expression" dxfId="25" priority="45">
      <formula>ISBLANK($X$41)</formula>
    </cfRule>
  </conditionalFormatting>
  <conditionalFormatting sqref="X23:AD23">
    <cfRule type="expression" dxfId="24" priority="44">
      <formula>ISBLANK($X$23)</formula>
    </cfRule>
  </conditionalFormatting>
  <conditionalFormatting sqref="X24:AD24">
    <cfRule type="expression" dxfId="23" priority="43">
      <formula>ISBLANK($X$24)</formula>
    </cfRule>
  </conditionalFormatting>
  <conditionalFormatting sqref="X25:AD25">
    <cfRule type="expression" dxfId="22" priority="42">
      <formula>ISBLANK($X$25)</formula>
    </cfRule>
  </conditionalFormatting>
  <conditionalFormatting sqref="X26:AD26">
    <cfRule type="expression" dxfId="21" priority="41">
      <formula>ISBLANK($X$26)</formula>
    </cfRule>
  </conditionalFormatting>
  <conditionalFormatting sqref="X27:AD27">
    <cfRule type="expression" dxfId="20" priority="40">
      <formula>ISBLANK($X$27)</formula>
    </cfRule>
  </conditionalFormatting>
  <conditionalFormatting sqref="X28:AD28">
    <cfRule type="expression" dxfId="19" priority="39">
      <formula>ISBLANK($X$28)</formula>
    </cfRule>
  </conditionalFormatting>
  <conditionalFormatting sqref="X29:AD29">
    <cfRule type="expression" dxfId="18" priority="38">
      <formula>ISBLANK($X$29)</formula>
    </cfRule>
  </conditionalFormatting>
  <conditionalFormatting sqref="X30:AD30">
    <cfRule type="expression" dxfId="17" priority="37">
      <formula>ISBLANK($X$30)</formula>
    </cfRule>
  </conditionalFormatting>
  <conditionalFormatting sqref="AB31">
    <cfRule type="expression" dxfId="16" priority="33">
      <formula>ISBLANK($AC$35)</formula>
    </cfRule>
  </conditionalFormatting>
  <conditionalFormatting sqref="A17:E18">
    <cfRule type="cellIs" dxfId="15" priority="17" operator="equal">
      <formula>"addl. instrument"</formula>
    </cfRule>
  </conditionalFormatting>
  <conditionalFormatting sqref="F17:N17">
    <cfRule type="expression" dxfId="14" priority="14">
      <formula>IF($A$17="addl. Instrument", TRUE, FALSE)</formula>
    </cfRule>
  </conditionalFormatting>
  <conditionalFormatting sqref="F17:J17">
    <cfRule type="expression" dxfId="13" priority="15">
      <formula>ISBLANK($F$17)</formula>
    </cfRule>
  </conditionalFormatting>
  <conditionalFormatting sqref="K17:N17">
    <cfRule type="expression" dxfId="12" priority="16">
      <formula>ISBLANK($K$17)</formula>
    </cfRule>
  </conditionalFormatting>
  <conditionalFormatting sqref="F18:J18">
    <cfRule type="expression" dxfId="11" priority="13">
      <formula>ISBLANK($F$18)</formula>
    </cfRule>
  </conditionalFormatting>
  <conditionalFormatting sqref="K18:N18">
    <cfRule type="expression" dxfId="10" priority="12">
      <formula>ISBLANK($K$18)</formula>
    </cfRule>
  </conditionalFormatting>
  <conditionalFormatting sqref="F18:N18">
    <cfRule type="expression" dxfId="9" priority="11">
      <formula>IF($A$18="addl. Instrument",TRUE,FALSE)</formula>
    </cfRule>
  </conditionalFormatting>
  <conditionalFormatting sqref="F14:J14">
    <cfRule type="expression" dxfId="8" priority="10">
      <formula>ISBLANK($F$14)</formula>
    </cfRule>
  </conditionalFormatting>
  <conditionalFormatting sqref="K14:N14">
    <cfRule type="expression" dxfId="7" priority="4">
      <formula>ISBLANK($K$14)</formula>
    </cfRule>
  </conditionalFormatting>
  <conditionalFormatting sqref="F15:J15">
    <cfRule type="expression" dxfId="6" priority="8">
      <formula>ISBLANK($F$15)</formula>
    </cfRule>
  </conditionalFormatting>
  <conditionalFormatting sqref="K15:N15">
    <cfRule type="expression" dxfId="5" priority="7">
      <formula>ISBLANK($K$15)</formula>
    </cfRule>
  </conditionalFormatting>
  <conditionalFormatting sqref="F16:J16">
    <cfRule type="expression" dxfId="4" priority="6">
      <formula>ISBLANK($F$16)</formula>
    </cfRule>
  </conditionalFormatting>
  <conditionalFormatting sqref="K16:N16">
    <cfRule type="expression" dxfId="3" priority="5">
      <formula>ISBLANK($K$16)</formula>
    </cfRule>
  </conditionalFormatting>
  <conditionalFormatting sqref="K14:N18">
    <cfRule type="cellIs" dxfId="2" priority="9" operator="lessThan">
      <formula>$AA$8</formula>
    </cfRule>
  </conditionalFormatting>
  <conditionalFormatting sqref="K45">
    <cfRule type="expression" dxfId="1" priority="1">
      <formula>NOT(ISBLANK($K$45))</formula>
    </cfRule>
    <cfRule type="expression" dxfId="0" priority="2">
      <formula>ISBLANK($K$45)</formula>
    </cfRule>
  </conditionalFormatting>
  <dataValidations count="10">
    <dataValidation type="textLength" operator="equal" allowBlank="1" showInputMessage="1" showErrorMessage="1" errorTitle="Invalid code" error="Must use a valid CDEC code" promptTitle="Station Code" prompt="Enter the station CDEC code" sqref="H9" xr:uid="{D4EA3494-B004-45EE-A854-3926BD82E494}">
      <formula1>3</formula1>
    </dataValidation>
    <dataValidation type="whole" allowBlank="1" showInputMessage="1" showErrorMessage="1" errorTitle="Invalid time" error="Must be a valid military time, e.g. 0830 or 1400" promptTitle="Military time" prompt="Enter time in military format, e.g. 0830 or 1400" sqref="AA9:AD9" xr:uid="{E90A5E83-002A-463B-8FE0-C0EDBC714563}">
      <formula1>0</formula1>
      <formula2>2400</formula2>
    </dataValidation>
    <dataValidation type="custom" allowBlank="1" showInputMessage="1" showErrorMessage="1" errorTitle="Invalid entry" error="Must be numeric." promptTitle="pH Standard" prompt="Use pH Standard vs. Temperature Table or calculator" sqref="J32:L34" xr:uid="{B64F52DB-1E2B-48F1-BF2F-C186EC21E4A9}">
      <formula1>ISNUMBER(J32)</formula1>
    </dataValidation>
    <dataValidation type="custom" allowBlank="1" showInputMessage="1" showErrorMessage="1" errorTitle="Invalid entry" error="Must be numeric." promptTitle="Dissolved Oxygen Standard" prompt="Use Dissolved Oxygen Lookup Table (DOLT) or calculator" sqref="J37" xr:uid="{1E26954E-B119-45B3-9AD0-457C67B1363E}">
      <formula1>ISNUMBER(J37)</formula1>
    </dataValidation>
    <dataValidation type="custom" allowBlank="1" showInputMessage="1" showErrorMessage="1" errorTitle="Invalid entry" error="Must be numeric." sqref="J31:L31 AB31 AC35:AD36 X32:AC34 N38:O38 M36:M38 N36:O36 J38:L38 M23:O25 M27:O34 M26:O26 P23:R34 P36:R38" xr:uid="{04D45D1B-8744-42F7-B2F2-DAF9C84BC4FB}">
      <formula1>ISNUMBER(J23)</formula1>
    </dataValidation>
    <dataValidation type="decimal" allowBlank="1" showInputMessage="1" showErrorMessage="1" errorTitle="Invalid entry" error="Must be a number between 0 and 100." sqref="M35:O35" xr:uid="{997D6461-B701-4E70-8076-A032B6F1A8A8}">
      <formula1>0</formula1>
      <formula2>200</formula2>
    </dataValidation>
    <dataValidation type="custom" allowBlank="1" showInputMessage="1" showErrorMessage="1" errorTitle="Invalid entry" error="Must be numeric." promptTitle="Temperature Standard" prompt="Thermometer reading" sqref="J24:L24" xr:uid="{6BCFA2B8-342F-48CD-8E99-511C5EF54682}">
      <formula1>ISNUMBER(J24)</formula1>
    </dataValidation>
    <dataValidation type="custom" allowBlank="1" showInputMessage="1" showErrorMessage="1" errorTitle="Invalid entry" error="Must be numeric." promptTitle="Turbidity Standard" prompt="Turbidimeter reading" sqref="J30:L30" xr:uid="{E6302B1E-D3B1-4115-BD7A-00C2D57C504B}">
      <formula1>ISNUMBER(J30)</formula1>
    </dataValidation>
    <dataValidation type="date" allowBlank="1" showInputMessage="1" showErrorMessage="1" errorTitle="Invalid entry" error="Must be a valid date." sqref="AA8:AD8" xr:uid="{8902539F-50CC-4DDD-B62C-D7485940224C}">
      <formula1>1</formula1>
      <formula2>401768</formula2>
    </dataValidation>
    <dataValidation type="decimal" allowBlank="1" showInputMessage="1" showErrorMessage="1" sqref="P35:R35" xr:uid="{A34DE308-891E-4A20-922D-538D01CF990E}">
      <formula1>0</formula1>
      <formula2>200</formula2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9CD2D-4F86-4716-B52E-7B67CEE4B0AF}">
  <dimension ref="A1:H43"/>
  <sheetViews>
    <sheetView workbookViewId="0">
      <selection activeCell="H1" sqref="H1"/>
    </sheetView>
  </sheetViews>
  <sheetFormatPr defaultColWidth="9.140625" defaultRowHeight="15" x14ac:dyDescent="0.25"/>
  <cols>
    <col min="1" max="1" width="10.5703125" style="11" bestFit="1" customWidth="1"/>
    <col min="2" max="2" width="27.5703125" style="11" bestFit="1" customWidth="1"/>
    <col min="3" max="3" width="19.42578125" style="11" bestFit="1" customWidth="1"/>
    <col min="4" max="4" width="14.28515625" style="11" bestFit="1" customWidth="1"/>
    <col min="5" max="5" width="47.5703125" style="11" bestFit="1" customWidth="1"/>
    <col min="6" max="6" width="26.85546875" style="11" bestFit="1" customWidth="1"/>
    <col min="7" max="16384" width="9.140625" style="11"/>
  </cols>
  <sheetData>
    <row r="1" spans="1:8" x14ac:dyDescent="0.25">
      <c r="A1" s="11" t="s">
        <v>46</v>
      </c>
      <c r="B1" s="11" t="s">
        <v>65</v>
      </c>
      <c r="C1" s="11" t="s">
        <v>42</v>
      </c>
      <c r="D1" s="11" t="s">
        <v>72</v>
      </c>
      <c r="E1" s="11" t="s">
        <v>43</v>
      </c>
      <c r="F1" s="11" t="s">
        <v>41</v>
      </c>
      <c r="G1" s="11" t="s">
        <v>44</v>
      </c>
      <c r="H1" s="11" t="s">
        <v>45</v>
      </c>
    </row>
    <row r="2" spans="1:8" x14ac:dyDescent="0.25">
      <c r="A2" s="11" t="s">
        <v>139</v>
      </c>
      <c r="B2" s="11" t="s">
        <v>71</v>
      </c>
      <c r="C2" s="11" t="s">
        <v>73</v>
      </c>
      <c r="D2" s="11" t="s">
        <v>74</v>
      </c>
      <c r="E2" s="11" t="s">
        <v>75</v>
      </c>
      <c r="F2" s="11" t="s">
        <v>76</v>
      </c>
      <c r="G2" s="11" t="str">
        <f>IF(OR(ISBLANK(ENTRY!$AA$8), ISBLANK(ENTRY!$AA$9)), "", _xlfn.CONCAT(TEXT(ENTRY!$AA$8,"YYYY-MM-DD"), " ", LEFT(TEXT(ENTRY!$AA$9,"0000"),2),":",RIGHT(TEXT(ENTRY!$AA$9,"0000"),2), ":00"))</f>
        <v>2020-06-23 07:30:00</v>
      </c>
      <c r="H2" s="20" t="str">
        <f>IF(ISBLANK(ENTRY!J23), "", TEXT(ENTRY!J23, "#0"))</f>
        <v>0</v>
      </c>
    </row>
    <row r="3" spans="1:8" x14ac:dyDescent="0.25">
      <c r="A3" s="11" t="s">
        <v>139</v>
      </c>
      <c r="B3" s="11" t="s">
        <v>71</v>
      </c>
      <c r="C3" s="11" t="s">
        <v>73</v>
      </c>
      <c r="D3" s="11" t="s">
        <v>74</v>
      </c>
      <c r="E3" s="11" t="s">
        <v>75</v>
      </c>
      <c r="F3" s="11" t="s">
        <v>147</v>
      </c>
      <c r="G3" s="11" t="str">
        <f>IF(OR(ISBLANK(ENTRY!$AA$8), ISBLANK(ENTRY!$AA$9)), "", _xlfn.CONCAT(TEXT(ENTRY!$AA$8,"YYYY-MM-DD"), " ", LEFT(TEXT(ENTRY!$AA$9,"0000"),2),":",RIGHT(TEXT(ENTRY!$AA$9,"0000"),2), ":00"))</f>
        <v>2020-06-23 07:30:00</v>
      </c>
      <c r="H3" s="20" t="str">
        <f>IF(ISBLANK(ENTRY!M23), "", TEXT(ENTRY!M23, "#0"))</f>
        <v>0</v>
      </c>
    </row>
    <row r="4" spans="1:8" x14ac:dyDescent="0.25">
      <c r="A4" s="11" t="s">
        <v>139</v>
      </c>
      <c r="B4" s="11" t="s">
        <v>71</v>
      </c>
      <c r="C4" s="11" t="s">
        <v>73</v>
      </c>
      <c r="D4" s="11" t="s">
        <v>74</v>
      </c>
      <c r="E4" s="11" t="s">
        <v>77</v>
      </c>
      <c r="F4" s="11" t="s">
        <v>76</v>
      </c>
      <c r="G4" s="11" t="str">
        <f>IF(OR(ISBLANK(ENTRY!$AA$8), ISBLANK(ENTRY!$AA$9)), "", _xlfn.CONCAT(TEXT(ENTRY!$AA$8,"YYYY-MM-DD"), " ", LEFT(TEXT(ENTRY!$AA$9,"0000"),2),":",RIGHT(TEXT(ENTRY!$AA$9,"0000"),2), ":00"))</f>
        <v>2020-06-23 07:30:00</v>
      </c>
      <c r="H4" s="20" t="str">
        <f>IF(ISBLANK(ENTRY!J31), "", TEXT(ENTRY!J31, "#0"))</f>
        <v>17500</v>
      </c>
    </row>
    <row r="5" spans="1:8" x14ac:dyDescent="0.25">
      <c r="A5" s="11" t="s">
        <v>139</v>
      </c>
      <c r="B5" s="11" t="s">
        <v>71</v>
      </c>
      <c r="C5" s="11" t="s">
        <v>73</v>
      </c>
      <c r="D5" s="11" t="s">
        <v>74</v>
      </c>
      <c r="E5" s="11" t="s">
        <v>77</v>
      </c>
      <c r="F5" s="11" t="s">
        <v>147</v>
      </c>
      <c r="G5" s="11" t="str">
        <f>IF(OR(ISBLANK(ENTRY!$AA$8), ISBLANK(ENTRY!$AA$9)), "", _xlfn.CONCAT(TEXT(ENTRY!$AA$8,"YYYY-MM-DD"), " ", LEFT(TEXT(ENTRY!$AA$9,"0000"),2),":",RIGHT(TEXT(ENTRY!$AA$9,"0000"),2), ":00"))</f>
        <v>2020-06-23 07:30:00</v>
      </c>
      <c r="H5" s="20" t="str">
        <f>IF(ISBLANK(ENTRY!M31), "", TEXT(ENTRY!M31, "#0"))</f>
        <v>17630</v>
      </c>
    </row>
    <row r="6" spans="1:8" x14ac:dyDescent="0.25">
      <c r="A6" s="11" t="s">
        <v>139</v>
      </c>
      <c r="B6" s="11" t="s">
        <v>71</v>
      </c>
      <c r="C6" s="11" t="s">
        <v>73</v>
      </c>
      <c r="D6" s="11" t="s">
        <v>74</v>
      </c>
      <c r="E6" s="11" t="s">
        <v>77</v>
      </c>
      <c r="F6" s="11" t="s">
        <v>148</v>
      </c>
      <c r="G6" s="11" t="str">
        <f>IF(OR(ISBLANK(ENTRY!$AA$8), ISBLANK(ENTRY!$AA$9)), "", _xlfn.CONCAT(TEXT(ENTRY!$AA$8,"YYYY-MM-DD"), " ", LEFT(TEXT(ENTRY!$AA$9,"0000"),2),":",RIGHT(TEXT(ENTRY!$AA$9,"0000"),2), ":00"))</f>
        <v>2020-06-23 07:30:00</v>
      </c>
      <c r="H6" s="20" t="str">
        <f>IF(ISBLANK(ENTRY!P31), "", TEXT(ENTRY!P31, "#0"))</f>
        <v>17500</v>
      </c>
    </row>
    <row r="7" spans="1:8" x14ac:dyDescent="0.25">
      <c r="A7" s="11" t="s">
        <v>139</v>
      </c>
      <c r="B7" s="11" t="s">
        <v>71</v>
      </c>
      <c r="C7" s="11" t="s">
        <v>73</v>
      </c>
      <c r="D7" s="11" t="s">
        <v>74</v>
      </c>
      <c r="E7" s="11" t="s">
        <v>103</v>
      </c>
      <c r="F7" s="11" t="s">
        <v>76</v>
      </c>
      <c r="G7" s="11" t="str">
        <f>IF(OR(ISBLANK(ENTRY!$AA$8), ISBLANK(ENTRY!$AA$9)), "", _xlfn.CONCAT(TEXT(ENTRY!$AA$8,"YYYY-MM-DD"), " ", LEFT(TEXT(ENTRY!$AA$9,"0000"),2),":",RIGHT(TEXT(ENTRY!$AA$9,"0000"),2), ":00"))</f>
        <v>2020-06-23 07:30:00</v>
      </c>
      <c r="H7" s="20" t="str">
        <f>IF(ISBLANK(ENTRY!J38), "", TEXT(ENTRY!J38, "#0"))</f>
        <v>6668</v>
      </c>
    </row>
    <row r="8" spans="1:8" x14ac:dyDescent="0.25">
      <c r="A8" s="11" t="s">
        <v>139</v>
      </c>
      <c r="B8" s="11" t="s">
        <v>71</v>
      </c>
      <c r="C8" s="11" t="s">
        <v>73</v>
      </c>
      <c r="D8" s="11" t="s">
        <v>74</v>
      </c>
      <c r="E8" s="11" t="s">
        <v>103</v>
      </c>
      <c r="F8" s="11" t="s">
        <v>148</v>
      </c>
      <c r="G8" s="11" t="str">
        <f>IF(OR(ISBLANK(ENTRY!$AA$8), ISBLANK(ENTRY!$AA$9)), "", _xlfn.CONCAT(TEXT(ENTRY!$AA$8,"YYYY-MM-DD"), " ", LEFT(TEXT(ENTRY!$AA$9,"0000"),2),":",RIGHT(TEXT(ENTRY!$AA$9,"0000"),2), ":00"))</f>
        <v>2020-06-23 07:30:00</v>
      </c>
      <c r="H8" s="20" t="str">
        <f>IF(ISBLANK(ENTRY!P38), "", TEXT(ENTRY!P38, "#0"))</f>
        <v>6611</v>
      </c>
    </row>
    <row r="9" spans="1:8" x14ac:dyDescent="0.25">
      <c r="A9" s="11" t="s">
        <v>139</v>
      </c>
      <c r="B9" s="11" t="s">
        <v>71</v>
      </c>
      <c r="C9" s="11" t="s">
        <v>78</v>
      </c>
      <c r="D9" s="11" t="s">
        <v>79</v>
      </c>
      <c r="E9" s="11" t="s">
        <v>80</v>
      </c>
      <c r="F9" s="11" t="s">
        <v>76</v>
      </c>
      <c r="G9" s="11" t="str">
        <f>IF(OR(ISBLANK(ENTRY!$AA$8), ISBLANK(ENTRY!$AA$9)), "", _xlfn.CONCAT(TEXT(ENTRY!$AA$8,"YYYY-MM-DD"), " ", LEFT(TEXT(ENTRY!$AA$9,"0000"),2),":",RIGHT(TEXT(ENTRY!$AA$9,"0000"),2), ":00"))</f>
        <v>2020-06-23 07:30:00</v>
      </c>
      <c r="H9" s="19" t="str">
        <f>IF(ISBLANK(ENTRY!J24), "", TEXT(ENTRY!J24, "#0.00"))</f>
        <v>22.08</v>
      </c>
    </row>
    <row r="10" spans="1:8" x14ac:dyDescent="0.25">
      <c r="A10" s="11" t="s">
        <v>139</v>
      </c>
      <c r="B10" s="11" t="s">
        <v>71</v>
      </c>
      <c r="C10" s="11" t="s">
        <v>78</v>
      </c>
      <c r="D10" s="11" t="s">
        <v>79</v>
      </c>
      <c r="E10" s="11" t="s">
        <v>80</v>
      </c>
      <c r="F10" s="11" t="s">
        <v>147</v>
      </c>
      <c r="G10" s="11" t="str">
        <f>IF(OR(ISBLANK(ENTRY!$AA$8), ISBLANK(ENTRY!$AA$9)), "", _xlfn.CONCAT(TEXT(ENTRY!$AA$8,"YYYY-MM-DD"), " ", LEFT(TEXT(ENTRY!$AA$9,"0000"),2),":",RIGHT(TEXT(ENTRY!$AA$9,"0000"),2), ":00"))</f>
        <v>2020-06-23 07:30:00</v>
      </c>
      <c r="H10" s="19" t="str">
        <f>IF(ISBLANK(ENTRY!M24), "", TEXT(ENTRY!M24, "#0.00"))</f>
        <v>21.94</v>
      </c>
    </row>
    <row r="11" spans="1:8" x14ac:dyDescent="0.25">
      <c r="A11" s="11" t="s">
        <v>139</v>
      </c>
      <c r="B11" s="11" t="s">
        <v>71</v>
      </c>
      <c r="C11" s="11" t="s">
        <v>81</v>
      </c>
      <c r="D11" s="11" t="s">
        <v>82</v>
      </c>
      <c r="E11" s="11" t="s">
        <v>153</v>
      </c>
      <c r="F11" s="11" t="s">
        <v>76</v>
      </c>
      <c r="G11" s="11" t="str">
        <f>IF(OR(ISBLANK(ENTRY!$AA$8), ISBLANK(ENTRY!$AA$9)), "", _xlfn.CONCAT(TEXT(ENTRY!$AA$8,"YYYY-MM-DD"), " ", LEFT(TEXT(ENTRY!$AA$9,"0000"),2),":",RIGHT(TEXT(ENTRY!$AA$9,"0000"),2), ":00"))</f>
        <v>2020-06-23 07:30:00</v>
      </c>
      <c r="H11" s="19" t="str">
        <f>IF(ISBLANK(ENTRY!J25), "", TEXT(ENTRY!J25, "#0.00"))</f>
        <v>0.00</v>
      </c>
    </row>
    <row r="12" spans="1:8" x14ac:dyDescent="0.25">
      <c r="A12" s="11" t="s">
        <v>139</v>
      </c>
      <c r="B12" s="11" t="s">
        <v>71</v>
      </c>
      <c r="C12" s="11" t="s">
        <v>81</v>
      </c>
      <c r="D12" s="11" t="s">
        <v>82</v>
      </c>
      <c r="E12" s="11" t="s">
        <v>153</v>
      </c>
      <c r="F12" s="11" t="s">
        <v>147</v>
      </c>
      <c r="G12" s="11" t="str">
        <f>IF(OR(ISBLANK(ENTRY!$AA$8), ISBLANK(ENTRY!$AA$9)), "", _xlfn.CONCAT(TEXT(ENTRY!$AA$8,"YYYY-MM-DD"), " ", LEFT(TEXT(ENTRY!$AA$9,"0000"),2),":",RIGHT(TEXT(ENTRY!$AA$9,"0000"),2), ":00"))</f>
        <v>2020-06-23 07:30:00</v>
      </c>
      <c r="H12" s="19" t="str">
        <f>IF(ISBLANK(ENTRY!M25), "", TEXT(ENTRY!M25, "#0.00"))</f>
        <v>0.01</v>
      </c>
    </row>
    <row r="13" spans="1:8" x14ac:dyDescent="0.25">
      <c r="A13" s="11" t="s">
        <v>139</v>
      </c>
      <c r="B13" s="11" t="s">
        <v>71</v>
      </c>
      <c r="C13" s="11" t="s">
        <v>81</v>
      </c>
      <c r="D13" s="11" t="s">
        <v>82</v>
      </c>
      <c r="E13" s="11" t="s">
        <v>153</v>
      </c>
      <c r="F13" s="11" t="s">
        <v>148</v>
      </c>
      <c r="G13" s="11" t="str">
        <f>IF(OR(ISBLANK(ENTRY!$AA$8), ISBLANK(ENTRY!$AA$9)), "", _xlfn.CONCAT(TEXT(ENTRY!$AA$8,"YYYY-MM-DD"), " ", LEFT(TEXT(ENTRY!$AA$9,"0000"),2),":",RIGHT(TEXT(ENTRY!$AA$9,"0000"),2), ":00"))</f>
        <v>2020-06-23 07:30:00</v>
      </c>
      <c r="H13" s="19" t="str">
        <f>IF(ISBLANK(ENTRY!P25), "", TEXT(ENTRY!P25, "#0.00"))</f>
        <v>0.00</v>
      </c>
    </row>
    <row r="14" spans="1:8" x14ac:dyDescent="0.25">
      <c r="A14" s="11" t="s">
        <v>139</v>
      </c>
      <c r="B14" s="11" t="s">
        <v>71</v>
      </c>
      <c r="C14" s="11" t="s">
        <v>81</v>
      </c>
      <c r="D14" s="11" t="s">
        <v>83</v>
      </c>
      <c r="E14" s="11" t="s">
        <v>153</v>
      </c>
      <c r="F14" s="11" t="s">
        <v>76</v>
      </c>
      <c r="G14" s="11" t="str">
        <f>IF(OR(ISBLANK(ENTRY!$AA$8), ISBLANK(ENTRY!$AA$9)), "", _xlfn.CONCAT(TEXT(ENTRY!$AA$8,"YYYY-MM-DD"), " ", LEFT(TEXT(ENTRY!$AA$9,"0000"),2),":",RIGHT(TEXT(ENTRY!$AA$9,"0000"),2), ":00"))</f>
        <v>2020-06-23 07:30:00</v>
      </c>
      <c r="H14" s="19" t="str">
        <f>IF(ISBLANK(ENTRY!J26), "", TEXT(ENTRY!J26, "#0.00"))</f>
        <v>0.00</v>
      </c>
    </row>
    <row r="15" spans="1:8" x14ac:dyDescent="0.25">
      <c r="A15" s="11" t="s">
        <v>139</v>
      </c>
      <c r="B15" s="11" t="s">
        <v>71</v>
      </c>
      <c r="C15" s="11" t="s">
        <v>81</v>
      </c>
      <c r="D15" s="11" t="s">
        <v>83</v>
      </c>
      <c r="E15" s="11" t="s">
        <v>153</v>
      </c>
      <c r="F15" s="11" t="s">
        <v>147</v>
      </c>
      <c r="G15" s="11" t="str">
        <f>IF(OR(ISBLANK(ENTRY!$AA$8), ISBLANK(ENTRY!$AA$9)), "", _xlfn.CONCAT(TEXT(ENTRY!$AA$8,"YYYY-MM-DD"), " ", LEFT(TEXT(ENTRY!$AA$9,"0000"),2),":",RIGHT(TEXT(ENTRY!$AA$9,"0000"),2), ":00"))</f>
        <v>2020-06-23 07:30:00</v>
      </c>
      <c r="H15" s="19" t="str">
        <f>IF(ISBLANK(ENTRY!M26), "", TEXT(ENTRY!M26, "#0.00"))</f>
        <v>0.03</v>
      </c>
    </row>
    <row r="16" spans="1:8" x14ac:dyDescent="0.25">
      <c r="A16" s="11" t="s">
        <v>139</v>
      </c>
      <c r="B16" s="11" t="s">
        <v>71</v>
      </c>
      <c r="C16" s="11" t="s">
        <v>81</v>
      </c>
      <c r="D16" s="11" t="s">
        <v>83</v>
      </c>
      <c r="E16" s="11" t="s">
        <v>153</v>
      </c>
      <c r="F16" s="11" t="s">
        <v>148</v>
      </c>
      <c r="G16" s="11" t="str">
        <f>IF(OR(ISBLANK(ENTRY!$AA$8), ISBLANK(ENTRY!$AA$9)), "", _xlfn.CONCAT(TEXT(ENTRY!$AA$8,"YYYY-MM-DD"), " ", LEFT(TEXT(ENTRY!$AA$9,"0000"),2),":",RIGHT(TEXT(ENTRY!$AA$9,"0000"),2), ":00"))</f>
        <v>2020-06-23 07:30:00</v>
      </c>
      <c r="H16" s="19" t="str">
        <f>IF(ISBLANK(ENTRY!P26), "", TEXT(ENTRY!P26, "#0.00"))</f>
        <v>0.00</v>
      </c>
    </row>
    <row r="17" spans="1:8" x14ac:dyDescent="0.25">
      <c r="A17" s="11" t="s">
        <v>139</v>
      </c>
      <c r="B17" s="11" t="s">
        <v>71</v>
      </c>
      <c r="C17" s="11" t="s">
        <v>84</v>
      </c>
      <c r="D17" s="11" t="s">
        <v>82</v>
      </c>
      <c r="E17" s="11" t="s">
        <v>153</v>
      </c>
      <c r="F17" s="11" t="s">
        <v>76</v>
      </c>
      <c r="G17" s="11" t="str">
        <f>IF(OR(ISBLANK(ENTRY!$AA$8), ISBLANK(ENTRY!$AA$9)), "", _xlfn.CONCAT(TEXT(ENTRY!$AA$8,"YYYY-MM-DD"), " ", LEFT(TEXT(ENTRY!$AA$9,"0000"),2),":",RIGHT(TEXT(ENTRY!$AA$9,"0000"),2), ":00"))</f>
        <v>2020-06-23 07:30:00</v>
      </c>
      <c r="H17" s="19" t="str">
        <f>IF(ISBLANK(ENTRY!J27), "", TEXT(ENTRY!J27, "#0.00"))</f>
        <v/>
      </c>
    </row>
    <row r="18" spans="1:8" x14ac:dyDescent="0.25">
      <c r="A18" s="11" t="s">
        <v>139</v>
      </c>
      <c r="B18" s="11" t="s">
        <v>71</v>
      </c>
      <c r="C18" s="11" t="s">
        <v>84</v>
      </c>
      <c r="D18" s="11" t="s">
        <v>82</v>
      </c>
      <c r="E18" s="11" t="s">
        <v>153</v>
      </c>
      <c r="F18" s="11" t="s">
        <v>147</v>
      </c>
      <c r="G18" s="11" t="str">
        <f>IF(OR(ISBLANK(ENTRY!$AA$8), ISBLANK(ENTRY!$AA$9)), "", _xlfn.CONCAT(TEXT(ENTRY!$AA$8,"YYYY-MM-DD"), " ", LEFT(TEXT(ENTRY!$AA$9,"0000"),2),":",RIGHT(TEXT(ENTRY!$AA$9,"0000"),2), ":00"))</f>
        <v>2020-06-23 07:30:00</v>
      </c>
      <c r="H18" s="19" t="str">
        <f>IF(ISBLANK(ENTRY!M27), "", TEXT(ENTRY!M27, "#0.00"))</f>
        <v/>
      </c>
    </row>
    <row r="19" spans="1:8" x14ac:dyDescent="0.25">
      <c r="A19" s="11" t="s">
        <v>139</v>
      </c>
      <c r="B19" s="11" t="s">
        <v>71</v>
      </c>
      <c r="C19" s="11" t="s">
        <v>84</v>
      </c>
      <c r="D19" s="11" t="s">
        <v>82</v>
      </c>
      <c r="E19" s="11" t="s">
        <v>153</v>
      </c>
      <c r="F19" s="11" t="s">
        <v>148</v>
      </c>
      <c r="G19" s="11" t="str">
        <f>IF(OR(ISBLANK(ENTRY!$AA$8), ISBLANK(ENTRY!$AA$9)), "", _xlfn.CONCAT(TEXT(ENTRY!$AA$8,"YYYY-MM-DD"), " ", LEFT(TEXT(ENTRY!$AA$9,"0000"),2),":",RIGHT(TEXT(ENTRY!$AA$9,"0000"),2), ":00"))</f>
        <v>2020-06-23 07:30:00</v>
      </c>
      <c r="H19" s="19" t="str">
        <f>IF(ISBLANK(ENTRY!P27), "", TEXT(ENTRY!P27, "#0.00"))</f>
        <v/>
      </c>
    </row>
    <row r="20" spans="1:8" x14ac:dyDescent="0.25">
      <c r="A20" s="11" t="s">
        <v>139</v>
      </c>
      <c r="B20" s="11" t="s">
        <v>71</v>
      </c>
      <c r="C20" s="11" t="s">
        <v>84</v>
      </c>
      <c r="D20" s="11" t="s">
        <v>83</v>
      </c>
      <c r="E20" s="11" t="s">
        <v>153</v>
      </c>
      <c r="F20" s="11" t="s">
        <v>76</v>
      </c>
      <c r="G20" s="11" t="str">
        <f>IF(OR(ISBLANK(ENTRY!$AA$8), ISBLANK(ENTRY!$AA$9)), "", _xlfn.CONCAT(TEXT(ENTRY!$AA$8,"YYYY-MM-DD"), " ", LEFT(TEXT(ENTRY!$AA$9,"0000"),2),":",RIGHT(TEXT(ENTRY!$AA$9,"0000"),2), ":00"))</f>
        <v>2020-06-23 07:30:00</v>
      </c>
      <c r="H20" s="19" t="str">
        <f>IF(ISBLANK(ENTRY!J28), "", TEXT(ENTRY!J28, "#0.00"))</f>
        <v/>
      </c>
    </row>
    <row r="21" spans="1:8" x14ac:dyDescent="0.25">
      <c r="A21" s="11" t="s">
        <v>139</v>
      </c>
      <c r="B21" s="11" t="s">
        <v>71</v>
      </c>
      <c r="C21" s="11" t="s">
        <v>84</v>
      </c>
      <c r="D21" s="11" t="s">
        <v>83</v>
      </c>
      <c r="E21" s="11" t="s">
        <v>153</v>
      </c>
      <c r="F21" s="11" t="s">
        <v>147</v>
      </c>
      <c r="G21" s="11" t="str">
        <f>IF(OR(ISBLANK(ENTRY!$AA$8), ISBLANK(ENTRY!$AA$9)), "", _xlfn.CONCAT(TEXT(ENTRY!$AA$8,"YYYY-MM-DD"), " ", LEFT(TEXT(ENTRY!$AA$9,"0000"),2),":",RIGHT(TEXT(ENTRY!$AA$9,"0000"),2), ":00"))</f>
        <v>2020-06-23 07:30:00</v>
      </c>
      <c r="H21" s="19" t="str">
        <f>IF(ISBLANK(ENTRY!M28), "", TEXT(ENTRY!M28, "#0.00"))</f>
        <v/>
      </c>
    </row>
    <row r="22" spans="1:8" x14ac:dyDescent="0.25">
      <c r="A22" s="11" t="s">
        <v>139</v>
      </c>
      <c r="B22" s="11" t="s">
        <v>71</v>
      </c>
      <c r="C22" s="11" t="s">
        <v>84</v>
      </c>
      <c r="D22" s="11" t="s">
        <v>83</v>
      </c>
      <c r="E22" s="11" t="s">
        <v>153</v>
      </c>
      <c r="F22" s="11" t="s">
        <v>148</v>
      </c>
      <c r="G22" s="11" t="str">
        <f>IF(OR(ISBLANK(ENTRY!$AA$8), ISBLANK(ENTRY!$AA$9)), "", _xlfn.CONCAT(TEXT(ENTRY!$AA$8,"YYYY-MM-DD"), " ", LEFT(TEXT(ENTRY!$AA$9,"0000"),2),":",RIGHT(TEXT(ENTRY!$AA$9,"0000"),2), ":00"))</f>
        <v>2020-06-23 07:30:00</v>
      </c>
      <c r="H22" s="19" t="str">
        <f>IF(ISBLANK(ENTRY!P28), "", TEXT(ENTRY!P28, "#0.00"))</f>
        <v/>
      </c>
    </row>
    <row r="23" spans="1:8" x14ac:dyDescent="0.25">
      <c r="A23" s="11" t="s">
        <v>139</v>
      </c>
      <c r="B23" s="11" t="s">
        <v>71</v>
      </c>
      <c r="C23" s="11" t="s">
        <v>85</v>
      </c>
      <c r="D23" s="11" t="s">
        <v>86</v>
      </c>
      <c r="E23" s="11" t="s">
        <v>153</v>
      </c>
      <c r="F23" s="11" t="s">
        <v>76</v>
      </c>
      <c r="G23" s="11" t="str">
        <f>IF(OR(ISBLANK(ENTRY!$AA$8), ISBLANK(ENTRY!$AA$9)), "", _xlfn.CONCAT(TEXT(ENTRY!$AA$8,"YYYY-MM-DD"), " ", LEFT(TEXT(ENTRY!$AA$9,"0000"),2),":",RIGHT(TEXT(ENTRY!$AA$9,"0000"),2), ":00"))</f>
        <v>2020-06-23 07:30:00</v>
      </c>
      <c r="H23" s="19" t="str">
        <f>IF(ISBLANK(ENTRY!J29), "", TEXT(ENTRY!J29, "#0.00"))</f>
        <v>0.00</v>
      </c>
    </row>
    <row r="24" spans="1:8" x14ac:dyDescent="0.25">
      <c r="A24" s="11" t="s">
        <v>139</v>
      </c>
      <c r="B24" s="11" t="s">
        <v>71</v>
      </c>
      <c r="C24" s="11" t="s">
        <v>85</v>
      </c>
      <c r="D24" s="11" t="s">
        <v>86</v>
      </c>
      <c r="E24" s="11" t="s">
        <v>153</v>
      </c>
      <c r="F24" s="11" t="s">
        <v>147</v>
      </c>
      <c r="G24" s="11" t="str">
        <f>IF(OR(ISBLANK(ENTRY!$AA$8), ISBLANK(ENTRY!$AA$9)), "", _xlfn.CONCAT(TEXT(ENTRY!$AA$8,"YYYY-MM-DD"), " ", LEFT(TEXT(ENTRY!$AA$9,"0000"),2),":",RIGHT(TEXT(ENTRY!$AA$9,"0000"),2), ":00"))</f>
        <v>2020-06-23 07:30:00</v>
      </c>
      <c r="H24" s="19" t="str">
        <f>IF(ISBLANK(ENTRY!M29), "", TEXT(ENTRY!M29, "#0.00"))</f>
        <v>-0.80</v>
      </c>
    </row>
    <row r="25" spans="1:8" x14ac:dyDescent="0.25">
      <c r="A25" s="11" t="s">
        <v>139</v>
      </c>
      <c r="B25" s="11" t="s">
        <v>71</v>
      </c>
      <c r="C25" s="11" t="s">
        <v>85</v>
      </c>
      <c r="D25" s="11" t="s">
        <v>86</v>
      </c>
      <c r="E25" s="11" t="s">
        <v>153</v>
      </c>
      <c r="F25" s="11" t="s">
        <v>148</v>
      </c>
      <c r="G25" s="11" t="str">
        <f>IF(OR(ISBLANK(ENTRY!$AA$8), ISBLANK(ENTRY!$AA$9)), "", _xlfn.CONCAT(TEXT(ENTRY!$AA$8,"YYYY-MM-DD"), " ", LEFT(TEXT(ENTRY!$AA$9,"0000"),2),":",RIGHT(TEXT(ENTRY!$AA$9,"0000"),2), ":00"))</f>
        <v>2020-06-23 07:30:00</v>
      </c>
      <c r="H25" s="19" t="str">
        <f>IF(ISBLANK(ENTRY!P29), "", TEXT(ENTRY!P29, "#0.00"))</f>
        <v>0.00</v>
      </c>
    </row>
    <row r="26" spans="1:8" x14ac:dyDescent="0.25">
      <c r="A26" s="11" t="s">
        <v>139</v>
      </c>
      <c r="B26" s="11" t="s">
        <v>71</v>
      </c>
      <c r="C26" s="11" t="s">
        <v>85</v>
      </c>
      <c r="D26" s="11" t="s">
        <v>86</v>
      </c>
      <c r="E26" s="11" t="s">
        <v>87</v>
      </c>
      <c r="F26" s="11" t="s">
        <v>76</v>
      </c>
      <c r="G26" s="11" t="str">
        <f>IF(OR(ISBLANK(ENTRY!$AA$8), ISBLANK(ENTRY!$AA$9)), "", _xlfn.CONCAT(TEXT(ENTRY!$AA$8,"YYYY-MM-DD"), " ", LEFT(TEXT(ENTRY!$AA$9,"0000"),2),":",RIGHT(TEXT(ENTRY!$AA$9,"0000"),2), ":00"))</f>
        <v>2020-06-23 07:30:00</v>
      </c>
      <c r="H26" s="19" t="str">
        <f>IF(ISBLANK(ENTRY!J30), "", TEXT(ENTRY!J30, "#0.00"))</f>
        <v>100.00</v>
      </c>
    </row>
    <row r="27" spans="1:8" x14ac:dyDescent="0.25">
      <c r="A27" s="11" t="s">
        <v>139</v>
      </c>
      <c r="B27" s="11" t="s">
        <v>71</v>
      </c>
      <c r="C27" s="11" t="s">
        <v>85</v>
      </c>
      <c r="D27" s="11" t="s">
        <v>86</v>
      </c>
      <c r="E27" s="11" t="s">
        <v>87</v>
      </c>
      <c r="F27" s="11" t="s">
        <v>147</v>
      </c>
      <c r="G27" s="11" t="str">
        <f>IF(OR(ISBLANK(ENTRY!$AA$8), ISBLANK(ENTRY!$AA$9)), "", _xlfn.CONCAT(TEXT(ENTRY!$AA$8,"YYYY-MM-DD"), " ", LEFT(TEXT(ENTRY!$AA$9,"0000"),2),":",RIGHT(TEXT(ENTRY!$AA$9,"0000"),2), ":00"))</f>
        <v>2020-06-23 07:30:00</v>
      </c>
      <c r="H27" s="19" t="str">
        <f>IF(ISBLANK(ENTRY!M30), "", TEXT(ENTRY!M30, "#0.00"))</f>
        <v>103.97</v>
      </c>
    </row>
    <row r="28" spans="1:8" x14ac:dyDescent="0.25">
      <c r="A28" s="11" t="s">
        <v>139</v>
      </c>
      <c r="B28" s="11" t="s">
        <v>71</v>
      </c>
      <c r="C28" s="11" t="s">
        <v>85</v>
      </c>
      <c r="D28" s="11" t="s">
        <v>86</v>
      </c>
      <c r="E28" s="11" t="s">
        <v>87</v>
      </c>
      <c r="F28" s="11" t="s">
        <v>148</v>
      </c>
      <c r="G28" s="11" t="str">
        <f>IF(OR(ISBLANK(ENTRY!$AA$8), ISBLANK(ENTRY!$AA$9)), "", _xlfn.CONCAT(TEXT(ENTRY!$AA$8,"YYYY-MM-DD"), " ", LEFT(TEXT(ENTRY!$AA$9,"0000"),2),":",RIGHT(TEXT(ENTRY!$AA$9,"0000"),2), ":00"))</f>
        <v>2020-06-23 07:30:00</v>
      </c>
      <c r="H28" s="19" t="str">
        <f>IF(ISBLANK(ENTRY!P30), "", TEXT(ENTRY!P30, "#0.00"))</f>
        <v>100.00</v>
      </c>
    </row>
    <row r="29" spans="1:8" x14ac:dyDescent="0.25">
      <c r="A29" s="11" t="s">
        <v>139</v>
      </c>
      <c r="B29" s="11" t="s">
        <v>71</v>
      </c>
      <c r="C29" s="11" t="s">
        <v>88</v>
      </c>
      <c r="D29" s="11" t="s">
        <v>89</v>
      </c>
      <c r="E29" s="11" t="s">
        <v>90</v>
      </c>
      <c r="F29" s="11" t="s">
        <v>76</v>
      </c>
      <c r="G29" s="11" t="str">
        <f>IF(OR(ISBLANK(ENTRY!$AA$8), ISBLANK(ENTRY!$AA$9)), "", _xlfn.CONCAT(TEXT(ENTRY!$AA$8,"YYYY-MM-DD"), " ", LEFT(TEXT(ENTRY!$AA$9,"0000"),2),":",RIGHT(TEXT(ENTRY!$AA$9,"0000"),2), ":00"))</f>
        <v>2020-06-23 07:30:00</v>
      </c>
      <c r="H29" s="19" t="str">
        <f>IF(ISBLANK(ENTRY!J33), "", TEXT(ENTRY!J33, "#0.00"))</f>
        <v/>
      </c>
    </row>
    <row r="30" spans="1:8" x14ac:dyDescent="0.25">
      <c r="A30" s="11" t="s">
        <v>139</v>
      </c>
      <c r="B30" s="11" t="s">
        <v>71</v>
      </c>
      <c r="C30" s="11" t="s">
        <v>88</v>
      </c>
      <c r="D30" s="11" t="s">
        <v>89</v>
      </c>
      <c r="E30" s="11" t="s">
        <v>90</v>
      </c>
      <c r="F30" s="11" t="s">
        <v>147</v>
      </c>
      <c r="G30" s="11" t="str">
        <f>IF(OR(ISBLANK(ENTRY!$AA$8), ISBLANK(ENTRY!$AA$9)), "", _xlfn.CONCAT(TEXT(ENTRY!$AA$8,"YYYY-MM-DD"), " ", LEFT(TEXT(ENTRY!$AA$9,"0000"),2),":",RIGHT(TEXT(ENTRY!$AA$9,"0000"),2), ":00"))</f>
        <v>2020-06-23 07:30:00</v>
      </c>
      <c r="H30" s="19" t="str">
        <f>IF(ISBLANK(ENTRY!M33), "", TEXT(ENTRY!M33, "#0.00"))</f>
        <v/>
      </c>
    </row>
    <row r="31" spans="1:8" x14ac:dyDescent="0.25">
      <c r="A31" s="11" t="s">
        <v>139</v>
      </c>
      <c r="B31" s="11" t="s">
        <v>71</v>
      </c>
      <c r="C31" s="11" t="s">
        <v>88</v>
      </c>
      <c r="D31" s="11" t="s">
        <v>89</v>
      </c>
      <c r="E31" s="11" t="s">
        <v>90</v>
      </c>
      <c r="F31" s="11" t="s">
        <v>148</v>
      </c>
      <c r="G31" s="11" t="str">
        <f>IF(OR(ISBLANK(ENTRY!$AA$8), ISBLANK(ENTRY!$AA$9)), "", _xlfn.CONCAT(TEXT(ENTRY!$AA$8,"YYYY-MM-DD"), " ", LEFT(TEXT(ENTRY!$AA$9,"0000"),2),":",RIGHT(TEXT(ENTRY!$AA$9,"0000"),2), ":00"))</f>
        <v>2020-06-23 07:30:00</v>
      </c>
      <c r="H31" s="19" t="str">
        <f>IF(ISBLANK(ENTRY!P33), "", TEXT(ENTRY!P33, "#0.00"))</f>
        <v/>
      </c>
    </row>
    <row r="32" spans="1:8" x14ac:dyDescent="0.25">
      <c r="A32" s="11" t="s">
        <v>139</v>
      </c>
      <c r="B32" s="11" t="s">
        <v>71</v>
      </c>
      <c r="C32" s="11" t="s">
        <v>88</v>
      </c>
      <c r="D32" s="11" t="s">
        <v>89</v>
      </c>
      <c r="E32" s="11" t="s">
        <v>91</v>
      </c>
      <c r="F32" s="11" t="s">
        <v>76</v>
      </c>
      <c r="G32" s="11" t="str">
        <f>IF(OR(ISBLANK(ENTRY!$AA$8), ISBLANK(ENTRY!$AA$9)), "", _xlfn.CONCAT(TEXT(ENTRY!$AA$8,"YYYY-MM-DD"), " ", LEFT(TEXT(ENTRY!$AA$9,"0000"),2),":",RIGHT(TEXT(ENTRY!$AA$9,"0000"),2), ":00"))</f>
        <v>2020-06-23 07:30:00</v>
      </c>
      <c r="H32" s="19" t="str">
        <f>IF(ISBLANK(ENTRY!J32), "", TEXT(ENTRY!J32, "#0.00"))</f>
        <v>7.01</v>
      </c>
    </row>
    <row r="33" spans="1:8" x14ac:dyDescent="0.25">
      <c r="A33" s="11" t="s">
        <v>139</v>
      </c>
      <c r="B33" s="11" t="s">
        <v>71</v>
      </c>
      <c r="C33" s="11" t="s">
        <v>88</v>
      </c>
      <c r="D33" s="11" t="s">
        <v>89</v>
      </c>
      <c r="E33" s="11" t="s">
        <v>91</v>
      </c>
      <c r="F33" s="11" t="s">
        <v>147</v>
      </c>
      <c r="G33" s="11" t="str">
        <f>IF(OR(ISBLANK(ENTRY!$AA$8), ISBLANK(ENTRY!$AA$9)), "", _xlfn.CONCAT(TEXT(ENTRY!$AA$8,"YYYY-MM-DD"), " ", LEFT(TEXT(ENTRY!$AA$9,"0000"),2),":",RIGHT(TEXT(ENTRY!$AA$9,"0000"),2), ":00"))</f>
        <v>2020-06-23 07:30:00</v>
      </c>
      <c r="H33" s="19" t="str">
        <f>IF(ISBLANK(ENTRY!M32), "", TEXT(ENTRY!M32, "#0.00"))</f>
        <v>7.00</v>
      </c>
    </row>
    <row r="34" spans="1:8" x14ac:dyDescent="0.25">
      <c r="A34" s="11" t="s">
        <v>139</v>
      </c>
      <c r="B34" s="11" t="s">
        <v>71</v>
      </c>
      <c r="C34" s="11" t="s">
        <v>88</v>
      </c>
      <c r="D34" s="11" t="s">
        <v>89</v>
      </c>
      <c r="E34" s="11" t="s">
        <v>91</v>
      </c>
      <c r="F34" s="11" t="s">
        <v>148</v>
      </c>
      <c r="G34" s="11" t="str">
        <f>IF(OR(ISBLANK(ENTRY!$AA$8), ISBLANK(ENTRY!$AA$9)), "", _xlfn.CONCAT(TEXT(ENTRY!$AA$8,"YYYY-MM-DD"), " ", LEFT(TEXT(ENTRY!$AA$9,"0000"),2),":",RIGHT(TEXT(ENTRY!$AA$9,"0000"),2), ":00"))</f>
        <v>2020-06-23 07:30:00</v>
      </c>
      <c r="H34" s="19" t="str">
        <f>IF(ISBLANK(ENTRY!P32), "", TEXT(ENTRY!P32, "#0.00"))</f>
        <v>7.01</v>
      </c>
    </row>
    <row r="35" spans="1:8" x14ac:dyDescent="0.25">
      <c r="A35" s="11" t="s">
        <v>139</v>
      </c>
      <c r="B35" s="11" t="s">
        <v>71</v>
      </c>
      <c r="C35" s="11" t="s">
        <v>88</v>
      </c>
      <c r="D35" s="11" t="s">
        <v>89</v>
      </c>
      <c r="E35" s="11" t="s">
        <v>92</v>
      </c>
      <c r="F35" s="11" t="s">
        <v>76</v>
      </c>
      <c r="G35" s="11" t="str">
        <f>IF(OR(ISBLANK(ENTRY!$AA$8), ISBLANK(ENTRY!$AA$9)), "", _xlfn.CONCAT(TEXT(ENTRY!$AA$8,"YYYY-MM-DD"), " ", LEFT(TEXT(ENTRY!$AA$9,"0000"),2),":",RIGHT(TEXT(ENTRY!$AA$9,"0000"),2), ":00"))</f>
        <v>2020-06-23 07:30:00</v>
      </c>
      <c r="H35" s="19" t="str">
        <f>IF(ISBLANK(ENTRY!J34), "", TEXT(ENTRY!J34, "#0.00"))</f>
        <v>10.04</v>
      </c>
    </row>
    <row r="36" spans="1:8" x14ac:dyDescent="0.25">
      <c r="A36" s="11" t="s">
        <v>139</v>
      </c>
      <c r="B36" s="11" t="s">
        <v>71</v>
      </c>
      <c r="C36" s="11" t="s">
        <v>88</v>
      </c>
      <c r="D36" s="11" t="s">
        <v>89</v>
      </c>
      <c r="E36" s="11" t="s">
        <v>92</v>
      </c>
      <c r="F36" s="11" t="s">
        <v>147</v>
      </c>
      <c r="G36" s="11" t="str">
        <f>IF(OR(ISBLANK(ENTRY!$AA$8), ISBLANK(ENTRY!$AA$9)), "", _xlfn.CONCAT(TEXT(ENTRY!$AA$8,"YYYY-MM-DD"), " ", LEFT(TEXT(ENTRY!$AA$9,"0000"),2),":",RIGHT(TEXT(ENTRY!$AA$9,"0000"),2), ":00"))</f>
        <v>2020-06-23 07:30:00</v>
      </c>
      <c r="H36" s="19" t="str">
        <f>IF(ISBLANK(ENTRY!M34), "", TEXT(ENTRY!M34, "#0.00"))</f>
        <v>10.04</v>
      </c>
    </row>
    <row r="37" spans="1:8" x14ac:dyDescent="0.25">
      <c r="A37" s="11" t="s">
        <v>139</v>
      </c>
      <c r="B37" s="11" t="s">
        <v>71</v>
      </c>
      <c r="C37" s="11" t="s">
        <v>88</v>
      </c>
      <c r="D37" s="11" t="s">
        <v>89</v>
      </c>
      <c r="E37" s="11" t="s">
        <v>92</v>
      </c>
      <c r="F37" s="11" t="s">
        <v>148</v>
      </c>
      <c r="G37" s="11" t="str">
        <f>IF(OR(ISBLANK(ENTRY!$AA$8), ISBLANK(ENTRY!$AA$9)), "", _xlfn.CONCAT(TEXT(ENTRY!$AA$8,"YYYY-MM-DD"), " ", LEFT(TEXT(ENTRY!$AA$9,"0000"),2),":",RIGHT(TEXT(ENTRY!$AA$9,"0000"),2), ":00"))</f>
        <v>2020-06-23 07:30:00</v>
      </c>
      <c r="H37" s="19" t="str">
        <f>IF(ISBLANK(ENTRY!P34), "", TEXT(ENTRY!P34, "#0.00"))</f>
        <v>10.04</v>
      </c>
    </row>
    <row r="38" spans="1:8" x14ac:dyDescent="0.25">
      <c r="A38" s="11" t="s">
        <v>139</v>
      </c>
      <c r="B38" s="11" t="s">
        <v>71</v>
      </c>
      <c r="C38" s="11" t="s">
        <v>93</v>
      </c>
      <c r="D38" s="11" t="s">
        <v>94</v>
      </c>
      <c r="E38" s="11" t="s">
        <v>95</v>
      </c>
      <c r="F38" s="11" t="s">
        <v>76</v>
      </c>
      <c r="G38" s="11" t="str">
        <f>IF(OR(ISBLANK(ENTRY!$AA$8), ISBLANK(ENTRY!$AA$9)), "", _xlfn.CONCAT(TEXT(ENTRY!$AA$8,"YYYY-MM-DD"), " ", LEFT(TEXT(ENTRY!$AA$9,"0000"),2),":",RIGHT(TEXT(ENTRY!$AA$9,"0000"),2), ":00"))</f>
        <v>2020-06-23 07:30:00</v>
      </c>
      <c r="H38" s="19" t="str">
        <f>IF(ISBLANK(ENTRY!J35), "", TEXT(ENTRY!J35, "#0.00"))</f>
        <v>99.62</v>
      </c>
    </row>
    <row r="39" spans="1:8" x14ac:dyDescent="0.25">
      <c r="A39" s="11" t="s">
        <v>139</v>
      </c>
      <c r="B39" s="11" t="s">
        <v>71</v>
      </c>
      <c r="C39" s="11" t="s">
        <v>93</v>
      </c>
      <c r="D39" s="11" t="s">
        <v>94</v>
      </c>
      <c r="E39" s="11" t="s">
        <v>95</v>
      </c>
      <c r="F39" s="11" t="s">
        <v>147</v>
      </c>
      <c r="G39" s="11" t="str">
        <f>IF(OR(ISBLANK(ENTRY!$AA$8), ISBLANK(ENTRY!$AA$9)), "", _xlfn.CONCAT(TEXT(ENTRY!$AA$8,"YYYY-MM-DD"), " ", LEFT(TEXT(ENTRY!$AA$9,"0000"),2),":",RIGHT(TEXT(ENTRY!$AA$9,"0000"),2), ":00"))</f>
        <v>2020-06-23 07:30:00</v>
      </c>
      <c r="H39" s="19" t="str">
        <f>IF(ISBLANK(ENTRY!M35), "", TEXT(ENTRY!M35, "#0.00"))</f>
        <v>100.40</v>
      </c>
    </row>
    <row r="40" spans="1:8" x14ac:dyDescent="0.25">
      <c r="A40" s="11" t="s">
        <v>139</v>
      </c>
      <c r="B40" s="11" t="s">
        <v>71</v>
      </c>
      <c r="C40" s="11" t="s">
        <v>93</v>
      </c>
      <c r="D40" s="11" t="s">
        <v>94</v>
      </c>
      <c r="E40" s="11" t="s">
        <v>95</v>
      </c>
      <c r="F40" s="11" t="s">
        <v>148</v>
      </c>
      <c r="G40" s="11" t="str">
        <f>IF(OR(ISBLANK(ENTRY!$AA$8), ISBLANK(ENTRY!$AA$9)), "", _xlfn.CONCAT(TEXT(ENTRY!$AA$8,"YYYY-MM-DD"), " ", LEFT(TEXT(ENTRY!$AA$9,"0000"),2),":",RIGHT(TEXT(ENTRY!$AA$9,"0000"),2), ":00"))</f>
        <v>2020-06-23 07:30:00</v>
      </c>
      <c r="H40" s="19" t="str">
        <f>IF(ISBLANK(ENTRY!P35), "", TEXT(ENTRY!P35, "#0.00"))</f>
        <v>99.40</v>
      </c>
    </row>
    <row r="41" spans="1:8" x14ac:dyDescent="0.25">
      <c r="A41" s="11" t="s">
        <v>139</v>
      </c>
      <c r="B41" s="11" t="s">
        <v>71</v>
      </c>
      <c r="C41" s="11" t="s">
        <v>93</v>
      </c>
      <c r="D41" s="11" t="s">
        <v>96</v>
      </c>
      <c r="E41" s="11" t="s">
        <v>95</v>
      </c>
      <c r="F41" s="11" t="s">
        <v>76</v>
      </c>
      <c r="G41" s="11" t="str">
        <f>IF(OR(ISBLANK(ENTRY!$AA$8), ISBLANK(ENTRY!$AA$9)), "", _xlfn.CONCAT(TEXT(ENTRY!$AA$8,"YYYY-MM-DD"), " ", LEFT(TEXT(ENTRY!$AA$9,"0000"),2),":",RIGHT(TEXT(ENTRY!$AA$9,"0000"),2), ":00"))</f>
        <v>2020-06-23 07:30:00</v>
      </c>
      <c r="H41" s="19" t="str">
        <f>IF(ISBLANK(ENTRY!J36), "", TEXT(ENTRY!J36, "#0.00"))</f>
        <v>9.01</v>
      </c>
    </row>
    <row r="42" spans="1:8" x14ac:dyDescent="0.25">
      <c r="A42" s="11" t="s">
        <v>139</v>
      </c>
      <c r="B42" s="11" t="s">
        <v>71</v>
      </c>
      <c r="C42" s="11" t="s">
        <v>93</v>
      </c>
      <c r="D42" s="11" t="s">
        <v>96</v>
      </c>
      <c r="E42" s="11" t="s">
        <v>95</v>
      </c>
      <c r="F42" s="11" t="s">
        <v>147</v>
      </c>
      <c r="G42" s="11" t="str">
        <f>IF(OR(ISBLANK(ENTRY!$AA$8), ISBLANK(ENTRY!$AA$9)), "", _xlfn.CONCAT(TEXT(ENTRY!$AA$8,"YYYY-MM-DD"), " ", LEFT(TEXT(ENTRY!$AA$9,"0000"),2),":",RIGHT(TEXT(ENTRY!$AA$9,"0000"),2), ":00"))</f>
        <v>2020-06-23 07:30:00</v>
      </c>
      <c r="H42" s="19" t="str">
        <f>IF(ISBLANK(ENTRY!M36), "", TEXT(ENTRY!M36, "#0.00"))</f>
        <v>9.06</v>
      </c>
    </row>
    <row r="43" spans="1:8" x14ac:dyDescent="0.25">
      <c r="A43" s="11" t="s">
        <v>139</v>
      </c>
      <c r="B43" s="11" t="s">
        <v>71</v>
      </c>
      <c r="C43" s="11" t="s">
        <v>93</v>
      </c>
      <c r="D43" s="11" t="s">
        <v>96</v>
      </c>
      <c r="E43" s="11" t="s">
        <v>95</v>
      </c>
      <c r="F43" s="11" t="s">
        <v>148</v>
      </c>
      <c r="G43" s="11" t="str">
        <f>IF(OR(ISBLANK(ENTRY!$AA$8), ISBLANK(ENTRY!$AA$9)), "", _xlfn.CONCAT(TEXT(ENTRY!$AA$8,"YYYY-MM-DD"), " ", LEFT(TEXT(ENTRY!$AA$9,"0000"),2),":",RIGHT(TEXT(ENTRY!$AA$9,"0000"),2), ":00"))</f>
        <v>2020-06-23 07:30:00</v>
      </c>
      <c r="H43" s="19" t="str">
        <f>IF(ISBLANK(ENTRY!P36), "", TEXT(ENTRY!P36, "#0.00"))</f>
        <v>9.00</v>
      </c>
    </row>
  </sheetData>
  <sheetProtection sheet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97EF3-4FEF-44C5-A8F2-2B8F5AE00470}">
  <dimension ref="A1:G2"/>
  <sheetViews>
    <sheetView workbookViewId="0">
      <selection activeCell="D11" sqref="D11"/>
    </sheetView>
  </sheetViews>
  <sheetFormatPr defaultColWidth="9.140625" defaultRowHeight="15" x14ac:dyDescent="0.25"/>
  <cols>
    <col min="1" max="1" width="12" style="22" bestFit="1" customWidth="1"/>
    <col min="2" max="2" width="10.5703125" style="22" bestFit="1" customWidth="1"/>
    <col min="3" max="3" width="14.28515625" style="22" bestFit="1" customWidth="1"/>
    <col min="4" max="4" width="27.5703125" style="22" bestFit="1" customWidth="1"/>
    <col min="5" max="5" width="26" style="22" bestFit="1" customWidth="1"/>
    <col min="6" max="7" width="14.42578125" style="22" bestFit="1" customWidth="1"/>
    <col min="8" max="16384" width="9.140625" style="22"/>
  </cols>
  <sheetData>
    <row r="1" spans="1:7" x14ac:dyDescent="0.25">
      <c r="A1" s="22" t="s">
        <v>97</v>
      </c>
      <c r="B1" s="22" t="s">
        <v>46</v>
      </c>
      <c r="C1" s="22" t="s">
        <v>69</v>
      </c>
      <c r="D1" s="22" t="s">
        <v>100</v>
      </c>
      <c r="E1" s="22" t="s">
        <v>98</v>
      </c>
      <c r="F1" s="22" t="s">
        <v>99</v>
      </c>
      <c r="G1" s="22" t="s">
        <v>70</v>
      </c>
    </row>
    <row r="2" spans="1:7" x14ac:dyDescent="0.25">
      <c r="A2" s="22" t="str">
        <f>IF(OR(ISBLANK(ENTRY!$AA$8), ISBLANK(ENTRY!$AA$9)), "", _xlfn.CONCAT(TEXT(ENTRY!$AA$8,"YYYY-MM-DD"), " ", LEFT(TEXT(ENTRY!$AA$9,"0000"),2),":",RIGHT(TEXT(ENTRY!$AA$9,"0000"),2), ":00"))</f>
        <v>2020-06-23 07:30:00</v>
      </c>
      <c r="B2" s="22" t="s">
        <v>139</v>
      </c>
      <c r="C2" s="22" t="str">
        <f>IF(ISBLANK(ENTRY!$P$8), "", UPPER(ENTRY!$P$8))</f>
        <v>PLUTON</v>
      </c>
      <c r="D2" s="22" t="s">
        <v>50</v>
      </c>
      <c r="E2" s="22" t="s">
        <v>140</v>
      </c>
      <c r="F2" s="22" t="s">
        <v>119</v>
      </c>
      <c r="G2" s="22" t="str">
        <f>IF(ISBLANK(ENTRY!X41), "No comments.",ENTRY!X41)</f>
        <v>Verification Sonde</v>
      </c>
    </row>
  </sheetData>
  <sheetProtection sheet="1" objects="1" scenarios="1" selectLockedCells="1"/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0411C-4329-4396-8A55-37DF6820244A}">
  <dimension ref="A1:G2"/>
  <sheetViews>
    <sheetView workbookViewId="0">
      <selection activeCell="D2" sqref="D2"/>
    </sheetView>
  </sheetViews>
  <sheetFormatPr defaultColWidth="9.140625" defaultRowHeight="15" x14ac:dyDescent="0.25"/>
  <cols>
    <col min="1" max="1" width="12" style="16" bestFit="1" customWidth="1"/>
    <col min="2" max="2" width="10.5703125" style="16" bestFit="1" customWidth="1"/>
    <col min="3" max="3" width="14.28515625" style="16" bestFit="1" customWidth="1"/>
    <col min="4" max="4" width="27.5703125" style="16" bestFit="1" customWidth="1"/>
    <col min="5" max="5" width="14.85546875" style="16" bestFit="1" customWidth="1"/>
    <col min="6" max="6" width="14.7109375" style="16" bestFit="1" customWidth="1"/>
    <col min="7" max="7" width="13" style="16" bestFit="1" customWidth="1"/>
    <col min="8" max="16384" width="9.140625" style="16"/>
  </cols>
  <sheetData>
    <row r="1" spans="1:7" x14ac:dyDescent="0.25">
      <c r="A1" s="16" t="s">
        <v>97</v>
      </c>
      <c r="B1" s="16" t="s">
        <v>46</v>
      </c>
      <c r="C1" s="16" t="s">
        <v>69</v>
      </c>
      <c r="D1" s="16" t="s">
        <v>100</v>
      </c>
      <c r="E1" s="16" t="s">
        <v>137</v>
      </c>
      <c r="F1" s="16" t="s">
        <v>116</v>
      </c>
      <c r="G1" s="16" t="s">
        <v>138</v>
      </c>
    </row>
    <row r="2" spans="1:7" x14ac:dyDescent="0.25">
      <c r="A2" s="16" t="str">
        <f>IF(OR(ISBLANK(ENTRY!$AA$8), ISBLANK(ENTRY!$AA$9)), "", _xlfn.CONCAT(TEXT(ENTRY!$AA$8,"YYYY-MM-DD"), " ", LEFT(TEXT(ENTRY!$AA$9,"0000"),2),":",RIGHT(TEXT(ENTRY!$AA$9,"0000"),2), ":00"))</f>
        <v>2020-06-23 07:30:00</v>
      </c>
      <c r="B2" s="16" t="s">
        <v>139</v>
      </c>
      <c r="C2" s="16" t="str">
        <f>IF(ISBLANK(ENTRY!$P$8), "", UPPER(ENTRY!$P$8))</f>
        <v>PLUTON</v>
      </c>
      <c r="D2" s="16" t="s">
        <v>50</v>
      </c>
      <c r="E2" s="16" t="str">
        <f>IF(ISBLANK(ENTRY!$O$6), "", _xlfn.CONCAT("SM-", TEXT(SUBSTITUTE(UPPER(ENTRY!$O$6), "SM-", ""), "00")))</f>
        <v>SM-26</v>
      </c>
      <c r="F2" s="16" t="s">
        <v>117</v>
      </c>
      <c r="G2" s="16" t="s">
        <v>118</v>
      </c>
    </row>
  </sheetData>
  <sheetProtection sheet="1" objects="1" scenarios="1" selectLockedCell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A5311-0FC8-44CD-8BAD-E857B653C98F}">
  <dimension ref="A1:G6"/>
  <sheetViews>
    <sheetView workbookViewId="0">
      <selection activeCell="D6" sqref="D6"/>
    </sheetView>
  </sheetViews>
  <sheetFormatPr defaultColWidth="9.140625" defaultRowHeight="15" x14ac:dyDescent="0.25"/>
  <cols>
    <col min="1" max="1" width="12" style="16" bestFit="1" customWidth="1"/>
    <col min="2" max="2" width="10.5703125" style="16" bestFit="1" customWidth="1"/>
    <col min="3" max="3" width="14.28515625" style="16" bestFit="1" customWidth="1"/>
    <col min="4" max="4" width="27.5703125" style="16" bestFit="1" customWidth="1"/>
    <col min="5" max="5" width="17" style="16" bestFit="1" customWidth="1"/>
    <col min="6" max="6" width="18" style="16" customWidth="1"/>
    <col min="7" max="7" width="20.140625" style="16" bestFit="1" customWidth="1"/>
    <col min="8" max="16384" width="9.140625" style="16"/>
  </cols>
  <sheetData>
    <row r="1" spans="1:7" x14ac:dyDescent="0.25">
      <c r="A1" s="16" t="s">
        <v>97</v>
      </c>
      <c r="B1" s="16" t="s">
        <v>46</v>
      </c>
      <c r="C1" s="16" t="s">
        <v>69</v>
      </c>
      <c r="D1" s="16" t="s">
        <v>100</v>
      </c>
      <c r="E1" s="16" t="s">
        <v>113</v>
      </c>
      <c r="F1" s="16" t="s">
        <v>114</v>
      </c>
      <c r="G1" s="16" t="s">
        <v>115</v>
      </c>
    </row>
    <row r="2" spans="1:7" x14ac:dyDescent="0.25">
      <c r="A2" s="16" t="str">
        <f>IF(OR(ISBLANK(ENTRY!$AA$8), ISBLANK(ENTRY!$AA$9)), "", _xlfn.CONCAT(TEXT(ENTRY!$AA$8,"YYYY-MM-DD"), " ", LEFT(TEXT(ENTRY!$AA$9,"0000"),2),":",RIGHT(TEXT(ENTRY!$AA$9,"0000"),2), ":00"))</f>
        <v>2020-06-23 07:30:00</v>
      </c>
      <c r="B2" s="16" t="s">
        <v>139</v>
      </c>
      <c r="C2" s="16" t="str">
        <f>IF(ISBLANK(ENTRY!$P$8), "", UPPER(ENTRY!$P$8))</f>
        <v>PLUTON</v>
      </c>
      <c r="D2" s="16" t="s">
        <v>50</v>
      </c>
      <c r="E2" s="16" t="str">
        <f>IF(ISBLANK(ENTRY!A14),"",ENTRY!A14)</f>
        <v>Thermometer</v>
      </c>
      <c r="F2" s="21" t="str">
        <f>IF(ISBLANK(ENTRY!F14),"",ENTRY!F14)</f>
        <v>191957329</v>
      </c>
      <c r="G2" s="16" t="str">
        <f>IF(ISBLANK(ENTRY!$K$14), "", _xlfn.CONCAT(TEXT(ENTRY!$K$14,"YYYY-MM-DD"), " 00:00:00"))</f>
        <v>2021-02-13 00:00:00</v>
      </c>
    </row>
    <row r="3" spans="1:7" x14ac:dyDescent="0.25">
      <c r="A3" s="16" t="str">
        <f>IF(OR(ISBLANK(ENTRY!$AA$8), ISBLANK(ENTRY!$AA$9)), "", _xlfn.CONCAT(TEXT(ENTRY!$AA$8,"YYYY-MM-DD"), " ", LEFT(TEXT(ENTRY!$AA$9,"0000"),2),":",RIGHT(TEXT(ENTRY!$AA$9,"0000"),2), ":00"))</f>
        <v>2020-06-23 07:30:00</v>
      </c>
      <c r="B3" s="16" t="s">
        <v>139</v>
      </c>
      <c r="C3" s="16" t="str">
        <f>IF(ISBLANK(ENTRY!$P$8), "", UPPER(ENTRY!$P$8))</f>
        <v>PLUTON</v>
      </c>
      <c r="D3" s="16" t="s">
        <v>50</v>
      </c>
      <c r="E3" s="16" t="str">
        <f>IF(ISBLANK(ENTRY!A15),"",ENTRY!A15)</f>
        <v>Turbidimeter</v>
      </c>
      <c r="F3" s="21" t="str">
        <f>IF(ISBLANK(ENTRY!F15),"",ENTRY!F15)</f>
        <v>2017080C0003</v>
      </c>
      <c r="G3" s="16" t="str">
        <f>IF(ISBLANK(ENTRY!$K$15), "", _xlfn.CONCAT(TEXT(ENTRY!$K$15,"YYYY-MM-DD"), " 00:00:00"))</f>
        <v>2020-07-05 00:00:00</v>
      </c>
    </row>
    <row r="4" spans="1:7" x14ac:dyDescent="0.25">
      <c r="A4" s="16" t="str">
        <f>IF(OR(ISBLANK(ENTRY!$AA$8), ISBLANK(ENTRY!$AA$9)), "", _xlfn.CONCAT(TEXT(ENTRY!$AA$8,"YYYY-MM-DD"), " ", LEFT(TEXT(ENTRY!$AA$9,"0000"),2),":",RIGHT(TEXT(ENTRY!$AA$9,"0000"),2), ":00"))</f>
        <v>2020-06-23 07:30:00</v>
      </c>
      <c r="B4" s="16" t="s">
        <v>139</v>
      </c>
      <c r="C4" s="16" t="str">
        <f>IF(ISBLANK(ENTRY!$P$8), "", UPPER(ENTRY!$P$8))</f>
        <v>PLUTON</v>
      </c>
      <c r="D4" s="16" t="s">
        <v>50</v>
      </c>
      <c r="E4" s="16" t="str">
        <f>IF(ISBLANK(ENTRY!A16),"",ENTRY!A16)</f>
        <v>Barometer</v>
      </c>
      <c r="F4" s="21" t="str">
        <f>IF(ISBLANK(ENTRY!F16),"",ENTRY!F16)</f>
        <v>261829</v>
      </c>
      <c r="G4" s="16" t="str">
        <f>IF(ISBLANK(ENTRY!$K$16), "", _xlfn.CONCAT(TEXT(ENTRY!$K$16,"YYYY-MM-DD"), " 00:00:00"))</f>
        <v/>
      </c>
    </row>
    <row r="5" spans="1:7" x14ac:dyDescent="0.25">
      <c r="A5" s="16" t="str">
        <f>IF(OR(ISBLANK(ENTRY!$AA$8), ISBLANK(ENTRY!$AA$9)), "", _xlfn.CONCAT(TEXT(ENTRY!$AA$8,"YYYY-MM-DD"), " ", LEFT(TEXT(ENTRY!$AA$9,"0000"),2),":",RIGHT(TEXT(ENTRY!$AA$9,"0000"),2), ":00"))</f>
        <v>2020-06-23 07:30:00</v>
      </c>
      <c r="B5" s="16" t="s">
        <v>139</v>
      </c>
      <c r="C5" s="16" t="str">
        <f>IF(ISBLANK(ENTRY!$P$8), "", UPPER(ENTRY!$P$8))</f>
        <v>PLUTON</v>
      </c>
      <c r="D5" s="16" t="s">
        <v>50</v>
      </c>
      <c r="E5" s="16" t="str">
        <f>IF(OR(ENTRY!A17="addl. Instrument", ISBLANK(ENTRY!A17)),"",ENTRY!A17)</f>
        <v/>
      </c>
      <c r="F5" s="21" t="str">
        <f>IF(ISBLANK(ENTRY!F17),"",ENTRY!F17)</f>
        <v/>
      </c>
      <c r="G5" s="16" t="str">
        <f>IF(ISBLANK(ENTRY!K17),"",ENTRY!K17)</f>
        <v/>
      </c>
    </row>
    <row r="6" spans="1:7" x14ac:dyDescent="0.25">
      <c r="A6" s="16" t="str">
        <f>IF(OR(ISBLANK(ENTRY!$AA$8), ISBLANK(ENTRY!$AA$9)), "", _xlfn.CONCAT(TEXT(ENTRY!$AA$8,"YYYY-MM-DD"), " ", LEFT(TEXT(ENTRY!$AA$9,"0000"),2),":",RIGHT(TEXT(ENTRY!$AA$9,"0000"),2), ":00"))</f>
        <v>2020-06-23 07:30:00</v>
      </c>
      <c r="B6" s="16" t="s">
        <v>139</v>
      </c>
      <c r="C6" s="16" t="str">
        <f>IF(ISBLANK(ENTRY!$P$8), "", UPPER(ENTRY!$P$8))</f>
        <v>PLUTON</v>
      </c>
      <c r="D6" s="16" t="s">
        <v>50</v>
      </c>
      <c r="E6" s="16" t="str">
        <f>IF(OR(ENTRY!A18="addl. Instrument", ISBLANK(ENTRY!A18)),"",ENTRY!A18)</f>
        <v/>
      </c>
      <c r="F6" s="21" t="str">
        <f>IF(ISBLANK(ENTRY!F18),"",ENTRY!F18)</f>
        <v/>
      </c>
      <c r="G6" s="16" t="str">
        <f>IF(ISBLANK(ENTRY!K18),"",ENTRY!K18)</f>
        <v/>
      </c>
    </row>
  </sheetData>
  <sheetProtection sheet="1" objects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8F3BE-BE12-4C19-9A7E-8322AE43AE43}">
  <dimension ref="A1:G7"/>
  <sheetViews>
    <sheetView workbookViewId="0">
      <selection activeCell="A6" sqref="A6"/>
    </sheetView>
  </sheetViews>
  <sheetFormatPr defaultColWidth="9.140625" defaultRowHeight="15" x14ac:dyDescent="0.25"/>
  <cols>
    <col min="1" max="1" width="12" style="16" bestFit="1" customWidth="1"/>
    <col min="2" max="2" width="10.5703125" style="16" bestFit="1" customWidth="1"/>
    <col min="3" max="3" width="14.28515625" style="16" bestFit="1" customWidth="1"/>
    <col min="4" max="4" width="27.5703125" style="16" bestFit="1" customWidth="1"/>
    <col min="5" max="5" width="22" style="16" bestFit="1" customWidth="1"/>
    <col min="6" max="6" width="18.28515625" style="16" customWidth="1"/>
    <col min="7" max="7" width="18.85546875" style="16" bestFit="1" customWidth="1"/>
    <col min="8" max="16384" width="9.140625" style="16"/>
  </cols>
  <sheetData>
    <row r="1" spans="1:7" x14ac:dyDescent="0.25">
      <c r="A1" s="16" t="s">
        <v>97</v>
      </c>
      <c r="B1" s="16" t="s">
        <v>46</v>
      </c>
      <c r="C1" s="16" t="s">
        <v>69</v>
      </c>
      <c r="D1" s="16" t="s">
        <v>100</v>
      </c>
      <c r="E1" s="16" t="s">
        <v>152</v>
      </c>
      <c r="F1" s="16" t="s">
        <v>111</v>
      </c>
      <c r="G1" s="16" t="s">
        <v>112</v>
      </c>
    </row>
    <row r="2" spans="1:7" x14ac:dyDescent="0.25">
      <c r="A2" s="16" t="str">
        <f>IF(OR(ISBLANK(ENTRY!$AA$8), ISBLANK(ENTRY!$AA$9)), "", _xlfn.CONCAT(TEXT(ENTRY!$AA$8,"YYYY-MM-DD"), " ", LEFT(TEXT(ENTRY!$AA$9,"0000"),2),":",RIGHT(TEXT(ENTRY!$AA$9,"0000"),2), ":00"))</f>
        <v>2020-06-23 07:30:00</v>
      </c>
      <c r="B2" s="16" t="s">
        <v>139</v>
      </c>
      <c r="C2" s="16" t="str">
        <f>IF(ISBLANK(ENTRY!$P$8), "", UPPER(ENTRY!$P$8))</f>
        <v>PLUTON</v>
      </c>
      <c r="D2" s="16" t="s">
        <v>50</v>
      </c>
      <c r="E2" s="16" t="str">
        <f>IF(ISBLANK(ENTRY!P13),"",ENTRY!P13)</f>
        <v>Turbidity Standard</v>
      </c>
      <c r="F2" s="21" t="str">
        <f>IF(ISBLANK(ENTRY!V13), "", ENTRY!V13)</f>
        <v>21833</v>
      </c>
      <c r="G2" s="16" t="str">
        <f>IF(ISBLANK(ENTRY!$AA13), "", _xlfn.CONCAT(TEXT(ENTRY!$AA13,"YYYY-MM-DD"), " 00:00:00"))</f>
        <v>2021-01-15 00:00:00</v>
      </c>
    </row>
    <row r="3" spans="1:7" x14ac:dyDescent="0.25">
      <c r="A3" s="16" t="str">
        <f>IF(OR(ISBLANK(ENTRY!$AA$8), ISBLANK(ENTRY!$AA$9)), "", _xlfn.CONCAT(TEXT(ENTRY!$AA$8,"YYYY-MM-DD"), " ", LEFT(TEXT(ENTRY!$AA$9,"0000"),2),":",RIGHT(TEXT(ENTRY!$AA$9,"0000"),2), ":00"))</f>
        <v>2020-06-23 07:30:00</v>
      </c>
      <c r="B3" s="16" t="s">
        <v>139</v>
      </c>
      <c r="C3" s="16" t="str">
        <f>IF(ISBLANK(ENTRY!$P$8), "", UPPER(ENTRY!$P$8))</f>
        <v>PLUTON</v>
      </c>
      <c r="D3" s="16" t="s">
        <v>50</v>
      </c>
      <c r="E3" s="16" t="str">
        <f>IF(ISBLANK(ENTRY!P14),"",ENTRY!P14)</f>
        <v>Conductance Standard</v>
      </c>
      <c r="F3" s="21" t="str">
        <f>IF(ISBLANK(ENTRY!V14), "", ENTRY!V14)</f>
        <v>20700</v>
      </c>
      <c r="G3" s="16" t="str">
        <f>IF(ISBLANK(ENTRY!$AA14), "", _xlfn.CONCAT(TEXT(ENTRY!$AA14,"YYYY-MM-DD"), " 00:00:00"))</f>
        <v>2021-11-06 00:00:00</v>
      </c>
    </row>
    <row r="4" spans="1:7" x14ac:dyDescent="0.25">
      <c r="A4" s="16" t="str">
        <f>IF(OR(ISBLANK(ENTRY!$AA$8), ISBLANK(ENTRY!$AA$9)), "", _xlfn.CONCAT(TEXT(ENTRY!$AA$8,"YYYY-MM-DD"), " ", LEFT(TEXT(ENTRY!$AA$9,"0000"),2),":",RIGHT(TEXT(ENTRY!$AA$9,"0000"),2), ":00"))</f>
        <v>2020-06-23 07:30:00</v>
      </c>
      <c r="B4" s="16" t="s">
        <v>139</v>
      </c>
      <c r="C4" s="16" t="str">
        <f>IF(ISBLANK(ENTRY!$P$8), "", UPPER(ENTRY!$P$8))</f>
        <v>PLUTON</v>
      </c>
      <c r="D4" s="16" t="s">
        <v>50</v>
      </c>
      <c r="E4" s="16" t="str">
        <f>IF(ISBLANK(ENTRY!P15),"",ENTRY!P15)</f>
        <v>Conductance Check</v>
      </c>
      <c r="F4" s="21" t="str">
        <f>IF(ISBLANK(ENTRY!V15), "", ENTRY!V15)</f>
        <v>21860</v>
      </c>
      <c r="G4" s="16" t="str">
        <f>IF(ISBLANK(ENTRY!$AA15), "", _xlfn.CONCAT(TEXT(ENTRY!$AA15,"YYYY-MM-DD"), " 00:00:00"))</f>
        <v>2021-01-28 00:00:00</v>
      </c>
    </row>
    <row r="5" spans="1:7" x14ac:dyDescent="0.25">
      <c r="A5" s="16" t="str">
        <f>IF(OR(ISBLANK(ENTRY!$AA$8), ISBLANK(ENTRY!$AA$9)), "", _xlfn.CONCAT(TEXT(ENTRY!$AA$8,"YYYY-MM-DD"), " ", LEFT(TEXT(ENTRY!$AA$9,"0000"),2),":",RIGHT(TEXT(ENTRY!$AA$9,"0000"),2), ":00"))</f>
        <v>2020-06-23 07:30:00</v>
      </c>
      <c r="B5" s="16" t="s">
        <v>139</v>
      </c>
      <c r="C5" s="16" t="str">
        <f>IF(ISBLANK(ENTRY!$P$8), "", UPPER(ENTRY!$P$8))</f>
        <v>PLUTON</v>
      </c>
      <c r="D5" s="16" t="s">
        <v>50</v>
      </c>
      <c r="E5" s="16" t="str">
        <f>IF(ISBLANK(ENTRY!P16),"",ENTRY!P16)</f>
        <v>7 pH Standard</v>
      </c>
      <c r="F5" s="21" t="str">
        <f>IF(ISBLANK(ENTRY!V16), "", ENTRY!V16)</f>
        <v>A0037</v>
      </c>
      <c r="G5" s="16" t="str">
        <f>IF(ISBLANK(ENTRY!$AA16), "", _xlfn.CONCAT(TEXT(ENTRY!$AA16,"YYYY-MM-DD"), " 00:00:00"))</f>
        <v>2022-02-01 00:00:00</v>
      </c>
    </row>
    <row r="6" spans="1:7" x14ac:dyDescent="0.25">
      <c r="A6" s="16" t="str">
        <f>IF(OR(ISBLANK(ENTRY!$AA$8), ISBLANK(ENTRY!$AA$9)), "", _xlfn.CONCAT(TEXT(ENTRY!$AA$8,"YYYY-MM-DD"), " ", LEFT(TEXT(ENTRY!$AA$9,"0000"),2),":",RIGHT(TEXT(ENTRY!$AA$9,"0000"),2), ":00"))</f>
        <v>2020-06-23 07:30:00</v>
      </c>
      <c r="B6" s="16" t="s">
        <v>139</v>
      </c>
      <c r="C6" s="16" t="str">
        <f>IF(ISBLANK(ENTRY!$P$8), "", UPPER(ENTRY!$P$8))</f>
        <v>PLUTON</v>
      </c>
      <c r="D6" s="16" t="s">
        <v>50</v>
      </c>
      <c r="E6" s="16" t="str">
        <f>IF(ISBLANK(ENTRY!P17),"",ENTRY!P17)</f>
        <v>4 pH Standard</v>
      </c>
      <c r="F6" s="21" t="str">
        <f>IF(ISBLANK(ENTRY!V17), "", ENTRY!V17)</f>
        <v xml:space="preserve"> </v>
      </c>
      <c r="G6" s="16" t="str">
        <f>IF(ISBLANK(ENTRY!$AA17), "", _xlfn.CONCAT(TEXT(ENTRY!$AA17,"YYYY-MM-DD"), " 00:00:00"))</f>
        <v xml:space="preserve">  00:00:00</v>
      </c>
    </row>
    <row r="7" spans="1:7" x14ac:dyDescent="0.25">
      <c r="A7" s="16" t="str">
        <f>IF(OR(ISBLANK(ENTRY!$AA$8), ISBLANK(ENTRY!$AA$9)), "", _xlfn.CONCAT(TEXT(ENTRY!$AA$8,"YYYY-MM-DD"), " ", LEFT(TEXT(ENTRY!$AA$9,"0000"),2),":",RIGHT(TEXT(ENTRY!$AA$9,"0000"),2), ":00"))</f>
        <v>2020-06-23 07:30:00</v>
      </c>
      <c r="B7" s="16" t="s">
        <v>139</v>
      </c>
      <c r="C7" s="16" t="str">
        <f>IF(ISBLANK(ENTRY!$P$8), "", UPPER(ENTRY!$P$8))</f>
        <v>PLUTON</v>
      </c>
      <c r="D7" s="16" t="s">
        <v>50</v>
      </c>
      <c r="E7" s="16" t="str">
        <f>IF(ISBLANK(ENTRY!P18),"",ENTRY!P18)</f>
        <v>10 pH Standard</v>
      </c>
      <c r="F7" s="21" t="str">
        <f>IF(ISBLANK(ENTRY!V18), "", ENTRY!V18)</f>
        <v>A0016</v>
      </c>
      <c r="G7" s="16" t="str">
        <f>IF(ISBLANK(ENTRY!$AA18), "", _xlfn.CONCAT(TEXT(ENTRY!$AA18,"YYYY-MM-DD"), " 00:00:00"))</f>
        <v>2021-01-01 00:00:00</v>
      </c>
    </row>
  </sheetData>
  <sheetProtection sheet="1" objects="1" scenarios="1" selectLockedCells="1"/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1CA0E-5EF1-48D2-875F-73805F82E991}">
  <dimension ref="A1:M8"/>
  <sheetViews>
    <sheetView workbookViewId="0">
      <selection activeCell="B4" sqref="B4"/>
    </sheetView>
  </sheetViews>
  <sheetFormatPr defaultColWidth="22.28515625" defaultRowHeight="15" x14ac:dyDescent="0.25"/>
  <cols>
    <col min="1" max="1" width="27" bestFit="1" customWidth="1"/>
    <col min="3" max="5" width="5.7109375" customWidth="1"/>
    <col min="6" max="6" width="15.42578125" customWidth="1"/>
    <col min="7" max="7" width="21.42578125" bestFit="1" customWidth="1"/>
    <col min="8" max="8" width="12.28515625" bestFit="1" customWidth="1"/>
    <col min="9" max="9" width="20.85546875" bestFit="1" customWidth="1"/>
    <col min="10" max="10" width="21.140625" bestFit="1" customWidth="1"/>
    <col min="11" max="11" width="16.7109375" customWidth="1"/>
    <col min="12" max="12" width="15" customWidth="1"/>
    <col min="13" max="13" width="16.5703125" customWidth="1"/>
  </cols>
  <sheetData>
    <row r="1" spans="1:13" ht="63" x14ac:dyDescent="0.25">
      <c r="A1" s="23" t="s">
        <v>124</v>
      </c>
      <c r="F1" s="24" t="s">
        <v>125</v>
      </c>
      <c r="G1" s="24" t="s">
        <v>126</v>
      </c>
      <c r="H1" s="24" t="s">
        <v>127</v>
      </c>
      <c r="I1" s="24" t="s">
        <v>128</v>
      </c>
      <c r="J1" s="24" t="s">
        <v>129</v>
      </c>
      <c r="K1" s="24" t="s">
        <v>130</v>
      </c>
      <c r="L1" s="24" t="s">
        <v>131</v>
      </c>
      <c r="M1" s="24" t="s">
        <v>132</v>
      </c>
    </row>
    <row r="2" spans="1:13" ht="15.75" thickBot="1" x14ac:dyDescent="0.3">
      <c r="A2" t="s">
        <v>133</v>
      </c>
      <c r="B2" s="26">
        <f>ENTRY!AC36</f>
        <v>20.28</v>
      </c>
      <c r="F2" s="28">
        <f>B2+273.15</f>
        <v>293.42999999999995</v>
      </c>
      <c r="G2" s="28">
        <f>((5.572*10^-4)*B3)+((2.02*10^-9)*(B3^2))</f>
        <v>0</v>
      </c>
      <c r="H2" s="28">
        <f>B4/760</f>
        <v>0.99618421052631578</v>
      </c>
      <c r="I2" s="28">
        <f>EXP(11.8571-(3840.7/F2)-(216961/F2^2))</f>
        <v>2.3477325660037227E-2</v>
      </c>
      <c r="J2" s="28">
        <f>0.000975-(1.426*10^-5*B2)+(6.436*10^-8*B2^2)</f>
        <v>7.1227707782399994E-4</v>
      </c>
      <c r="K2" s="28">
        <f>EXP(-139.34411+((1.575701*10^5)/F2)-((6.642308*10^7)/F2^2)+((1.2438*10^10)/F2^3)-((8.621949*10^11)/F2^4))</f>
        <v>9.0421125068531634</v>
      </c>
      <c r="L2" s="28">
        <f>EXP((G2*-1)*(0.017674-(10.754/F2)+(2140.7/F2^2)))</f>
        <v>1</v>
      </c>
      <c r="M2" s="28">
        <f>((H2-I2)*(1-J2*H2))/((1-I2)*(1-J2))</f>
        <v>0.99609518143301357</v>
      </c>
    </row>
    <row r="3" spans="1:13" ht="15.75" thickTop="1" x14ac:dyDescent="0.25">
      <c r="A3" t="s">
        <v>134</v>
      </c>
      <c r="B3" s="27">
        <v>0</v>
      </c>
    </row>
    <row r="4" spans="1:13" ht="15.75" thickBot="1" x14ac:dyDescent="0.3">
      <c r="A4" t="s">
        <v>135</v>
      </c>
      <c r="B4" s="26">
        <f>ENTRY!AC35</f>
        <v>757.1</v>
      </c>
    </row>
    <row r="5" spans="1:13" ht="15.75" thickTop="1" x14ac:dyDescent="0.25"/>
    <row r="7" spans="1:13" ht="18.75" x14ac:dyDescent="0.3">
      <c r="G7" s="25" t="s">
        <v>136</v>
      </c>
      <c r="H7" s="29">
        <f>K2*L2*M2</f>
        <v>9.0068046980516225</v>
      </c>
      <c r="I7" s="25" t="s">
        <v>96</v>
      </c>
    </row>
    <row r="8" spans="1:13" ht="18.75" x14ac:dyDescent="0.3">
      <c r="H8" s="29">
        <f>100*Bar/760</f>
        <v>99.618421052631575</v>
      </c>
      <c r="I8" s="25" t="s">
        <v>94</v>
      </c>
    </row>
  </sheetData>
  <sheetProtection sheet="1" objects="1" scenarios="1" selectLockedCells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4102F3186C6B94F9CEC1AEB6999D58E" ma:contentTypeVersion="" ma:contentTypeDescription="Create a new document." ma:contentTypeScope="" ma:versionID="2c10f6a9c710849e3a17bd8e5be4b2f8">
  <xsd:schema xmlns:xsd="http://www.w3.org/2001/XMLSchema" xmlns:xs="http://www.w3.org/2001/XMLSchema" xmlns:p="http://schemas.microsoft.com/office/2006/metadata/properties" xmlns:ns2="d4a0068b-2d83-4e65-b818-ca2ee6cbcdf1" xmlns:ns3="3bb75e96-9b09-4480-8db1-4247edb47523" targetNamespace="http://schemas.microsoft.com/office/2006/metadata/properties" ma:root="true" ma:fieldsID="3792a3b715e048dca24157aceeba3158" ns2:_="" ns3:_="">
    <xsd:import namespace="d4a0068b-2d83-4e65-b818-ca2ee6cbcdf1"/>
    <xsd:import namespace="3bb75e96-9b09-4480-8db1-4247edb4752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a0068b-2d83-4e65-b818-ca2ee6cbcdf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bb75e96-9b09-4480-8db1-4247edb4752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C89389F-D2CD-43BB-8DD4-A99B0B7F5A8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656C65D-9C90-46BE-8CC5-3F970D2E5F45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d4a0068b-2d83-4e65-b818-ca2ee6cbcdf1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61394866-5DCB-442F-B6BB-D603007598A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ENTRY</vt:lpstr>
      <vt:lpstr>RESULT</vt:lpstr>
      <vt:lpstr>EVENT</vt:lpstr>
      <vt:lpstr>ACTION</vt:lpstr>
      <vt:lpstr>INSTRUMENT</vt:lpstr>
      <vt:lpstr>SOLUTION</vt:lpstr>
      <vt:lpstr>DOCALC</vt:lpstr>
      <vt:lpstr>Bar</vt:lpstr>
    </vt:vector>
  </TitlesOfParts>
  <Company>DWR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Koohafkan, Michael@DWR</dc:creator>
  <cp:lastModifiedBy>Pluton, Asha@DWR</cp:lastModifiedBy>
  <cp:lastPrinted>2019-07-24T18:12:33Z</cp:lastPrinted>
  <dcterms:created xsi:type="dcterms:W3CDTF">2019-07-22T22:57:07Z</dcterms:created>
  <dcterms:modified xsi:type="dcterms:W3CDTF">2020-06-23T16:15:36Z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0x01010034102F3186C6B94F9CEC1AEB6999D58E</vt:lpwstr>
  </property>
</Properties>
</file>