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562BCAC-E876-4C3B-B914-E24ED3133BAE}" xr6:coauthVersionLast="47" xr6:coauthVersionMax="47" xr10:uidLastSave="{00000000-0000-0000-0000-000000000000}"/>
  <workbookProtection workbookPassword="B70A" lockStructure="1"/>
  <bookViews>
    <workbookView xWindow="735" yWindow="735" windowWidth="21600" windowHeight="11505" tabRatio="855" xr2:uid="{B5B6AC92-4F19-42FB-BC97-2ACAFC5E9B1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1" i="1" l="1"/>
  <c r="I517" i="1"/>
  <c r="I516" i="1"/>
  <c r="L516" i="1" s="1"/>
  <c r="J512" i="1"/>
  <c r="L512" i="1" s="1"/>
  <c r="I512" i="1"/>
  <c r="H512" i="1"/>
  <c r="J511" i="1"/>
  <c r="I511" i="1"/>
  <c r="I514" i="1" s="1"/>
  <c r="I535" i="1" s="1"/>
  <c r="H511" i="1"/>
  <c r="H594" i="1"/>
  <c r="I201" i="1"/>
  <c r="I219" i="1"/>
  <c r="I221" i="1" s="1"/>
  <c r="I208" i="1"/>
  <c r="L208" i="1" s="1"/>
  <c r="I190" i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C19" i="10" s="1"/>
  <c r="L234" i="1"/>
  <c r="F16" i="13"/>
  <c r="G16" i="13"/>
  <c r="L201" i="1"/>
  <c r="L237" i="1"/>
  <c r="F5" i="13"/>
  <c r="F33" i="13" s="1"/>
  <c r="G5" i="13"/>
  <c r="L189" i="1"/>
  <c r="C10" i="10" s="1"/>
  <c r="L190" i="1"/>
  <c r="L191" i="1"/>
  <c r="L192" i="1"/>
  <c r="D5" i="13" s="1"/>
  <c r="L207" i="1"/>
  <c r="L209" i="1"/>
  <c r="L210" i="1"/>
  <c r="L225" i="1"/>
  <c r="L239" i="1" s="1"/>
  <c r="H650" i="1" s="1"/>
  <c r="H654" i="1" s="1"/>
  <c r="L226" i="1"/>
  <c r="L227" i="1"/>
  <c r="L228" i="1"/>
  <c r="F6" i="13"/>
  <c r="G6" i="13"/>
  <c r="L194" i="1"/>
  <c r="C15" i="10" s="1"/>
  <c r="L212" i="1"/>
  <c r="L230" i="1"/>
  <c r="F7" i="13"/>
  <c r="G7" i="13"/>
  <c r="D7" i="13" s="1"/>
  <c r="C7" i="13" s="1"/>
  <c r="L195" i="1"/>
  <c r="C16" i="10" s="1"/>
  <c r="L213" i="1"/>
  <c r="L231" i="1"/>
  <c r="C111" i="2" s="1"/>
  <c r="F12" i="13"/>
  <c r="G12" i="13"/>
  <c r="L197" i="1"/>
  <c r="D12" i="13" s="1"/>
  <c r="C12" i="13" s="1"/>
  <c r="L215" i="1"/>
  <c r="L233" i="1"/>
  <c r="F14" i="13"/>
  <c r="G14" i="13"/>
  <c r="D14" i="13" s="1"/>
  <c r="C14" i="13" s="1"/>
  <c r="L199" i="1"/>
  <c r="L217" i="1"/>
  <c r="L235" i="1"/>
  <c r="C20" i="10" s="1"/>
  <c r="F15" i="13"/>
  <c r="G15" i="13"/>
  <c r="L200" i="1"/>
  <c r="H637" i="1" s="1"/>
  <c r="L218" i="1"/>
  <c r="G640" i="1" s="1"/>
  <c r="J640" i="1" s="1"/>
  <c r="L236" i="1"/>
  <c r="F17" i="13"/>
  <c r="G17" i="13"/>
  <c r="D17" i="13" s="1"/>
  <c r="C17" i="13" s="1"/>
  <c r="L243" i="1"/>
  <c r="C106" i="2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1" i="1"/>
  <c r="L352" i="1"/>
  <c r="D29" i="13" s="1"/>
  <c r="C29" i="13" s="1"/>
  <c r="I359" i="1"/>
  <c r="J282" i="1"/>
  <c r="F31" i="13" s="1"/>
  <c r="J301" i="1"/>
  <c r="J320" i="1"/>
  <c r="K282" i="1"/>
  <c r="K301" i="1"/>
  <c r="K320" i="1"/>
  <c r="G31" i="13" s="1"/>
  <c r="L268" i="1"/>
  <c r="L269" i="1"/>
  <c r="L282" i="1" s="1"/>
  <c r="L270" i="1"/>
  <c r="L271" i="1"/>
  <c r="L273" i="1"/>
  <c r="L274" i="1"/>
  <c r="L275" i="1"/>
  <c r="E112" i="2" s="1"/>
  <c r="L276" i="1"/>
  <c r="L277" i="1"/>
  <c r="L278" i="1"/>
  <c r="L279" i="1"/>
  <c r="C21" i="10" s="1"/>
  <c r="L280" i="1"/>
  <c r="L287" i="1"/>
  <c r="L288" i="1"/>
  <c r="L301" i="1" s="1"/>
  <c r="L289" i="1"/>
  <c r="L290" i="1"/>
  <c r="L292" i="1"/>
  <c r="E110" i="2" s="1"/>
  <c r="L293" i="1"/>
  <c r="L294" i="1"/>
  <c r="L295" i="1"/>
  <c r="L296" i="1"/>
  <c r="L297" i="1"/>
  <c r="L298" i="1"/>
  <c r="L299" i="1"/>
  <c r="L306" i="1"/>
  <c r="L307" i="1"/>
  <c r="L308" i="1"/>
  <c r="L309" i="1"/>
  <c r="L320" i="1" s="1"/>
  <c r="L311" i="1"/>
  <c r="L312" i="1"/>
  <c r="L313" i="1"/>
  <c r="L314" i="1"/>
  <c r="L315" i="1"/>
  <c r="E114" i="2" s="1"/>
  <c r="L316" i="1"/>
  <c r="L317" i="1"/>
  <c r="L318" i="1"/>
  <c r="L325" i="1"/>
  <c r="E106" i="2" s="1"/>
  <c r="L326" i="1"/>
  <c r="L327" i="1"/>
  <c r="L252" i="1"/>
  <c r="H25" i="13" s="1"/>
  <c r="L253" i="1"/>
  <c r="C25" i="10" s="1"/>
  <c r="L333" i="1"/>
  <c r="L343" i="1" s="1"/>
  <c r="L334" i="1"/>
  <c r="L247" i="1"/>
  <c r="L328" i="1"/>
  <c r="F22" i="13" s="1"/>
  <c r="C22" i="13" s="1"/>
  <c r="C11" i="13"/>
  <c r="C10" i="13"/>
  <c r="C9" i="13"/>
  <c r="L353" i="1"/>
  <c r="B4" i="12"/>
  <c r="B36" i="12"/>
  <c r="C36" i="12"/>
  <c r="B40" i="12"/>
  <c r="C40" i="12"/>
  <c r="A40" i="12"/>
  <c r="B27" i="12"/>
  <c r="C27" i="12"/>
  <c r="B31" i="12"/>
  <c r="A31" i="12" s="1"/>
  <c r="C31" i="12"/>
  <c r="B9" i="12"/>
  <c r="A13" i="12" s="1"/>
  <c r="B13" i="12"/>
  <c r="C9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6" i="1"/>
  <c r="L397" i="1"/>
  <c r="L398" i="1"/>
  <c r="L399" i="1" s="1"/>
  <c r="C132" i="2" s="1"/>
  <c r="L258" i="1"/>
  <c r="J52" i="1"/>
  <c r="J104" i="1" s="1"/>
  <c r="G51" i="2"/>
  <c r="G54" i="2" s="1"/>
  <c r="G53" i="2"/>
  <c r="F2" i="11"/>
  <c r="L603" i="1"/>
  <c r="H653" i="1" s="1"/>
  <c r="L602" i="1"/>
  <c r="G653" i="1"/>
  <c r="L601" i="1"/>
  <c r="F653" i="1" s="1"/>
  <c r="I653" i="1" s="1"/>
  <c r="C40" i="10"/>
  <c r="F52" i="1"/>
  <c r="C48" i="2" s="1"/>
  <c r="C55" i="2" s="1"/>
  <c r="G52" i="1"/>
  <c r="G104" i="1" s="1"/>
  <c r="G185" i="1" s="1"/>
  <c r="G618" i="1" s="1"/>
  <c r="J618" i="1" s="1"/>
  <c r="H52" i="1"/>
  <c r="I52" i="1"/>
  <c r="F71" i="1"/>
  <c r="C49" i="2" s="1"/>
  <c r="C54" i="2" s="1"/>
  <c r="F86" i="1"/>
  <c r="F103" i="1"/>
  <c r="G103" i="1"/>
  <c r="H71" i="1"/>
  <c r="H104" i="1" s="1"/>
  <c r="H185" i="1" s="1"/>
  <c r="G619" i="1" s="1"/>
  <c r="J619" i="1" s="1"/>
  <c r="H86" i="1"/>
  <c r="E50" i="2" s="1"/>
  <c r="H103" i="1"/>
  <c r="I103" i="1"/>
  <c r="I104" i="1" s="1"/>
  <c r="I185" i="1" s="1"/>
  <c r="G620" i="1" s="1"/>
  <c r="J620" i="1" s="1"/>
  <c r="J103" i="1"/>
  <c r="C37" i="10"/>
  <c r="F113" i="1"/>
  <c r="F132" i="1" s="1"/>
  <c r="C38" i="10" s="1"/>
  <c r="F128" i="1"/>
  <c r="G113" i="1"/>
  <c r="G132" i="1" s="1"/>
  <c r="G128" i="1"/>
  <c r="H113" i="1"/>
  <c r="H128" i="1"/>
  <c r="H132" i="1"/>
  <c r="I113" i="1"/>
  <c r="I128" i="1"/>
  <c r="I132" i="1"/>
  <c r="J113" i="1"/>
  <c r="J132" i="1" s="1"/>
  <c r="J128" i="1"/>
  <c r="F139" i="1"/>
  <c r="F161" i="1" s="1"/>
  <c r="C39" i="10" s="1"/>
  <c r="F154" i="1"/>
  <c r="G139" i="1"/>
  <c r="G154" i="1"/>
  <c r="G161" i="1" s="1"/>
  <c r="H139" i="1"/>
  <c r="E77" i="2" s="1"/>
  <c r="E83" i="2" s="1"/>
  <c r="H154" i="1"/>
  <c r="H161" i="1" s="1"/>
  <c r="I139" i="1"/>
  <c r="F77" i="2" s="1"/>
  <c r="F83" i="2" s="1"/>
  <c r="I154" i="1"/>
  <c r="I161" i="1"/>
  <c r="C12" i="10"/>
  <c r="C13" i="10"/>
  <c r="C18" i="10"/>
  <c r="L242" i="1"/>
  <c r="C23" i="10" s="1"/>
  <c r="L324" i="1"/>
  <c r="L246" i="1"/>
  <c r="C24" i="10" s="1"/>
  <c r="L260" i="1"/>
  <c r="L261" i="1"/>
  <c r="L341" i="1"/>
  <c r="C26" i="10" s="1"/>
  <c r="L342" i="1"/>
  <c r="I655" i="1"/>
  <c r="I660" i="1"/>
  <c r="G651" i="1"/>
  <c r="H651" i="1"/>
  <c r="H652" i="1"/>
  <c r="I659" i="1"/>
  <c r="C6" i="10"/>
  <c r="C42" i="10"/>
  <c r="C32" i="10"/>
  <c r="L366" i="1"/>
  <c r="L367" i="1"/>
  <c r="L368" i="1"/>
  <c r="L369" i="1"/>
  <c r="L370" i="1"/>
  <c r="C29" i="10" s="1"/>
  <c r="L371" i="1"/>
  <c r="L372" i="1"/>
  <c r="B2" i="10"/>
  <c r="L336" i="1"/>
  <c r="L337" i="1"/>
  <c r="L338" i="1"/>
  <c r="L339" i="1"/>
  <c r="K343" i="1"/>
  <c r="L511" i="1"/>
  <c r="F539" i="1" s="1"/>
  <c r="L513" i="1"/>
  <c r="F541" i="1" s="1"/>
  <c r="K541" i="1" s="1"/>
  <c r="L517" i="1"/>
  <c r="G540" i="1"/>
  <c r="L518" i="1"/>
  <c r="G541" i="1" s="1"/>
  <c r="L521" i="1"/>
  <c r="H539" i="1"/>
  <c r="L522" i="1"/>
  <c r="L524" i="1" s="1"/>
  <c r="L523" i="1"/>
  <c r="H541" i="1" s="1"/>
  <c r="L526" i="1"/>
  <c r="I539" i="1"/>
  <c r="L527" i="1"/>
  <c r="L529" i="1" s="1"/>
  <c r="L528" i="1"/>
  <c r="I541" i="1"/>
  <c r="L531" i="1"/>
  <c r="J539" i="1" s="1"/>
  <c r="L532" i="1"/>
  <c r="J540" i="1" s="1"/>
  <c r="L533" i="1"/>
  <c r="J541" i="1" s="1"/>
  <c r="E124" i="2"/>
  <c r="E123" i="2"/>
  <c r="K262" i="1"/>
  <c r="J262" i="1"/>
  <c r="I262" i="1"/>
  <c r="H262" i="1"/>
  <c r="L262" i="1" s="1"/>
  <c r="G262" i="1"/>
  <c r="F262" i="1"/>
  <c r="C124" i="2"/>
  <c r="A1" i="2"/>
  <c r="A2" i="2"/>
  <c r="C9" i="2"/>
  <c r="C19" i="2" s="1"/>
  <c r="D9" i="2"/>
  <c r="E9" i="2"/>
  <c r="F9" i="2"/>
  <c r="I431" i="1"/>
  <c r="J9" i="1"/>
  <c r="G9" i="2" s="1"/>
  <c r="C10" i="2"/>
  <c r="D10" i="2"/>
  <c r="D19" i="2" s="1"/>
  <c r="E10" i="2"/>
  <c r="F10" i="2"/>
  <c r="I432" i="1"/>
  <c r="J10" i="1"/>
  <c r="G10" i="2" s="1"/>
  <c r="C11" i="2"/>
  <c r="C12" i="2"/>
  <c r="D12" i="2"/>
  <c r="E12" i="2"/>
  <c r="E19" i="2" s="1"/>
  <c r="F12" i="2"/>
  <c r="I433" i="1"/>
  <c r="J12" i="1"/>
  <c r="G12" i="2" s="1"/>
  <c r="C13" i="2"/>
  <c r="D13" i="2"/>
  <c r="E13" i="2"/>
  <c r="F13" i="2"/>
  <c r="F19" i="2" s="1"/>
  <c r="I434" i="1"/>
  <c r="J13" i="1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/>
  <c r="G22" i="2" s="1"/>
  <c r="G32" i="2" s="1"/>
  <c r="C23" i="2"/>
  <c r="D23" i="2"/>
  <c r="D32" i="2" s="1"/>
  <c r="E23" i="2"/>
  <c r="E32" i="2" s="1"/>
  <c r="F23" i="2"/>
  <c r="F32" i="2" s="1"/>
  <c r="F43" i="2" s="1"/>
  <c r="I441" i="1"/>
  <c r="I444" i="1" s="1"/>
  <c r="J24" i="1"/>
  <c r="G23" i="2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C32" i="2" s="1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D34" i="2"/>
  <c r="E34" i="2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D42" i="2" s="1"/>
  <c r="D43" i="2" s="1"/>
  <c r="E37" i="2"/>
  <c r="F37" i="2"/>
  <c r="I447" i="1"/>
  <c r="J38" i="1" s="1"/>
  <c r="G37" i="2" s="1"/>
  <c r="C38" i="2"/>
  <c r="D38" i="2"/>
  <c r="E38" i="2"/>
  <c r="E42" i="2" s="1"/>
  <c r="E43" i="2" s="1"/>
  <c r="F38" i="2"/>
  <c r="I448" i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F42" i="2"/>
  <c r="D48" i="2"/>
  <c r="E48" i="2"/>
  <c r="F48" i="2"/>
  <c r="E49" i="2"/>
  <c r="C50" i="2"/>
  <c r="C51" i="2"/>
  <c r="D51" i="2"/>
  <c r="E51" i="2"/>
  <c r="F51" i="2"/>
  <c r="F54" i="2" s="1"/>
  <c r="D52" i="2"/>
  <c r="C53" i="2"/>
  <c r="D53" i="2"/>
  <c r="E53" i="2"/>
  <c r="F53" i="2"/>
  <c r="D54" i="2"/>
  <c r="D55" i="2"/>
  <c r="C58" i="2"/>
  <c r="C62" i="2" s="1"/>
  <c r="C59" i="2"/>
  <c r="C61" i="2"/>
  <c r="D61" i="2"/>
  <c r="D62" i="2" s="1"/>
  <c r="D73" i="2" s="1"/>
  <c r="D96" i="2" s="1"/>
  <c r="E61" i="2"/>
  <c r="F61" i="2"/>
  <c r="F62" i="2" s="1"/>
  <c r="G61" i="2"/>
  <c r="E62" i="2"/>
  <c r="G62" i="2"/>
  <c r="C64" i="2"/>
  <c r="C70" i="2" s="1"/>
  <c r="F64" i="2"/>
  <c r="C65" i="2"/>
  <c r="F65" i="2"/>
  <c r="C66" i="2"/>
  <c r="C67" i="2"/>
  <c r="C68" i="2"/>
  <c r="E68" i="2"/>
  <c r="F68" i="2"/>
  <c r="C69" i="2"/>
  <c r="D69" i="2"/>
  <c r="E69" i="2"/>
  <c r="F69" i="2"/>
  <c r="F70" i="2" s="1"/>
  <c r="G69" i="2"/>
  <c r="G70" i="2" s="1"/>
  <c r="G73" i="2" s="1"/>
  <c r="D70" i="2"/>
  <c r="E70" i="2"/>
  <c r="E73" i="2" s="1"/>
  <c r="C71" i="2"/>
  <c r="D71" i="2"/>
  <c r="E71" i="2"/>
  <c r="C72" i="2"/>
  <c r="E72" i="2"/>
  <c r="C77" i="2"/>
  <c r="D77" i="2"/>
  <c r="C79" i="2"/>
  <c r="E79" i="2"/>
  <c r="F79" i="2"/>
  <c r="C80" i="2"/>
  <c r="D80" i="2"/>
  <c r="D83" i="2" s="1"/>
  <c r="E80" i="2"/>
  <c r="F80" i="2"/>
  <c r="C81" i="2"/>
  <c r="D81" i="2"/>
  <c r="E81" i="2"/>
  <c r="F81" i="2"/>
  <c r="C82" i="2"/>
  <c r="C83" i="2"/>
  <c r="C85" i="2"/>
  <c r="C95" i="2" s="1"/>
  <c r="F85" i="2"/>
  <c r="C86" i="2"/>
  <c r="F86" i="2"/>
  <c r="F95" i="2" s="1"/>
  <c r="D88" i="2"/>
  <c r="D95" i="2" s="1"/>
  <c r="E88" i="2"/>
  <c r="F88" i="2"/>
  <c r="G88" i="2"/>
  <c r="C89" i="2"/>
  <c r="D89" i="2"/>
  <c r="E89" i="2"/>
  <c r="F89" i="2"/>
  <c r="G89" i="2"/>
  <c r="G95" i="2" s="1"/>
  <c r="C90" i="2"/>
  <c r="D90" i="2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C103" i="2"/>
  <c r="E103" i="2"/>
  <c r="C105" i="2"/>
  <c r="E105" i="2"/>
  <c r="D107" i="2"/>
  <c r="F107" i="2"/>
  <c r="G107" i="2"/>
  <c r="G137" i="2" s="1"/>
  <c r="C110" i="2"/>
  <c r="E111" i="2"/>
  <c r="C112" i="2"/>
  <c r="E113" i="2"/>
  <c r="C114" i="2"/>
  <c r="E115" i="2"/>
  <c r="C116" i="2"/>
  <c r="E117" i="2"/>
  <c r="D119" i="2"/>
  <c r="D120" i="2" s="1"/>
  <c r="F120" i="2"/>
  <c r="G120" i="2"/>
  <c r="C122" i="2"/>
  <c r="E122" i="2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/>
  <c r="E129" i="2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B153" i="2"/>
  <c r="G490" i="1"/>
  <c r="C153" i="2" s="1"/>
  <c r="H490" i="1"/>
  <c r="D153" i="2" s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K493" i="1" s="1"/>
  <c r="H493" i="1"/>
  <c r="D156" i="2" s="1"/>
  <c r="I493" i="1"/>
  <c r="E156" i="2"/>
  <c r="J493" i="1"/>
  <c r="F156" i="2"/>
  <c r="F19" i="1"/>
  <c r="G19" i="1"/>
  <c r="G608" i="1" s="1"/>
  <c r="J608" i="1" s="1"/>
  <c r="H19" i="1"/>
  <c r="G609" i="1" s="1"/>
  <c r="J609" i="1" s="1"/>
  <c r="I19" i="1"/>
  <c r="F33" i="1"/>
  <c r="G33" i="1"/>
  <c r="H33" i="1"/>
  <c r="I33" i="1"/>
  <c r="F43" i="1"/>
  <c r="G612" i="1" s="1"/>
  <c r="G43" i="1"/>
  <c r="G613" i="1" s="1"/>
  <c r="J613" i="1" s="1"/>
  <c r="H43" i="1"/>
  <c r="H44" i="1" s="1"/>
  <c r="H609" i="1" s="1"/>
  <c r="I43" i="1"/>
  <c r="I44" i="1" s="1"/>
  <c r="H610" i="1" s="1"/>
  <c r="F44" i="1"/>
  <c r="G44" i="1"/>
  <c r="H608" i="1" s="1"/>
  <c r="F169" i="1"/>
  <c r="F184" i="1" s="1"/>
  <c r="I169" i="1"/>
  <c r="F175" i="1"/>
  <c r="G175" i="1"/>
  <c r="H175" i="1"/>
  <c r="H184" i="1" s="1"/>
  <c r="I175" i="1"/>
  <c r="I184" i="1" s="1"/>
  <c r="J175" i="1"/>
  <c r="F180" i="1"/>
  <c r="G180" i="1"/>
  <c r="H180" i="1"/>
  <c r="I180" i="1"/>
  <c r="G184" i="1"/>
  <c r="J184" i="1"/>
  <c r="F203" i="1"/>
  <c r="F249" i="1" s="1"/>
  <c r="F263" i="1" s="1"/>
  <c r="G203" i="1"/>
  <c r="H203" i="1"/>
  <c r="I203" i="1"/>
  <c r="J203" i="1"/>
  <c r="K203" i="1"/>
  <c r="F221" i="1"/>
  <c r="G221" i="1"/>
  <c r="G249" i="1" s="1"/>
  <c r="G263" i="1" s="1"/>
  <c r="H221" i="1"/>
  <c r="J221" i="1"/>
  <c r="J249" i="1" s="1"/>
  <c r="K221" i="1"/>
  <c r="K249" i="1" s="1"/>
  <c r="K263" i="1" s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H249" i="1"/>
  <c r="H263" i="1" s="1"/>
  <c r="F282" i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L329" i="1"/>
  <c r="F330" i="1"/>
  <c r="F344" i="1" s="1"/>
  <c r="J330" i="1"/>
  <c r="J344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I400" i="1" s="1"/>
  <c r="F399" i="1"/>
  <c r="G399" i="1"/>
  <c r="H399" i="1"/>
  <c r="I399" i="1"/>
  <c r="F400" i="1"/>
  <c r="G400" i="1"/>
  <c r="H400" i="1"/>
  <c r="H634" i="1" s="1"/>
  <c r="L405" i="1"/>
  <c r="L406" i="1"/>
  <c r="L407" i="1"/>
  <c r="L411" i="1" s="1"/>
  <c r="L426" i="1" s="1"/>
  <c r="G628" i="1" s="1"/>
  <c r="J628" i="1" s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26" i="1"/>
  <c r="J426" i="1"/>
  <c r="F438" i="1"/>
  <c r="G629" i="1" s="1"/>
  <c r="J629" i="1" s="1"/>
  <c r="G438" i="1"/>
  <c r="H438" i="1"/>
  <c r="F444" i="1"/>
  <c r="F451" i="1" s="1"/>
  <c r="H629" i="1" s="1"/>
  <c r="G444" i="1"/>
  <c r="G451" i="1" s="1"/>
  <c r="H630" i="1" s="1"/>
  <c r="H444" i="1"/>
  <c r="H451" i="1" s="1"/>
  <c r="H631" i="1" s="1"/>
  <c r="F450" i="1"/>
  <c r="G450" i="1"/>
  <c r="H450" i="1"/>
  <c r="F460" i="1"/>
  <c r="G460" i="1"/>
  <c r="G466" i="1" s="1"/>
  <c r="H613" i="1" s="1"/>
  <c r="H460" i="1"/>
  <c r="H466" i="1" s="1"/>
  <c r="H614" i="1" s="1"/>
  <c r="I460" i="1"/>
  <c r="J460" i="1"/>
  <c r="F464" i="1"/>
  <c r="G464" i="1"/>
  <c r="H464" i="1"/>
  <c r="I464" i="1"/>
  <c r="J464" i="1"/>
  <c r="F466" i="1"/>
  <c r="H612" i="1" s="1"/>
  <c r="I466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H535" i="1" s="1"/>
  <c r="J514" i="1"/>
  <c r="J535" i="1" s="1"/>
  <c r="K514" i="1"/>
  <c r="K535" i="1" s="1"/>
  <c r="F519" i="1"/>
  <c r="F535" i="1" s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48" i="1"/>
  <c r="L549" i="1"/>
  <c r="F550" i="1"/>
  <c r="F561" i="1" s="1"/>
  <c r="G550" i="1"/>
  <c r="G561" i="1" s="1"/>
  <c r="H550" i="1"/>
  <c r="I550" i="1"/>
  <c r="J550" i="1"/>
  <c r="K550" i="1"/>
  <c r="K561" i="1" s="1"/>
  <c r="L552" i="1"/>
  <c r="L555" i="1" s="1"/>
  <c r="L553" i="1"/>
  <c r="L554" i="1"/>
  <c r="F555" i="1"/>
  <c r="G555" i="1"/>
  <c r="H555" i="1"/>
  <c r="H561" i="1" s="1"/>
  <c r="I555" i="1"/>
  <c r="I561" i="1" s="1"/>
  <c r="J555" i="1"/>
  <c r="K555" i="1"/>
  <c r="L557" i="1"/>
  <c r="L560" i="1" s="1"/>
  <c r="L558" i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I588" i="1"/>
  <c r="H640" i="1" s="1"/>
  <c r="J588" i="1"/>
  <c r="H641" i="1" s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H607" i="1"/>
  <c r="G610" i="1"/>
  <c r="J610" i="1" s="1"/>
  <c r="G614" i="1"/>
  <c r="J614" i="1" s="1"/>
  <c r="G615" i="1"/>
  <c r="J615" i="1" s="1"/>
  <c r="H615" i="1"/>
  <c r="H617" i="1"/>
  <c r="H618" i="1"/>
  <c r="H619" i="1"/>
  <c r="H620" i="1"/>
  <c r="H621" i="1"/>
  <c r="H622" i="1"/>
  <c r="H623" i="1"/>
  <c r="H625" i="1"/>
  <c r="G626" i="1"/>
  <c r="J626" i="1" s="1"/>
  <c r="H626" i="1"/>
  <c r="H627" i="1"/>
  <c r="H628" i="1"/>
  <c r="G630" i="1"/>
  <c r="G631" i="1"/>
  <c r="J631" i="1" s="1"/>
  <c r="G633" i="1"/>
  <c r="H633" i="1"/>
  <c r="J633" i="1"/>
  <c r="G634" i="1"/>
  <c r="J634" i="1" s="1"/>
  <c r="G635" i="1"/>
  <c r="J635" i="1" s="1"/>
  <c r="H635" i="1"/>
  <c r="G639" i="1"/>
  <c r="J639" i="1" s="1"/>
  <c r="H639" i="1"/>
  <c r="G641" i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/>
  <c r="D137" i="2" l="1"/>
  <c r="E54" i="2"/>
  <c r="E55" i="2" s="1"/>
  <c r="E96" i="2" s="1"/>
  <c r="L561" i="1"/>
  <c r="H638" i="1"/>
  <c r="J638" i="1" s="1"/>
  <c r="J263" i="1"/>
  <c r="G153" i="2"/>
  <c r="F55" i="2"/>
  <c r="F96" i="2" s="1"/>
  <c r="F73" i="2"/>
  <c r="C73" i="2"/>
  <c r="G36" i="2"/>
  <c r="G42" i="2" s="1"/>
  <c r="G43" i="2" s="1"/>
  <c r="J43" i="1"/>
  <c r="C43" i="2"/>
  <c r="G19" i="2"/>
  <c r="H33" i="13"/>
  <c r="C25" i="13"/>
  <c r="J185" i="1"/>
  <c r="G33" i="13"/>
  <c r="L330" i="1"/>
  <c r="L344" i="1" s="1"/>
  <c r="G623" i="1" s="1"/>
  <c r="J623" i="1" s="1"/>
  <c r="D31" i="13"/>
  <c r="C31" i="13" s="1"/>
  <c r="J630" i="1"/>
  <c r="J612" i="1"/>
  <c r="C8" i="13"/>
  <c r="C96" i="2"/>
  <c r="E16" i="13"/>
  <c r="C16" i="13" s="1"/>
  <c r="I249" i="1"/>
  <c r="I263" i="1" s="1"/>
  <c r="H662" i="1"/>
  <c r="H657" i="1"/>
  <c r="J19" i="1"/>
  <c r="G611" i="1" s="1"/>
  <c r="G13" i="2"/>
  <c r="L514" i="1"/>
  <c r="L535" i="1" s="1"/>
  <c r="F540" i="1"/>
  <c r="K540" i="1" s="1"/>
  <c r="J542" i="1"/>
  <c r="L400" i="1"/>
  <c r="C130" i="2"/>
  <c r="C133" i="2" s="1"/>
  <c r="G539" i="1"/>
  <c r="G542" i="1" s="1"/>
  <c r="L519" i="1"/>
  <c r="F137" i="2"/>
  <c r="K539" i="1"/>
  <c r="K542" i="1" s="1"/>
  <c r="F542" i="1"/>
  <c r="C5" i="13"/>
  <c r="C102" i="2"/>
  <c r="C11" i="10"/>
  <c r="C101" i="2"/>
  <c r="C107" i="2" s="1"/>
  <c r="G652" i="1"/>
  <c r="L203" i="1"/>
  <c r="C35" i="10"/>
  <c r="E134" i="2"/>
  <c r="E136" i="2" s="1"/>
  <c r="C113" i="2"/>
  <c r="C120" i="2" s="1"/>
  <c r="F652" i="1"/>
  <c r="I652" i="1" s="1"/>
  <c r="D15" i="13"/>
  <c r="C15" i="13" s="1"/>
  <c r="D6" i="13"/>
  <c r="C6" i="13" s="1"/>
  <c r="J607" i="1"/>
  <c r="H540" i="1"/>
  <c r="H542" i="1" s="1"/>
  <c r="L219" i="1"/>
  <c r="C117" i="2" s="1"/>
  <c r="C156" i="2"/>
  <c r="G156" i="2" s="1"/>
  <c r="L604" i="1"/>
  <c r="E104" i="2"/>
  <c r="F651" i="1"/>
  <c r="I651" i="1" s="1"/>
  <c r="G48" i="2"/>
  <c r="G55" i="2" s="1"/>
  <c r="G96" i="2" s="1"/>
  <c r="L354" i="1"/>
  <c r="I438" i="1"/>
  <c r="G632" i="1" s="1"/>
  <c r="E116" i="2"/>
  <c r="E120" i="2" s="1"/>
  <c r="C104" i="2"/>
  <c r="E13" i="13"/>
  <c r="C13" i="13" s="1"/>
  <c r="F122" i="2"/>
  <c r="F136" i="2" s="1"/>
  <c r="C123" i="2"/>
  <c r="C136" i="2" s="1"/>
  <c r="I540" i="1"/>
  <c r="I542" i="1" s="1"/>
  <c r="F104" i="1"/>
  <c r="F185" i="1" s="1"/>
  <c r="G617" i="1" s="1"/>
  <c r="J617" i="1" s="1"/>
  <c r="C115" i="2"/>
  <c r="E102" i="2"/>
  <c r="E107" i="2" s="1"/>
  <c r="I450" i="1"/>
  <c r="I451" i="1" s="1"/>
  <c r="H632" i="1" s="1"/>
  <c r="K330" i="1"/>
  <c r="K344" i="1" s="1"/>
  <c r="J33" i="1"/>
  <c r="E137" i="2" l="1"/>
  <c r="G627" i="1"/>
  <c r="J627" i="1" s="1"/>
  <c r="H636" i="1"/>
  <c r="J632" i="1"/>
  <c r="G625" i="1"/>
  <c r="J625" i="1" s="1"/>
  <c r="C27" i="10"/>
  <c r="J611" i="1"/>
  <c r="C137" i="2"/>
  <c r="D33" i="13"/>
  <c r="D36" i="13" s="1"/>
  <c r="C36" i="10"/>
  <c r="G616" i="1"/>
  <c r="J616" i="1" s="1"/>
  <c r="J44" i="1"/>
  <c r="H611" i="1" s="1"/>
  <c r="C17" i="10"/>
  <c r="L249" i="1"/>
  <c r="L263" i="1" s="1"/>
  <c r="G622" i="1" s="1"/>
  <c r="J622" i="1" s="1"/>
  <c r="F650" i="1"/>
  <c r="H646" i="1"/>
  <c r="E33" i="13"/>
  <c r="D35" i="13" s="1"/>
  <c r="G621" i="1"/>
  <c r="J621" i="1" s="1"/>
  <c r="G636" i="1"/>
  <c r="L221" i="1"/>
  <c r="G650" i="1" s="1"/>
  <c r="G654" i="1" s="1"/>
  <c r="J636" i="1" l="1"/>
  <c r="F654" i="1"/>
  <c r="I650" i="1"/>
  <c r="I654" i="1" s="1"/>
  <c r="G657" i="1"/>
  <c r="G662" i="1"/>
  <c r="C5" i="10" s="1"/>
  <c r="D36" i="10"/>
  <c r="C28" i="10"/>
  <c r="C41" i="10"/>
  <c r="D39" i="10" l="1"/>
  <c r="D38" i="10"/>
  <c r="D40" i="10"/>
  <c r="D37" i="10"/>
  <c r="D35" i="10"/>
  <c r="C30" i="10"/>
  <c r="D22" i="10"/>
  <c r="D19" i="10"/>
  <c r="D20" i="10"/>
  <c r="D23" i="10"/>
  <c r="D13" i="10"/>
  <c r="D16" i="10"/>
  <c r="D24" i="10"/>
  <c r="D26" i="10"/>
  <c r="D25" i="10"/>
  <c r="D21" i="10"/>
  <c r="D15" i="10"/>
  <c r="D10" i="10"/>
  <c r="D18" i="10"/>
  <c r="D12" i="10"/>
  <c r="D11" i="10"/>
  <c r="D27" i="10"/>
  <c r="I662" i="1"/>
  <c r="C7" i="10" s="1"/>
  <c r="I657" i="1"/>
  <c r="F662" i="1"/>
  <c r="C4" i="10" s="1"/>
  <c r="F657" i="1"/>
  <c r="D17" i="10"/>
  <c r="D28" i="10" l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416E61C-FF00-44FD-ACA9-9884589F2F4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AD7B672-ECA2-4C98-8E5C-42409E5A43E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28443F1-7359-4CCD-92C5-700557D01F6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8AD1A9B-F436-4E14-B850-33D13504268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F62B356-2503-4DC5-8D54-ACD82096A35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425D934-179C-4277-B8D5-F71087D0F30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14F4BA6-5EF4-47F3-B9FA-8EA5949786E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FA9E28D-9C31-45E0-9C09-62D5F9232D4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63B1546-157C-4CD4-B14F-6D189547EFE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90B65E6-6E8D-43EE-BDB0-28E99E7FB96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8DC49FE-E508-4A32-A212-E565A77A0E01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C0D7AF5-5A9B-4C3F-B416-8949BD64EEB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<sst xmlns="http://schemas.openxmlformats.org/spreadsheetml/2006/main" count="3864" uniqueCount="900">
  <si>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</si>
  <si>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</si>
  <si>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</si>
  <si>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</si>
  <si>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</si>
  <si>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</si>
  <si>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</si>
  <si>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</si>
  <si>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</si>
  <si>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</si>
  <si>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</si>
  <si>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</si>
  <si>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</si>
  <si>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</si>
  <si>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</si>
  <si>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</si>
  <si>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</si>
  <si>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</si>
  <si>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</si>
  <si>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</si>
  <si>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</si>
  <si>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</si>
  <si>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</si>
  <si>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</si>
  <si>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</si>
  <si>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</si>
  <si>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</si>
  <si>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</si>
  <si>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</si>
  <si>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</si>
  <si>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</si>
  <si>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</si>
  <si>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</si>
  <si>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</si>
  <si>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</si>
  <si>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</si>
  <si>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</si>
  <si>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</si>
  <si>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</si>
  <si>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</si>
  <si>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</si>
  <si>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</si>
  <si>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</si>
  <si>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</si>
  <si>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</si>
  <si>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</si>
  <si>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</si>
  <si>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</si>
  <si>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</si>
  <si>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</si>
  <si>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</si>
  <si>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</si>
  <si>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</si>
  <si>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</si>
  <si>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</si>
  <si>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</si>
  <si>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</si>
  <si>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</si>
  <si>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</si>
  <si>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</si>
  <si>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</si>
  <si>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</si>
  <si>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</si>
  <si>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</si>
  <si>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</si>
  <si>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</si>
  <si>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</si>
  <si>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</si>
  <si>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</si>
  <si>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</si>
  <si>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</si>
  <si>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</si>
  <si>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</si>
  <si>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</si>
  <si>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</si>
  <si>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</si>
  <si>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</si>
  <si>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</si>
  <si>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</si>
  <si>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</si>
  <si>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</si>
  <si>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</si>
  <si>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</si>
  <si>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</si>
  <si>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</si>
  <si>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</si>
  <si>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</si>
  <si>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</si>
  <si>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</si>
  <si>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</si>
  <si>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</si>
  <si>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</si>
  <si>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</si>
  <si>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</si>
  <si>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</si>
  <si>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</si>
  <si>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</si>
  <si>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</si>
  <si>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</si>
  <si>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</si>
  <si>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</si>
  <si>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</si>
  <si>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</si>
  <si>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</si>
  <si>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</si>
  <si>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</si>
  <si>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</si>
  <si>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</si>
  <si>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</si>
  <si>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</si>
  <si>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</si>
  <si>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</si>
  <si>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</si>
  <si>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</si>
  <si>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</si>
  <si>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</si>
  <si>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</si>
  <si>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</si>
  <si>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</si>
  <si>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</si>
  <si>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</si>
  <si>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</si>
  <si>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</si>
  <si>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</si>
  <si>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</si>
  <si>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</si>
  <si>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</si>
  <si>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</si>
  <si>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</si>
  <si>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</si>
  <si>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</si>
  <si>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</si>
  <si>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</si>
  <si>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</si>
  <si>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</si>
  <si>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</si>
  <si>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</si>
  <si>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</si>
  <si>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</si>
  <si>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</si>
  <si>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</si>
  <si>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</si>
  <si>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</si>
  <si>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</si>
  <si>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</si>
  <si>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</si>
  <si>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</si>
  <si>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</si>
  <si>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</si>
  <si>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</si>
  <si>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</si>
  <si>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</si>
  <si>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</si>
  <si>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</si>
  <si>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</si>
  <si>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</si>
  <si>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</si>
  <si>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</si>
  <si>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</si>
  <si>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</si>
  <si>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</si>
  <si>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</si>
  <si>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</si>
  <si>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</si>
  <si>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</si>
  <si>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</si>
  <si>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</si>
  <si>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</si>
  <si>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</si>
  <si>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</si>
  <si>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</si>
  <si>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</si>
  <si>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</si>
  <si>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</si>
  <si>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</si>
  <si>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</si>
  <si>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</si>
  <si>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</si>
  <si>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</si>
  <si>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</si>
  <si>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</si>
  <si>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</si>
  <si>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</si>
  <si>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</si>
  <si>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</si>
  <si>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</si>
  <si>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</si>
  <si>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</si>
  <si>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</si>
  <si>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</si>
  <si>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</si>
  <si>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</si>
  <si>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</si>
  <si>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</si>
  <si>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</si>
  <si>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</si>
  <si>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</si>
  <si>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</si>
  <si>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</si>
  <si>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</si>
  <si>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</si>
  <si>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</si>
  <si>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</si>
  <si>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</si>
  <si>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</si>
  <si>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</si>
  <si>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</si>
  <si>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</si>
  <si>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</si>
  <si>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</si>
  <si>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</si>
  <si>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</si>
  <si>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</si>
  <si>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</si>
  <si>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</si>
  <si>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</si>
  <si>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</si>
  <si>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</si>
  <si>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</si>
  <si>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</si>
  <si>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</si>
  <si>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</si>
  <si>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</si>
  <si>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</si>
  <si>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</si>
  <si>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</si>
  <si>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</si>
  <si>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</si>
  <si>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</si>
  <si>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</si>
  <si>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</si>
  <si>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</si>
  <si>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</si>
  <si>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</si>
  <si>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</si>
  <si>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</si>
  <si>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</si>
  <si>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</si>
  <si>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</si>
  <si>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</si>
  <si>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</si>
  <si>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</si>
  <si>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</si>
  <si>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</si>
  <si>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</si>
  <si>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</si>
  <si>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</si>
  <si>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</si>
  <si>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</si>
  <si>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</si>
  <si>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</si>
  <si>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</si>
  <si>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</si>
  <si>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</si>
  <si>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</si>
  <si>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</si>
  <si>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</si>
  <si>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</si>
  <si>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</si>
  <si>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</si>
  <si>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</si>
  <si>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</si>
  <si>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</si>
  <si>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</si>
  <si>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</si>
  <si>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</si>
  <si>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</si>
  <si>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</si>
  <si>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</si>
  <si>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</si>
  <si>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</si>
  <si>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</si>
  <si>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</si>
  <si>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</si>
  <si>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</si>
  <si>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</si>
  <si>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</si>
  <si>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</si>
  <si>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</si>
  <si>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</si>
  <si>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</si>
  <si>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</si>
  <si>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</si>
  <si>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</si>
  <si>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</si>
  <si>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</si>
  <si>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</si>
  <si>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</si>
  <si>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</si>
  <si>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</si>
  <si>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</si>
  <si>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</si>
  <si>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</si>
  <si>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</si>
  <si>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</si>
  <si>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</si>
  <si>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</si>
  <si>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</si>
  <si>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</si>
  <si>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</si>
  <si>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</si>
  <si>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</si>
  <si>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</si>
  <si>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</si>
  <si>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</si>
  <si>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</si>
  <si>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</si>
  <si>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</si>
  <si>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</si>
  <si>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</si>
  <si>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</si>
  <si>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</si>
  <si>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</si>
  <si>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</si>
  <si>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</si>
  <si>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</si>
  <si>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</si>
  <si>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</si>
  <si>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</si>
  <si>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</si>
  <si>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</si>
  <si>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</si>
  <si>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</si>
  <si>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</si>
  <si>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</si>
  <si>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</si>
  <si>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</si>
  <si>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</si>
  <si>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</si>
  <si>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</si>
  <si>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</si>
  <si>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</si>
  <si>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</si>
  <si>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</si>
  <si>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</si>
  <si>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</si>
  <si>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</si>
  <si>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</si>
  <si>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</si>
  <si>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</si>
  <si>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</si>
  <si>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</si>
  <si>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</si>
  <si>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</si>
  <si>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</si>
  <si>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</si>
  <si>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</si>
  <si>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</si>
  <si>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</si>
  <si>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</si>
  <si>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</si>
  <si>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</si>
  <si>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</si>
  <si>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</si>
  <si>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</si>
  <si>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</si>
  <si>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</si>
  <si>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</si>
  <si>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</si>
  <si>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</si>
  <si>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</si>
  <si>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</si>
  <si>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</si>
  <si>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</si>
  <si>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</si>
  <si>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</si>
  <si>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</si>
  <si>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</si>
  <si>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</si>
  <si>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</si>
  <si>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</si>
  <si>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</si>
  <si>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</si>
  <si>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</si>
  <si>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</si>
  <si>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</si>
  <si>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</si>
  <si>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</si>
  <si>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</si>
  <si>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</si>
  <si>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</si>
  <si>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</si>
  <si>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</si>
  <si>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</si>
  <si>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</si>
  <si>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</si>
  <si>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</si>
  <si>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</si>
  <si>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</si>
  <si>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</si>
  <si>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</si>
  <si>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</si>
  <si>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</si>
  <si>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</si>
  <si>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</si>
  <si>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</si>
  <si>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</si>
  <si>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</si>
  <si>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</si>
  <si>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</si>
  <si>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</si>
  <si>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</si>
  <si>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</si>
  <si>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</si>
  <si>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</si>
  <si>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</si>
  <si>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</si>
  <si>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</si>
  <si>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</si>
  <si>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</si>
  <si>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</si>
  <si>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</si>
  <si>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</si>
  <si>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</si>
  <si>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</si>
  <si>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</si>
  <si>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</si>
  <si>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</si>
  <si>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</si>
  <si>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</si>
  <si>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</si>
  <si>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</si>
  <si>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</si>
  <si>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</si>
  <si>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</si>
  <si>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</si>
  <si>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</si>
  <si>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</si>
  <si>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</si>
  <si>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</si>
  <si>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</si>
  <si>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</si>
  <si>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</si>
  <si>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</si>
  <si>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</si>
  <si>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</si>
  <si>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</si>
  <si>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</si>
  <si>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</si>
  <si>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</si>
  <si>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</si>
  <si>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</si>
  <si>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</si>
  <si>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</si>
  <si>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</si>
  <si>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</si>
  <si>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</si>
  <si>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</si>
  <si>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</si>
  <si>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</si>
  <si>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</si>
  <si>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</si>
  <si>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</si>
  <si>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</si>
  <si>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</si>
  <si>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</si>
  <si>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</si>
  <si>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</si>
  <si>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</si>
  <si>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</si>
  <si>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</si>
  <si>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</si>
  <si>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</si>
  <si>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</si>
  <si>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</si>
  <si>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</si>
  <si>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</si>
  <si>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</si>
  <si>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</si>
  <si>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</si>
  <si>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</si>
  <si>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</si>
  <si>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</si>
  <si>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</si>
  <si>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</si>
  <si>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</si>
  <si>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</si>
  <si>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</si>
  <si>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</si>
  <si>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</si>
  <si>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</si>
  <si>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</si>
  <si>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</si>
  <si>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</si>
  <si>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</si>
  <si>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</si>
  <si>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</si>
  <si>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</si>
  <si>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</si>
  <si>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</si>
  <si>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</si>
  <si>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</si>
  <si>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</si>
  <si>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</si>
  <si>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</si>
  <si>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</si>
  <si>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</si>
  <si>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</si>
  <si>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</si>
  <si>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</si>
  <si>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</si>
  <si>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</si>
  <si>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</si>
  <si>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</si>
  <si>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</si>
  <si>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</si>
  <si>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</si>
  <si>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</si>
  <si>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</si>
  <si>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</si>
  <si>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</si>
  <si>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</si>
  <si>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</si>
  <si>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</si>
  <si>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</si>
  <si>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</si>
  <si>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</si>
  <si>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</si>
  <si>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</si>
  <si>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</si>
  <si>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</si>
  <si>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</si>
  <si>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</si>
  <si>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</si>
  <si>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</si>
  <si>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</si>
  <si>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</si>
  <si>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</si>
  <si>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</si>
  <si>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</si>
  <si>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</si>
  <si>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</si>
  <si>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</si>
  <si>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</si>
  <si>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</si>
  <si>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</si>
  <si>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</si>
  <si>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</si>
  <si>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</si>
  <si>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</si>
  <si>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</si>
  <si>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</si>
  <si>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</si>
  <si>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</si>
  <si>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</si>
  <si>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</si>
  <si>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</si>
  <si>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</si>
  <si>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</si>
  <si>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</si>
  <si>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</si>
  <si>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</si>
  <si>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</si>
  <si>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</si>
  <si>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</si>
  <si>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</si>
  <si>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</si>
  <si>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</si>
  <si>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</si>
  <si>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</si>
  <si>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</si>
  <si>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</si>
  <si>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</si>
  <si>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</si>
  <si>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</si>
  <si>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</si>
  <si>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</si>
  <si>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</si>
  <si>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</si>
  <si>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</si>
  <si>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</si>
  <si>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</si>
  <si>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</si>
  <si>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</si>
  <si>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</si>
  <si>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</si>
  <si>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</si>
  <si>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</si>
  <si>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</si>
  <si>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</si>
  <si>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</si>
  <si>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</si>
  <si>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</si>
  <si>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</si>
  <si>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</si>
  <si>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</si>
  <si>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</si>
  <si>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</si>
  <si>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</si>
  <si>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</si>
  <si>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</si>
  <si>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</si>
  <si>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</si>
  <si>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</si>
  <si>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</si>
  <si>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</si>
  <si>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</si>
  <si>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</si>
  <si>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</si>
  <si>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</si>
  <si>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</si>
  <si>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</si>
  <si>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</si>
  <si>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</si>
  <si>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</si>
  <si>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</si>
  <si>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</si>
  <si>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</si>
  <si>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</si>
  <si>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</si>
  <si>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</si>
  <si>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</si>
  <si>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</si>
  <si>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</si>
  <si>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</si>
  <si>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</si>
  <si>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</si>
  <si>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</si>
  <si>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</si>
  <si>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</si>
  <si>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</si>
  <si>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</si>
  <si>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</si>
  <si>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</si>
  <si>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</si>
  <si>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</si>
  <si>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</si>
  <si>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</si>
  <si>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</si>
  <si>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</si>
  <si>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</si>
  <si>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</si>
  <si>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</si>
  <si>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</si>
  <si>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</si>
  <si>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</si>
  <si>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</si>
  <si>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</si>
  <si>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</si>
  <si>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</si>
  <si>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</si>
  <si>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</si>
  <si>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</si>
  <si>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</si>
  <si>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</si>
  <si>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</si>
  <si>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</si>
  <si>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</si>
  <si>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</si>
  <si>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</si>
  <si>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</si>
  <si>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</si>
  <si>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</si>
  <si>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</si>
  <si>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</si>
  <si>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</si>
  <si>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</si>
  <si>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</si>
  <si>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</si>
  <si>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</si>
  <si>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</si>
  <si>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</si>
  <si>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</si>
  <si>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</si>
  <si>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</si>
  <si>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</si>
  <si>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</si>
  <si>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</si>
  <si>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</si>
  <si>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</si>
  <si>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</si>
  <si>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</si>
  <si>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</si>
  <si>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</si>
  <si>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</si>
  <si>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</si>
  <si>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</si>
  <si>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</si>
  <si>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</si>
  <si>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</si>
  <si>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</si>
  <si>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</si>
  <si>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</si>
  <si>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</si>
  <si>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</si>
  <si>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</si>
  <si>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</si>
  <si>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</si>
  <si>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</si>
  <si>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</si>
  <si>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</si>
  <si>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</si>
  <si>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</si>
  <si>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</si>
  <si>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</si>
  <si>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</si>
  <si>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</si>
  <si>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</si>
  <si>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</si>
  <si>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</si>
  <si>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</si>
  <si>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</si>
  <si>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</si>
  <si>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</si>
  <si>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</si>
  <si>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</si>
  <si>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</si>
  <si>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</si>
  <si>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</si>
  <si>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</si>
  <si>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</si>
  <si>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</si>
  <si>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</si>
  <si>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</si>
  <si>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</si>
  <si>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</si>
  <si>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</si>
  <si>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</si>
  <si>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</si>
  <si>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</si>
  <si>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</si>
  <si>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</si>
  <si>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</si>
  <si>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</si>
  <si>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</si>
  <si>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</si>
  <si>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</si>
  <si>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</si>
  <si>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</si>
  <si>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</si>
  <si>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</si>
  <si>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</si>
  <si>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</si>
  <si>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</si>
  <si>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</si>
  <si>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</si>
  <si>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</si>
  <si>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</si>
  <si>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</si>
  <si>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</si>
  <si>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</si>
  <si>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</si>
  <si>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</si>
  <si>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</si>
  <si>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</si>
  <si>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</si>
  <si>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</si>
  <si>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</si>
  <si>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</si>
  <si>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</si>
  <si>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</si>
  <si>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</si>
  <si>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</si>
  <si>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</si>
  <si>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</si>
  <si>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</si>
  <si>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</si>
  <si>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</si>
  <si>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</si>
  <si>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</si>
  <si>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</si>
  <si>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</si>
  <si>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</si>
  <si>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</si>
  <si>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</si>
  <si>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</si>
  <si>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</si>
  <si>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</si>
  <si>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</si>
  <si>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</si>
  <si>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</si>
  <si>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</si>
  <si>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</si>
  <si>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</si>
  <si>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</si>
  <si>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</si>
  <si>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</si>
  <si>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</si>
  <si>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</si>
  <si>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</si>
  <si>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</si>
  <si>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</si>
  <si>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</si>
  <si>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</si>
  <si>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</si>
  <si>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</si>
  <si>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</si>
  <si>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</si>
  <si>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</si>
  <si>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</si>
  <si>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</si>
  <si>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</si>
  <si>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</si>
  <si>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</si>
  <si>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</si>
  <si>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</si>
  <si>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</si>
  <si>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</si>
  <si>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</si>
  <si>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</si>
  <si>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</si>
  <si>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</si>
  <si>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</si>
  <si>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</si>
  <si>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</si>
  <si>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</si>
  <si>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</si>
  <si>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</si>
  <si>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</si>
  <si>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</si>
  <si>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</si>
  <si>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</si>
  <si>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</si>
  <si>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</si>
  <si>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</si>
  <si>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</si>
  <si>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</si>
  <si>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</si>
  <si>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</si>
  <si>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</si>
  <si>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</si>
  <si>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</si>
  <si>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</si>
  <si>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</si>
  <si>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</si>
  <si>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</si>
  <si>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</si>
  <si>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</si>
  <si>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</si>
  <si>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</si>
  <si>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</si>
  <si>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</si>
  <si>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</si>
  <si>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</si>
  <si>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</si>
  <si>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</si>
  <si>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</si>
  <si>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</si>
  <si>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</si>
  <si>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</si>
  <si>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</si>
  <si>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</si>
  <si>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</si>
  <si>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</si>
  <si>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</si>
  <si>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</si>
  <si>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</si>
  <si>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</si>
  <si>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</si>
  <si>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</si>
  <si>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</si>
  <si>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</si>
  <si>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</si>
  <si>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</si>
  <si>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</si>
  <si>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</si>
  <si>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</si>
  <si>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</si>
  <si>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</si>
  <si>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</si>
  <si>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</si>
  <si>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</si>
  <si>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</si>
  <si>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</si>
  <si>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</si>
  <si>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</si>
  <si>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</si>
  <si>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</si>
  <si>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</si>
  <si>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</si>
  <si>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</si>
  <si>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</si>
  <si>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</si>
  <si>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</si>
  <si>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</si>
  <si>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</si>
  <si>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</si>
  <si>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</si>
  <si>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</si>
  <si>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</si>
  <si>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</si>
  <si>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</si>
  <si>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</si>
  <si>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</si>
  <si>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</si>
  <si>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</si>
  <si>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</si>
  <si>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</si>
  <si>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</si>
  <si>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</si>
  <si>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</si>
  <si>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</si>
  <si>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</si>
  <si>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</si>
  <si>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AGENCY</t>
  </si>
  <si>
    <t>07/01</t>
  </si>
  <si>
    <t>07/21</t>
  </si>
  <si>
    <t>07/08</t>
  </si>
  <si>
    <t>08/28</t>
  </si>
  <si>
    <t>Amherst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</si>
</sst>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44D7-9C41-40E6-8C85-3F6FF01DB7F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572" sqref="F572:G57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899</v>
      </c>
      <c r="B2" s="21">
        <v>17</v>
      </c>
      <c r="C2" s="21">
        <v>17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542660.74</v>
      </c>
      <c r="G9" s="18"/>
      <c r="H9" s="18"/>
      <c r="I9" s="18">
        <v>112822.87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202587.94</v>
      </c>
      <c r="G12" s="18">
        <v>52868.86</v>
      </c>
      <c r="H12" s="18"/>
      <c r="I12" s="18"/>
      <c r="J12" s="67">
        <f>SUM(I433)</f>
        <v>21758.57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214160.88</v>
      </c>
      <c r="G13" s="18">
        <v>10351.82</v>
      </c>
      <c r="H13" s="18">
        <v>289377.52</v>
      </c>
      <c r="I13" s="18"/>
      <c r="J13" s="67">
        <f>SUM(I434)</f>
        <v>127514.68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56.4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959409.55999999994</v>
      </c>
      <c r="G19" s="41">
        <f>SUM(G9:G18)</f>
        <v>63277.08</v>
      </c>
      <c r="H19" s="41">
        <f>SUM(H9:H18)</f>
        <v>289377.52</v>
      </c>
      <c r="I19" s="41">
        <f>SUM(I9:I18)</f>
        <v>112822.87</v>
      </c>
      <c r="J19" s="41">
        <f>SUM(J9:J18)</f>
        <v>149273.25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292.52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4835.33</v>
      </c>
      <c r="G24" s="18">
        <v>17946.25</v>
      </c>
      <c r="H24" s="18">
        <v>276922.84999999998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4692.78</v>
      </c>
      <c r="G25" s="18">
        <v>2.44</v>
      </c>
      <c r="H25" s="18">
        <v>2746.77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31877.03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18242.8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9707.9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167.16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59815.100000000006</v>
      </c>
      <c r="G33" s="41">
        <f>SUM(G23:G32)</f>
        <v>17948.689999999999</v>
      </c>
      <c r="H33" s="41">
        <f>SUM(H23:H32)</f>
        <v>289377.52</v>
      </c>
      <c r="I33" s="41">
        <f>SUM(I23:I32)</f>
        <v>0</v>
      </c>
      <c r="J33" s="41">
        <f>SUM(J23:J32)</f>
        <v>292.52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209356.86</v>
      </c>
      <c r="G37" s="18">
        <v>1542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46046.85</v>
      </c>
      <c r="G41" s="18">
        <v>43786.39</v>
      </c>
      <c r="H41" s="18"/>
      <c r="I41" s="18">
        <v>112822.87</v>
      </c>
      <c r="J41" s="13">
        <f>SUM(I449)</f>
        <v>148980.72999999998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644190.75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899594.46</v>
      </c>
      <c r="G43" s="41">
        <f>SUM(G35:G42)</f>
        <v>45328.39</v>
      </c>
      <c r="H43" s="41">
        <f>SUM(H35:H42)</f>
        <v>0</v>
      </c>
      <c r="I43" s="41">
        <f>SUM(I35:I42)</f>
        <v>112822.87</v>
      </c>
      <c r="J43" s="41">
        <f>SUM(J35:J42)</f>
        <v>148980.72999999998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959409.55999999994</v>
      </c>
      <c r="G44" s="41">
        <f>G43+G33</f>
        <v>63277.08</v>
      </c>
      <c r="H44" s="41">
        <f>H43+H33</f>
        <v>289377.52</v>
      </c>
      <c r="I44" s="41">
        <f>I43+I33</f>
        <v>112822.87</v>
      </c>
      <c r="J44" s="41">
        <f>J43+J33</f>
        <v>149273.24999999997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15402892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15402892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3181.5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836275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839456.5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11533.44</v>
      </c>
      <c r="G88" s="18"/>
      <c r="H88" s="18"/>
      <c r="I88" s="18">
        <v>19564.990000000002</v>
      </c>
      <c r="J88" s="18">
        <v>142.13999999999999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414446.49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35656.67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16281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12341.23</v>
      </c>
      <c r="G94" s="18"/>
      <c r="H94" s="18">
        <v>5742.67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40000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18465.64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6911.41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3326.23</v>
      </c>
      <c r="G102" s="18">
        <v>1115.3699999999999</v>
      </c>
      <c r="H102" s="18"/>
      <c r="I102" s="18"/>
      <c r="J102" s="18">
        <v>11933.75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144515.62</v>
      </c>
      <c r="G103" s="41">
        <f>SUM(G88:G102)</f>
        <v>415561.86</v>
      </c>
      <c r="H103" s="41">
        <f>SUM(H88:H102)</f>
        <v>5742.67</v>
      </c>
      <c r="I103" s="41">
        <f>SUM(I88:I102)</f>
        <v>19564.990000000002</v>
      </c>
      <c r="J103" s="41">
        <f>SUM(J88:J102)</f>
        <v>12075.89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16386864.119999999</v>
      </c>
      <c r="G104" s="41">
        <f>G52+G103</f>
        <v>415561.86</v>
      </c>
      <c r="H104" s="41">
        <f>H52+H71+H86+H103</f>
        <v>5742.67</v>
      </c>
      <c r="I104" s="41">
        <f>I52+I103</f>
        <v>19564.990000000002</v>
      </c>
      <c r="J104" s="41">
        <f>J52+J103</f>
        <v>12075.89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1921498.52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2506753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737218.48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5165470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156987.94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195242.02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4761.9799999999996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352229.95999999996</v>
      </c>
      <c r="G128" s="41">
        <f>SUM(G115:G127)</f>
        <v>4761.9799999999996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5517699.96</v>
      </c>
      <c r="G132" s="41">
        <f>G113+SUM(G128:G129)</f>
        <v>4761.9799999999996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45454.1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89841.47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69869.08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442699.67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157651.10999999999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157651.10999999999</v>
      </c>
      <c r="G154" s="41">
        <f>SUM(G142:G153)</f>
        <v>69869.08</v>
      </c>
      <c r="H154" s="41">
        <f>SUM(H142:H153)</f>
        <v>577995.24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157651.10999999999</v>
      </c>
      <c r="G161" s="41">
        <f>G139+G154+SUM(G155:G160)</f>
        <v>69869.08</v>
      </c>
      <c r="H161" s="41">
        <f>H139+H154+SUM(H155:H160)</f>
        <v>577995.24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22062215.189999998</v>
      </c>
      <c r="G185" s="47">
        <f>G104+G132+G161+G184</f>
        <v>490192.92</v>
      </c>
      <c r="H185" s="47">
        <f>H104+H132+H161+H184</f>
        <v>583737.91</v>
      </c>
      <c r="I185" s="47">
        <f>I104+I132+I161+I184</f>
        <v>19564.990000000002</v>
      </c>
      <c r="J185" s="47">
        <f>J104+J132+J184</f>
        <v>12075.89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3366304.72</v>
      </c>
      <c r="G189" s="18">
        <v>1234948.45</v>
      </c>
      <c r="H189" s="18">
        <v>21169.84</v>
      </c>
      <c r="I189" s="18">
        <v>201131.69</v>
      </c>
      <c r="J189" s="18">
        <v>55940.98</v>
      </c>
      <c r="K189" s="18"/>
      <c r="L189" s="19">
        <f>SUM(F189:K189)</f>
        <v>4879495.6800000006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1158923.54</v>
      </c>
      <c r="G190" s="18">
        <v>490240.76</v>
      </c>
      <c r="H190" s="18">
        <v>351280.84</v>
      </c>
      <c r="I190" s="18">
        <f>9447.82+1268.65</f>
        <v>10716.47</v>
      </c>
      <c r="J190" s="18">
        <v>1724.33</v>
      </c>
      <c r="K190" s="18"/>
      <c r="L190" s="19">
        <f>SUM(F190:K190)</f>
        <v>2012885.9400000002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500</v>
      </c>
      <c r="G192" s="18">
        <v>75.400000000000006</v>
      </c>
      <c r="H192" s="18"/>
      <c r="I192" s="18"/>
      <c r="J192" s="18"/>
      <c r="K192" s="18"/>
      <c r="L192" s="19">
        <f>SUM(F192:K192)</f>
        <v>575.4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315673.62</v>
      </c>
      <c r="G194" s="18">
        <v>123328.17</v>
      </c>
      <c r="H194" s="18">
        <v>7896.18</v>
      </c>
      <c r="I194" s="18">
        <v>2637.73</v>
      </c>
      <c r="J194" s="18"/>
      <c r="K194" s="18"/>
      <c r="L194" s="19">
        <f t="shared" ref="L194:L200" si="0">SUM(F194:K194)</f>
        <v>449535.69999999995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128555.74</v>
      </c>
      <c r="G195" s="18">
        <v>63599.53</v>
      </c>
      <c r="H195" s="18">
        <v>549</v>
      </c>
      <c r="I195" s="18">
        <v>16401.099999999999</v>
      </c>
      <c r="J195" s="18">
        <v>1784.72</v>
      </c>
      <c r="K195" s="18"/>
      <c r="L195" s="19">
        <f t="shared" si="0"/>
        <v>210890.09000000003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3662.5</v>
      </c>
      <c r="G196" s="18">
        <v>280.18</v>
      </c>
      <c r="H196" s="18">
        <v>528264.4</v>
      </c>
      <c r="I196" s="18">
        <v>-10</v>
      </c>
      <c r="J196" s="18"/>
      <c r="K196" s="18">
        <v>3379.87</v>
      </c>
      <c r="L196" s="19">
        <f t="shared" si="0"/>
        <v>535576.95000000007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324330.45</v>
      </c>
      <c r="G197" s="18">
        <v>161481.57999999999</v>
      </c>
      <c r="H197" s="18">
        <v>16307.72</v>
      </c>
      <c r="I197" s="18">
        <v>7033.42</v>
      </c>
      <c r="J197" s="18">
        <v>5976.9</v>
      </c>
      <c r="K197" s="18">
        <v>670</v>
      </c>
      <c r="L197" s="19">
        <f t="shared" si="0"/>
        <v>515800.07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1162.5999999999999</v>
      </c>
      <c r="I198" s="18"/>
      <c r="J198" s="18"/>
      <c r="K198" s="18"/>
      <c r="L198" s="19">
        <f t="shared" si="0"/>
        <v>1162.5999999999999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219197.39</v>
      </c>
      <c r="G199" s="18">
        <v>103820.12</v>
      </c>
      <c r="H199" s="18">
        <v>143745.13</v>
      </c>
      <c r="I199" s="18">
        <v>154508.14000000001</v>
      </c>
      <c r="J199" s="18">
        <v>2584.37</v>
      </c>
      <c r="K199" s="18"/>
      <c r="L199" s="19">
        <f t="shared" si="0"/>
        <v>623855.15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360036.97</v>
      </c>
      <c r="I200" s="18"/>
      <c r="J200" s="18"/>
      <c r="K200" s="18"/>
      <c r="L200" s="19">
        <f t="shared" si="0"/>
        <v>360036.97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55657</v>
      </c>
      <c r="G201" s="18">
        <v>28813.759999999998</v>
      </c>
      <c r="H201" s="18">
        <v>22584.25</v>
      </c>
      <c r="I201" s="18">
        <f>9126.86+405.02</f>
        <v>9531.880000000001</v>
      </c>
      <c r="J201" s="18">
        <v>10383.16</v>
      </c>
      <c r="K201" s="18"/>
      <c r="L201" s="19">
        <f>SUM(F201:K201)</f>
        <v>126970.05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5572804.96</v>
      </c>
      <c r="G203" s="41">
        <f t="shared" si="1"/>
        <v>2206587.9499999997</v>
      </c>
      <c r="H203" s="41">
        <f t="shared" si="1"/>
        <v>1452996.93</v>
      </c>
      <c r="I203" s="41">
        <f t="shared" si="1"/>
        <v>401950.43000000005</v>
      </c>
      <c r="J203" s="41">
        <f t="shared" si="1"/>
        <v>78394.460000000006</v>
      </c>
      <c r="K203" s="41">
        <f t="shared" si="1"/>
        <v>4049.87</v>
      </c>
      <c r="L203" s="41">
        <f t="shared" si="1"/>
        <v>9716784.6000000034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4233144.7300000004</v>
      </c>
      <c r="G207" s="18">
        <v>1524879.8</v>
      </c>
      <c r="H207" s="18">
        <v>13055.99</v>
      </c>
      <c r="I207" s="18">
        <v>117196.22</v>
      </c>
      <c r="J207" s="18">
        <v>112517.42</v>
      </c>
      <c r="K207" s="18"/>
      <c r="L207" s="19">
        <f>SUM(F207:K207)</f>
        <v>6000794.1600000001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1499346.67</v>
      </c>
      <c r="G208" s="18">
        <v>725048.38</v>
      </c>
      <c r="H208" s="18">
        <v>158961.49</v>
      </c>
      <c r="I208" s="18">
        <f>3171.86+10.99</f>
        <v>3182.85</v>
      </c>
      <c r="J208" s="18">
        <v>11819.55</v>
      </c>
      <c r="K208" s="18"/>
      <c r="L208" s="19">
        <f>SUM(F208:K208)</f>
        <v>2398358.94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55188</v>
      </c>
      <c r="G210" s="18">
        <v>8042.4</v>
      </c>
      <c r="H210" s="18">
        <v>6975.2</v>
      </c>
      <c r="I210" s="18">
        <v>3372.88</v>
      </c>
      <c r="J210" s="18"/>
      <c r="K210" s="18"/>
      <c r="L210" s="19">
        <f>SUM(F210:K210)</f>
        <v>73578.48000000001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300727.67999999999</v>
      </c>
      <c r="G212" s="18">
        <v>117509.32</v>
      </c>
      <c r="H212" s="18">
        <v>46854.2</v>
      </c>
      <c r="I212" s="18">
        <v>1173.06</v>
      </c>
      <c r="J212" s="18">
        <v>1164.92</v>
      </c>
      <c r="K212" s="18"/>
      <c r="L212" s="19">
        <f t="shared" ref="L212:L218" si="2">SUM(F212:K212)</f>
        <v>467429.18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112306.01</v>
      </c>
      <c r="G213" s="18">
        <v>95005.33</v>
      </c>
      <c r="H213" s="18">
        <v>4078.14</v>
      </c>
      <c r="I213" s="18">
        <v>9780.3700000000008</v>
      </c>
      <c r="J213" s="18"/>
      <c r="K213" s="18"/>
      <c r="L213" s="19">
        <f t="shared" si="2"/>
        <v>221169.85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3662.5</v>
      </c>
      <c r="G214" s="18">
        <v>280.19</v>
      </c>
      <c r="H214" s="18">
        <v>528264.4</v>
      </c>
      <c r="I214" s="18">
        <v>-9.9600000000000009</v>
      </c>
      <c r="J214" s="18"/>
      <c r="K214" s="18">
        <v>3379.87</v>
      </c>
      <c r="L214" s="19">
        <f t="shared" si="2"/>
        <v>535577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282528.2</v>
      </c>
      <c r="G215" s="18">
        <v>108040.84</v>
      </c>
      <c r="H215" s="18">
        <v>27226.78</v>
      </c>
      <c r="I215" s="18">
        <v>26290.04</v>
      </c>
      <c r="J215" s="18"/>
      <c r="K215" s="18">
        <v>1604</v>
      </c>
      <c r="L215" s="19">
        <f t="shared" si="2"/>
        <v>445689.86000000004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v>1098.94</v>
      </c>
      <c r="I216" s="18"/>
      <c r="J216" s="18"/>
      <c r="K216" s="18"/>
      <c r="L216" s="19">
        <f t="shared" si="2"/>
        <v>1098.94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221996.96</v>
      </c>
      <c r="G217" s="18">
        <v>106262.79</v>
      </c>
      <c r="H217" s="18">
        <v>183486.85</v>
      </c>
      <c r="I217" s="18">
        <v>185958</v>
      </c>
      <c r="J217" s="18">
        <v>890.16</v>
      </c>
      <c r="K217" s="18"/>
      <c r="L217" s="19">
        <f t="shared" si="2"/>
        <v>698594.76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250765.84</v>
      </c>
      <c r="I218" s="18"/>
      <c r="J218" s="18"/>
      <c r="K218" s="18"/>
      <c r="L218" s="19">
        <f t="shared" si="2"/>
        <v>250765.84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59210</v>
      </c>
      <c r="G219" s="18">
        <v>24921.200000000001</v>
      </c>
      <c r="H219" s="18">
        <v>21584.25</v>
      </c>
      <c r="I219" s="18">
        <f>8962.71+405.01</f>
        <v>9367.7199999999993</v>
      </c>
      <c r="J219" s="18">
        <v>8294.64</v>
      </c>
      <c r="K219" s="18"/>
      <c r="L219" s="19">
        <f>SUM(F219:K219)</f>
        <v>123377.81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6768110.75</v>
      </c>
      <c r="G221" s="41">
        <f>SUM(G207:G220)</f>
        <v>2709990.25</v>
      </c>
      <c r="H221" s="41">
        <f>SUM(H207:H220)</f>
        <v>1242352.08</v>
      </c>
      <c r="I221" s="41">
        <f>SUM(I207:I220)</f>
        <v>356311.18</v>
      </c>
      <c r="J221" s="41">
        <f>SUM(J207:J220)</f>
        <v>134686.69</v>
      </c>
      <c r="K221" s="41">
        <f t="shared" si="3"/>
        <v>4983.87</v>
      </c>
      <c r="L221" s="41">
        <f t="shared" si="3"/>
        <v>11216434.819999998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114351.36</v>
      </c>
      <c r="I247" s="18"/>
      <c r="J247" s="18">
        <v>2550</v>
      </c>
      <c r="K247" s="18"/>
      <c r="L247" s="19">
        <f t="shared" si="6"/>
        <v>116901.36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114351.36</v>
      </c>
      <c r="I248" s="41">
        <f t="shared" si="7"/>
        <v>0</v>
      </c>
      <c r="J248" s="41">
        <f t="shared" si="7"/>
        <v>2550</v>
      </c>
      <c r="K248" s="41">
        <f t="shared" si="7"/>
        <v>0</v>
      </c>
      <c r="L248" s="41">
        <f>SUM(F248:K248)</f>
        <v>116901.36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12340915.710000001</v>
      </c>
      <c r="G249" s="41">
        <f t="shared" si="8"/>
        <v>4916578.1999999993</v>
      </c>
      <c r="H249" s="41">
        <f t="shared" si="8"/>
        <v>2809700.3699999996</v>
      </c>
      <c r="I249" s="41">
        <f t="shared" si="8"/>
        <v>758261.6100000001</v>
      </c>
      <c r="J249" s="41">
        <f t="shared" si="8"/>
        <v>215631.15000000002</v>
      </c>
      <c r="K249" s="41">
        <f t="shared" si="8"/>
        <v>9033.74</v>
      </c>
      <c r="L249" s="41">
        <f t="shared" si="8"/>
        <v>21050120.780000001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383620</v>
      </c>
      <c r="L252" s="19">
        <f>SUM(F252:K252)</f>
        <v>383620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289264.33</v>
      </c>
      <c r="L253" s="19">
        <f>SUM(F253:K253)</f>
        <v>289264.33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672884.33000000007</v>
      </c>
      <c r="L262" s="41">
        <f t="shared" si="9"/>
        <v>672884.33000000007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12340915.710000001</v>
      </c>
      <c r="G263" s="42">
        <f t="shared" si="11"/>
        <v>4916578.1999999993</v>
      </c>
      <c r="H263" s="42">
        <f t="shared" si="11"/>
        <v>2809700.3699999996</v>
      </c>
      <c r="I263" s="42">
        <f t="shared" si="11"/>
        <v>758261.6100000001</v>
      </c>
      <c r="J263" s="42">
        <f t="shared" si="11"/>
        <v>215631.15000000002</v>
      </c>
      <c r="K263" s="42">
        <f t="shared" si="11"/>
        <v>681918.07000000007</v>
      </c>
      <c r="L263" s="42">
        <f t="shared" si="11"/>
        <v>21723005.109999999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56823.01</v>
      </c>
      <c r="G268" s="18">
        <v>6038.65</v>
      </c>
      <c r="H268" s="18">
        <v>25878.32</v>
      </c>
      <c r="I268" s="18">
        <v>272.3</v>
      </c>
      <c r="J268" s="18"/>
      <c r="K268" s="18"/>
      <c r="L268" s="19">
        <f>SUM(F268:K268)</f>
        <v>89012.280000000013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100685.31</v>
      </c>
      <c r="G269" s="18">
        <v>10718.66</v>
      </c>
      <c r="H269" s="18">
        <v>12094.47</v>
      </c>
      <c r="I269" s="18">
        <v>15514.69</v>
      </c>
      <c r="J269" s="18">
        <v>1167.02</v>
      </c>
      <c r="K269" s="18"/>
      <c r="L269" s="19">
        <f>SUM(F269:K269)</f>
        <v>140180.15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14879.68</v>
      </c>
      <c r="G273" s="18">
        <v>2867.32</v>
      </c>
      <c r="H273" s="18"/>
      <c r="I273" s="18"/>
      <c r="J273" s="18"/>
      <c r="K273" s="18"/>
      <c r="L273" s="19">
        <f t="shared" ref="L273:L279" si="12">SUM(F273:K273)</f>
        <v>17747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13545.79</v>
      </c>
      <c r="I274" s="18"/>
      <c r="J274" s="18"/>
      <c r="K274" s="18"/>
      <c r="L274" s="19">
        <f t="shared" si="12"/>
        <v>13545.79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172388</v>
      </c>
      <c r="G282" s="42">
        <f t="shared" si="13"/>
        <v>19624.629999999997</v>
      </c>
      <c r="H282" s="42">
        <f t="shared" si="13"/>
        <v>51518.58</v>
      </c>
      <c r="I282" s="42">
        <f t="shared" si="13"/>
        <v>15786.99</v>
      </c>
      <c r="J282" s="42">
        <f t="shared" si="13"/>
        <v>1167.02</v>
      </c>
      <c r="K282" s="42">
        <f t="shared" si="13"/>
        <v>0</v>
      </c>
      <c r="L282" s="41">
        <f t="shared" si="13"/>
        <v>260485.22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29836.21</v>
      </c>
      <c r="G287" s="18">
        <v>2836.21</v>
      </c>
      <c r="H287" s="18">
        <v>28127.88</v>
      </c>
      <c r="I287" s="18">
        <v>412.16</v>
      </c>
      <c r="J287" s="18">
        <v>7202.85</v>
      </c>
      <c r="K287" s="18"/>
      <c r="L287" s="19">
        <f>SUM(F287:K287)</f>
        <v>68415.310000000012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111741</v>
      </c>
      <c r="G288" s="18">
        <v>10653.93</v>
      </c>
      <c r="H288" s="18">
        <v>3978.31</v>
      </c>
      <c r="I288" s="18">
        <v>87694.39</v>
      </c>
      <c r="J288" s="18">
        <v>19937.28</v>
      </c>
      <c r="K288" s="18"/>
      <c r="L288" s="19">
        <f>SUM(F288:K288)</f>
        <v>234004.91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v>15856.79</v>
      </c>
      <c r="I293" s="18"/>
      <c r="J293" s="18">
        <v>4975.68</v>
      </c>
      <c r="K293" s="18"/>
      <c r="L293" s="19">
        <f t="shared" si="14"/>
        <v>20832.47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141577.21</v>
      </c>
      <c r="G301" s="42">
        <f t="shared" si="15"/>
        <v>13490.14</v>
      </c>
      <c r="H301" s="42">
        <f t="shared" si="15"/>
        <v>47962.98</v>
      </c>
      <c r="I301" s="42">
        <f t="shared" si="15"/>
        <v>88106.55</v>
      </c>
      <c r="J301" s="42">
        <f t="shared" si="15"/>
        <v>32115.809999999998</v>
      </c>
      <c r="K301" s="42">
        <f t="shared" si="15"/>
        <v>0</v>
      </c>
      <c r="L301" s="41">
        <f t="shared" si="15"/>
        <v>323252.69000000006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313965.20999999996</v>
      </c>
      <c r="G330" s="41">
        <f t="shared" si="20"/>
        <v>33114.769999999997</v>
      </c>
      <c r="H330" s="41">
        <f t="shared" si="20"/>
        <v>99481.56</v>
      </c>
      <c r="I330" s="41">
        <f t="shared" si="20"/>
        <v>103893.54000000001</v>
      </c>
      <c r="J330" s="41">
        <f t="shared" si="20"/>
        <v>33282.829999999994</v>
      </c>
      <c r="K330" s="41">
        <f t="shared" si="20"/>
        <v>0</v>
      </c>
      <c r="L330" s="41">
        <f t="shared" si="20"/>
        <v>583737.91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313965.20999999996</v>
      </c>
      <c r="G344" s="41">
        <f>G330</f>
        <v>33114.769999999997</v>
      </c>
      <c r="H344" s="41">
        <f>H330</f>
        <v>99481.56</v>
      </c>
      <c r="I344" s="41">
        <f>I330</f>
        <v>103893.54000000001</v>
      </c>
      <c r="J344" s="41">
        <f>J330</f>
        <v>33282.829999999994</v>
      </c>
      <c r="K344" s="47">
        <f>K330+K343</f>
        <v>0</v>
      </c>
      <c r="L344" s="41">
        <f>L330+L343</f>
        <v>583737.91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69305.490000000005</v>
      </c>
      <c r="G350" s="18">
        <v>37874.68</v>
      </c>
      <c r="H350" s="18">
        <v>1401.99</v>
      </c>
      <c r="I350" s="18">
        <v>60398.12</v>
      </c>
      <c r="J350" s="18">
        <v>1604</v>
      </c>
      <c r="K350" s="18"/>
      <c r="L350" s="13">
        <f>SUM(F350:K350)</f>
        <v>170584.28000000003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102097.06</v>
      </c>
      <c r="G351" s="18">
        <v>71930.789999999994</v>
      </c>
      <c r="H351" s="18">
        <v>3240.67</v>
      </c>
      <c r="I351" s="18">
        <v>108519.45</v>
      </c>
      <c r="J351" s="18"/>
      <c r="K351" s="18"/>
      <c r="L351" s="19">
        <f>SUM(F351:K351)</f>
        <v>285787.96999999997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171402.55</v>
      </c>
      <c r="G354" s="47">
        <f t="shared" si="22"/>
        <v>109805.47</v>
      </c>
      <c r="H354" s="47">
        <f t="shared" si="22"/>
        <v>4642.66</v>
      </c>
      <c r="I354" s="47">
        <f t="shared" si="22"/>
        <v>168917.57</v>
      </c>
      <c r="J354" s="47">
        <f t="shared" si="22"/>
        <v>1604</v>
      </c>
      <c r="K354" s="47">
        <f t="shared" si="22"/>
        <v>0</v>
      </c>
      <c r="L354" s="47">
        <f t="shared" si="22"/>
        <v>456372.25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55985.14</v>
      </c>
      <c r="G359" s="18">
        <v>102721.87</v>
      </c>
      <c r="H359" s="18"/>
      <c r="I359" s="56">
        <f>SUM(F359:H359)</f>
        <v>158707.01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4412.9799999999996</v>
      </c>
      <c r="G360" s="63">
        <v>5797.58</v>
      </c>
      <c r="H360" s="63"/>
      <c r="I360" s="56">
        <f>SUM(F360:H360)</f>
        <v>10210.56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60398.119999999995</v>
      </c>
      <c r="G361" s="47">
        <f>SUM(G359:G360)</f>
        <v>108519.45</v>
      </c>
      <c r="H361" s="47">
        <f>SUM(H359:H360)</f>
        <v>0</v>
      </c>
      <c r="I361" s="47">
        <f>SUM(I359:I360)</f>
        <v>168917.57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5000</v>
      </c>
      <c r="G370" s="18">
        <v>382.5</v>
      </c>
      <c r="H370" s="18"/>
      <c r="I370" s="18"/>
      <c r="J370" s="18"/>
      <c r="K370" s="18"/>
      <c r="L370" s="13">
        <f t="shared" si="23"/>
        <v>5382.5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1395582</v>
      </c>
      <c r="I371" s="18"/>
      <c r="J371" s="18"/>
      <c r="K371" s="18">
        <v>125667.86</v>
      </c>
      <c r="L371" s="13">
        <f t="shared" si="23"/>
        <v>1521249.86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5000</v>
      </c>
      <c r="G374" s="139">
        <f t="shared" ref="G374:L374" si="24">SUM(G366:G373)</f>
        <v>382.5</v>
      </c>
      <c r="H374" s="139">
        <f t="shared" si="24"/>
        <v>1395582</v>
      </c>
      <c r="I374" s="41">
        <f t="shared" si="24"/>
        <v>0</v>
      </c>
      <c r="J374" s="47">
        <f t="shared" si="24"/>
        <v>0</v>
      </c>
      <c r="K374" s="47">
        <f t="shared" si="24"/>
        <v>125667.86</v>
      </c>
      <c r="L374" s="47">
        <f t="shared" si="24"/>
        <v>1526632.36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142.13999999999999</v>
      </c>
      <c r="I388" s="18"/>
      <c r="J388" s="24" t="s">
        <v>312</v>
      </c>
      <c r="K388" s="24" t="s">
        <v>312</v>
      </c>
      <c r="L388" s="56">
        <f t="shared" si="26"/>
        <v>142.13999999999999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142.13999999999999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142.13999999999999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>
        <v>11933.75</v>
      </c>
      <c r="J395" s="24" t="s">
        <v>312</v>
      </c>
      <c r="K395" s="24" t="s">
        <v>312</v>
      </c>
      <c r="L395" s="56">
        <f>SUM(F395:K395)</f>
        <v>11933.75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11933.75</v>
      </c>
      <c r="J399" s="49" t="s">
        <v>312</v>
      </c>
      <c r="K399" s="49" t="s">
        <v>312</v>
      </c>
      <c r="L399" s="47">
        <f>SUM(L395:L398)</f>
        <v>11933.75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142.13999999999999</v>
      </c>
      <c r="I400" s="47">
        <f>I385+I393+I399</f>
        <v>11933.75</v>
      </c>
      <c r="J400" s="24" t="s">
        <v>312</v>
      </c>
      <c r="K400" s="24" t="s">
        <v>312</v>
      </c>
      <c r="L400" s="47">
        <f>L385+L393+L399</f>
        <v>12075.89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894</v>
      </c>
      <c r="B421" s="6">
        <v>17</v>
      </c>
      <c r="C421" s="6">
        <v>15</v>
      </c>
      <c r="D421" s="2" t="s">
        <v>456</v>
      </c>
      <c r="E421" s="6"/>
      <c r="F421" s="18">
        <v>5600</v>
      </c>
      <c r="G421" s="18">
        <v>842.93</v>
      </c>
      <c r="H421" s="18">
        <v>7218.02</v>
      </c>
      <c r="I421" s="18">
        <v>966.4</v>
      </c>
      <c r="J421" s="18"/>
      <c r="K421" s="18">
        <v>19264.68</v>
      </c>
      <c r="L421" s="56">
        <f>SUM(F421:K421)</f>
        <v>33892.03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5600</v>
      </c>
      <c r="G425" s="47">
        <f t="shared" si="31"/>
        <v>842.93</v>
      </c>
      <c r="H425" s="47">
        <f t="shared" si="31"/>
        <v>7218.02</v>
      </c>
      <c r="I425" s="47">
        <f t="shared" si="31"/>
        <v>966.4</v>
      </c>
      <c r="J425" s="47">
        <f t="shared" si="31"/>
        <v>0</v>
      </c>
      <c r="K425" s="47">
        <f t="shared" si="31"/>
        <v>19264.68</v>
      </c>
      <c r="L425" s="47">
        <f t="shared" si="31"/>
        <v>33892.03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5600</v>
      </c>
      <c r="G426" s="47">
        <f t="shared" si="32"/>
        <v>842.93</v>
      </c>
      <c r="H426" s="47">
        <f t="shared" si="32"/>
        <v>7218.02</v>
      </c>
      <c r="I426" s="47">
        <f t="shared" si="32"/>
        <v>966.4</v>
      </c>
      <c r="J426" s="47">
        <f t="shared" si="32"/>
        <v>0</v>
      </c>
      <c r="K426" s="47">
        <f t="shared" si="32"/>
        <v>19264.68</v>
      </c>
      <c r="L426" s="47">
        <f t="shared" si="32"/>
        <v>33892.03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>
        <v>21758.57</v>
      </c>
      <c r="I433" s="56">
        <f t="shared" si="33"/>
        <v>21758.57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127355.7</v>
      </c>
      <c r="H434" s="18">
        <v>158.97999999999999</v>
      </c>
      <c r="I434" s="56">
        <f t="shared" si="33"/>
        <v>127514.68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127355.7</v>
      </c>
      <c r="H438" s="13">
        <f>SUM(H431:H437)</f>
        <v>21917.55</v>
      </c>
      <c r="I438" s="13">
        <f>SUM(I431:I437)</f>
        <v>149273.25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292.52</v>
      </c>
      <c r="H440" s="18"/>
      <c r="I440" s="56">
        <f>SUM(F440:H440)</f>
        <v>292.52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292.52</v>
      </c>
      <c r="H444" s="72">
        <f>SUM(H440:H443)</f>
        <v>0</v>
      </c>
      <c r="I444" s="72">
        <f>SUM(I440:I443)</f>
        <v>292.52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127063.18</v>
      </c>
      <c r="H449" s="18">
        <v>21917.55</v>
      </c>
      <c r="I449" s="56">
        <f>SUM(F449:H449)</f>
        <v>148980.72999999998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127063.18</v>
      </c>
      <c r="H450" s="83">
        <f>SUM(H446:H449)</f>
        <v>21917.55</v>
      </c>
      <c r="I450" s="83">
        <f>SUM(I446:I449)</f>
        <v>148980.72999999998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127355.7</v>
      </c>
      <c r="H451" s="42">
        <f>H444+H450</f>
        <v>21917.55</v>
      </c>
      <c r="I451" s="42">
        <f>I444+I450</f>
        <v>149273.24999999997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560384.38</v>
      </c>
      <c r="G455" s="18">
        <v>11507.72</v>
      </c>
      <c r="H455" s="18">
        <v>0</v>
      </c>
      <c r="I455" s="18">
        <v>1619890.24</v>
      </c>
      <c r="J455" s="18">
        <v>170796.87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22062215.190000001</v>
      </c>
      <c r="G458" s="18">
        <v>490192.92</v>
      </c>
      <c r="H458" s="18">
        <v>583737.91</v>
      </c>
      <c r="I458" s="18">
        <v>19564.990000000002</v>
      </c>
      <c r="J458" s="18">
        <v>12075.89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22062215.190000001</v>
      </c>
      <c r="G460" s="53">
        <f>SUM(G458:G459)</f>
        <v>490192.92</v>
      </c>
      <c r="H460" s="53">
        <f>SUM(H458:H459)</f>
        <v>583737.91</v>
      </c>
      <c r="I460" s="53">
        <f>SUM(I458:I459)</f>
        <v>19564.990000000002</v>
      </c>
      <c r="J460" s="53">
        <f>SUM(J458:J459)</f>
        <v>12075.89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21723005.109999999</v>
      </c>
      <c r="G462" s="18">
        <v>456372.25</v>
      </c>
      <c r="H462" s="18">
        <v>583737.91</v>
      </c>
      <c r="I462" s="18">
        <v>1526632.36</v>
      </c>
      <c r="J462" s="18">
        <v>33892.03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21723005.109999999</v>
      </c>
      <c r="G464" s="53">
        <f>SUM(G462:G463)</f>
        <v>456372.25</v>
      </c>
      <c r="H464" s="53">
        <f>SUM(H462:H463)</f>
        <v>583737.91</v>
      </c>
      <c r="I464" s="53">
        <f>SUM(I462:I463)</f>
        <v>1526632.36</v>
      </c>
      <c r="J464" s="53">
        <f>SUM(J462:J463)</f>
        <v>33892.03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899594.46000000089</v>
      </c>
      <c r="G466" s="53">
        <f>(G455+G460)- G464</f>
        <v>45328.389999999956</v>
      </c>
      <c r="H466" s="53">
        <f>(H455+H460)- H464</f>
        <v>0</v>
      </c>
      <c r="I466" s="53">
        <f>(I455+I460)- I464</f>
        <v>112822.86999999988</v>
      </c>
      <c r="J466" s="53">
        <f>(J455+J460)- J464</f>
        <v>148980.73000000001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3799000</v>
      </c>
      <c r="G483" s="18">
        <v>3883620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4.25</v>
      </c>
      <c r="G484" s="18">
        <v>4.24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2470000</v>
      </c>
      <c r="G485" s="18">
        <v>3883620</v>
      </c>
      <c r="H485" s="18"/>
      <c r="I485" s="18"/>
      <c r="J485" s="18"/>
      <c r="K485" s="53">
        <f>SUM(F485:J485)</f>
        <v>6353620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190000</v>
      </c>
      <c r="G487" s="18">
        <v>193620</v>
      </c>
      <c r="H487" s="18"/>
      <c r="I487" s="18"/>
      <c r="J487" s="18"/>
      <c r="K487" s="53">
        <f t="shared" si="34"/>
        <v>383620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2280000</v>
      </c>
      <c r="G488" s="205">
        <v>3690000</v>
      </c>
      <c r="H488" s="205"/>
      <c r="I488" s="205"/>
      <c r="J488" s="205"/>
      <c r="K488" s="206">
        <f t="shared" si="34"/>
        <v>5970000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669037</v>
      </c>
      <c r="G489" s="18">
        <v>1593872.02</v>
      </c>
      <c r="H489" s="18"/>
      <c r="I489" s="18"/>
      <c r="J489" s="18"/>
      <c r="K489" s="53">
        <f t="shared" si="34"/>
        <v>2262909.02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2949037</v>
      </c>
      <c r="G490" s="42">
        <f>SUM(G488:G489)</f>
        <v>5283872.0199999996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8232909.0199999996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190000</v>
      </c>
      <c r="G491" s="205">
        <v>195000</v>
      </c>
      <c r="H491" s="205"/>
      <c r="I491" s="205"/>
      <c r="J491" s="205"/>
      <c r="K491" s="206">
        <f t="shared" si="34"/>
        <v>385000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103978</v>
      </c>
      <c r="G492" s="18">
        <v>169468.76</v>
      </c>
      <c r="H492" s="18"/>
      <c r="I492" s="18"/>
      <c r="J492" s="18"/>
      <c r="K492" s="53">
        <f t="shared" si="34"/>
        <v>273446.76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293978</v>
      </c>
      <c r="G493" s="42">
        <f>SUM(G491:G492)</f>
        <v>364468.76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658446.76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1119326.42</v>
      </c>
      <c r="G511" s="18">
        <v>454965.76000000001</v>
      </c>
      <c r="H511" s="18">
        <f>303717.57+43.97+1860</f>
        <v>305621.53999999998</v>
      </c>
      <c r="I511" s="18">
        <f>14349.14+243.63</f>
        <v>14592.769999999999</v>
      </c>
      <c r="J511" s="18">
        <f>2891.35+9090.02</f>
        <v>11981.37</v>
      </c>
      <c r="K511" s="18"/>
      <c r="L511" s="88">
        <f>SUM(F511:K511)</f>
        <v>1906487.86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1492836.67</v>
      </c>
      <c r="G512" s="18">
        <v>701677.61</v>
      </c>
      <c r="H512" s="18">
        <f>105741.31+43.98</f>
        <v>105785.29</v>
      </c>
      <c r="I512" s="18">
        <f>79961.23+243.63</f>
        <v>80204.86</v>
      </c>
      <c r="J512" s="18">
        <f>31756.83+9090.02</f>
        <v>40846.850000000006</v>
      </c>
      <c r="K512" s="18"/>
      <c r="L512" s="88">
        <f>SUM(F512:K512)</f>
        <v>2421351.2799999998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2612163.09</v>
      </c>
      <c r="G514" s="108">
        <f t="shared" ref="G514:L514" si="35">SUM(G511:G513)</f>
        <v>1156643.3700000001</v>
      </c>
      <c r="H514" s="108">
        <f t="shared" si="35"/>
        <v>411406.82999999996</v>
      </c>
      <c r="I514" s="108">
        <f t="shared" si="35"/>
        <v>94797.63</v>
      </c>
      <c r="J514" s="108">
        <f t="shared" si="35"/>
        <v>52828.220000000008</v>
      </c>
      <c r="K514" s="108">
        <f t="shared" si="35"/>
        <v>0</v>
      </c>
      <c r="L514" s="89">
        <f t="shared" si="35"/>
        <v>4327839.1399999997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100938.15</v>
      </c>
      <c r="G516" s="18">
        <v>30001.63</v>
      </c>
      <c r="H516" s="18">
        <v>54844.21</v>
      </c>
      <c r="I516" s="18">
        <f>529.52+639.82</f>
        <v>1169.3400000000001</v>
      </c>
      <c r="J516" s="18"/>
      <c r="K516" s="18"/>
      <c r="L516" s="88">
        <f>SUM(F516:K516)</f>
        <v>186953.33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86321</v>
      </c>
      <c r="G517" s="18">
        <v>19016.650000000001</v>
      </c>
      <c r="H517" s="18">
        <v>56688.58</v>
      </c>
      <c r="I517" s="18">
        <f>1314.2+639.82</f>
        <v>1954.02</v>
      </c>
      <c r="J517" s="18"/>
      <c r="K517" s="18"/>
      <c r="L517" s="88">
        <f>SUM(F517:K517)</f>
        <v>163980.24999999997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187259.15</v>
      </c>
      <c r="G519" s="89">
        <f t="shared" ref="G519:L519" si="36">SUM(G516:G518)</f>
        <v>49018.28</v>
      </c>
      <c r="H519" s="89">
        <f t="shared" si="36"/>
        <v>111532.79000000001</v>
      </c>
      <c r="I519" s="89">
        <f t="shared" si="36"/>
        <v>3123.36</v>
      </c>
      <c r="J519" s="89">
        <f t="shared" si="36"/>
        <v>0</v>
      </c>
      <c r="K519" s="89">
        <f t="shared" si="36"/>
        <v>0</v>
      </c>
      <c r="L519" s="89">
        <f t="shared" si="36"/>
        <v>350933.57999999996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39344.28</v>
      </c>
      <c r="G521" s="18">
        <v>15992.03</v>
      </c>
      <c r="H521" s="18">
        <f>744+314.22</f>
        <v>1058.22</v>
      </c>
      <c r="I521" s="18">
        <v>706.23</v>
      </c>
      <c r="J521" s="18"/>
      <c r="K521" s="18"/>
      <c r="L521" s="88">
        <f>SUM(F521:K521)</f>
        <v>57100.76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31930</v>
      </c>
      <c r="G522" s="18">
        <v>15008.05</v>
      </c>
      <c r="H522" s="18">
        <v>126.6</v>
      </c>
      <c r="I522" s="18">
        <v>213.19</v>
      </c>
      <c r="J522" s="18"/>
      <c r="K522" s="18"/>
      <c r="L522" s="88">
        <f>SUM(F522:K522)</f>
        <v>47277.840000000004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71274.28</v>
      </c>
      <c r="G524" s="89">
        <f t="shared" ref="G524:L524" si="37">SUM(G521:G523)</f>
        <v>31000.080000000002</v>
      </c>
      <c r="H524" s="89">
        <f t="shared" si="37"/>
        <v>1184.82</v>
      </c>
      <c r="I524" s="89">
        <f t="shared" si="37"/>
        <v>919.42000000000007</v>
      </c>
      <c r="J524" s="89">
        <f t="shared" si="37"/>
        <v>0</v>
      </c>
      <c r="K524" s="89">
        <f t="shared" si="37"/>
        <v>0</v>
      </c>
      <c r="L524" s="89">
        <f t="shared" si="37"/>
        <v>104378.6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62709.22</v>
      </c>
      <c r="I531" s="18"/>
      <c r="J531" s="18"/>
      <c r="K531" s="18"/>
      <c r="L531" s="88">
        <f>SUM(F531:K531)</f>
        <v>62709.22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69906.28</v>
      </c>
      <c r="I532" s="18"/>
      <c r="J532" s="18"/>
      <c r="K532" s="18"/>
      <c r="L532" s="88">
        <f>SUM(F532:K532)</f>
        <v>69906.28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132615.5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132615.5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2870696.5199999996</v>
      </c>
      <c r="G535" s="89">
        <f t="shared" ref="G535:L535" si="40">G514+G519+G524+G529+G534</f>
        <v>1236661.7300000002</v>
      </c>
      <c r="H535" s="89">
        <f t="shared" si="40"/>
        <v>656739.93999999994</v>
      </c>
      <c r="I535" s="89">
        <f t="shared" si="40"/>
        <v>98840.41</v>
      </c>
      <c r="J535" s="89">
        <f t="shared" si="40"/>
        <v>52828.220000000008</v>
      </c>
      <c r="K535" s="89">
        <f t="shared" si="40"/>
        <v>0</v>
      </c>
      <c r="L535" s="89">
        <f t="shared" si="40"/>
        <v>4915766.8199999994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1906487.86</v>
      </c>
      <c r="G539" s="87">
        <f>L516</f>
        <v>186953.33</v>
      </c>
      <c r="H539" s="87">
        <f>L521</f>
        <v>57100.76</v>
      </c>
      <c r="I539" s="87">
        <f>L526</f>
        <v>0</v>
      </c>
      <c r="J539" s="87">
        <f>L531</f>
        <v>62709.22</v>
      </c>
      <c r="K539" s="87">
        <f>SUM(F539:J539)</f>
        <v>2213251.1700000004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2421351.2799999998</v>
      </c>
      <c r="G540" s="87">
        <f>L517</f>
        <v>163980.24999999997</v>
      </c>
      <c r="H540" s="87">
        <f>L522</f>
        <v>47277.840000000004</v>
      </c>
      <c r="I540" s="87">
        <f>L527</f>
        <v>0</v>
      </c>
      <c r="J540" s="87">
        <f>L532</f>
        <v>69906.28</v>
      </c>
      <c r="K540" s="87">
        <f>SUM(F540:J540)</f>
        <v>2702515.6499999994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4327839.1399999997</v>
      </c>
      <c r="G542" s="89">
        <f t="shared" si="41"/>
        <v>350933.57999999996</v>
      </c>
      <c r="H542" s="89">
        <f t="shared" si="41"/>
        <v>104378.6</v>
      </c>
      <c r="I542" s="89">
        <f t="shared" si="41"/>
        <v>0</v>
      </c>
      <c r="J542" s="89">
        <f t="shared" si="41"/>
        <v>132615.5</v>
      </c>
      <c r="K542" s="89">
        <f t="shared" si="41"/>
        <v>4915766.82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74346.539999999994</v>
      </c>
      <c r="G572" s="18">
        <v>76476</v>
      </c>
      <c r="H572" s="18"/>
      <c r="I572" s="87">
        <f t="shared" si="46"/>
        <v>150822.53999999998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297327.75</v>
      </c>
      <c r="I581" s="18">
        <v>171334.77</v>
      </c>
      <c r="J581" s="18"/>
      <c r="K581" s="104">
        <f t="shared" ref="K581:K587" si="47">SUM(H581:J581)</f>
        <v>468662.52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62709.22</v>
      </c>
      <c r="I582" s="18">
        <v>69906.28</v>
      </c>
      <c r="J582" s="18"/>
      <c r="K582" s="104">
        <f t="shared" si="47"/>
        <v>132615.5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9524.7900000000009</v>
      </c>
      <c r="J584" s="18"/>
      <c r="K584" s="104">
        <f t="shared" si="47"/>
        <v>9524.7900000000009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360036.97</v>
      </c>
      <c r="I588" s="108">
        <f>SUM(I581:I587)</f>
        <v>250765.84</v>
      </c>
      <c r="J588" s="108">
        <f>SUM(J581:J587)</f>
        <v>0</v>
      </c>
      <c r="K588" s="108">
        <f>SUM(K581:K587)</f>
        <v>610802.81000000006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81165.48-1604</f>
        <v>79561.48</v>
      </c>
      <c r="I594" s="18">
        <v>166802.5</v>
      </c>
      <c r="J594" s="18"/>
      <c r="K594" s="104">
        <f>SUM(H594:J594)</f>
        <v>246363.97999999998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79561.48</v>
      </c>
      <c r="I595" s="108">
        <f>SUM(I592:I594)</f>
        <v>166802.5</v>
      </c>
      <c r="J595" s="108">
        <f>SUM(J592:J594)</f>
        <v>0</v>
      </c>
      <c r="K595" s="108">
        <f>SUM(K592:K594)</f>
        <v>246363.97999999998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959409.55999999994</v>
      </c>
      <c r="H607" s="109">
        <f>SUM(F44)</f>
        <v>959409.55999999994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63277.08</v>
      </c>
      <c r="H608" s="109">
        <f>SUM(G44)</f>
        <v>63277.08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289377.52</v>
      </c>
      <c r="H609" s="109">
        <f>SUM(H44)</f>
        <v>289377.52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112822.87</v>
      </c>
      <c r="H610" s="109">
        <f>SUM(I44)</f>
        <v>112822.87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149273.25</v>
      </c>
      <c r="H611" s="109">
        <f>SUM(J44)</f>
        <v>149273.24999999997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899594.46</v>
      </c>
      <c r="H612" s="109">
        <f>F466</f>
        <v>899594.46000000089</v>
      </c>
      <c r="I612" s="121" t="s">
        <v>106</v>
      </c>
      <c r="J612" s="109">
        <f t="shared" ref="J612:J645" si="49">G612-H612</f>
        <v>-9.3132257461547852E-10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45328.39</v>
      </c>
      <c r="H613" s="109">
        <f>G466</f>
        <v>45328.389999999956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112822.87</v>
      </c>
      <c r="H615" s="109">
        <f>I466</f>
        <v>112822.86999999988</v>
      </c>
      <c r="I615" s="121" t="s">
        <v>112</v>
      </c>
      <c r="J615" s="109">
        <f t="shared" si="49"/>
        <v>1.1641532182693481E-10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148980.72999999998</v>
      </c>
      <c r="H616" s="109">
        <f>J466</f>
        <v>148980.73000000001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22062215.189999998</v>
      </c>
      <c r="H617" s="104">
        <f>SUM(F458)</f>
        <v>22062215.190000001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490192.92</v>
      </c>
      <c r="H618" s="104">
        <f>SUM(G458)</f>
        <v>490192.92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583737.91</v>
      </c>
      <c r="H619" s="104">
        <f>SUM(H458)</f>
        <v>583737.91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19564.990000000002</v>
      </c>
      <c r="H620" s="104">
        <f>SUM(I458)</f>
        <v>19564.990000000002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12075.89</v>
      </c>
      <c r="H621" s="104">
        <f>SUM(J458)</f>
        <v>12075.89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21723005.109999999</v>
      </c>
      <c r="H622" s="104">
        <f>SUM(F462)</f>
        <v>21723005.109999999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583737.91</v>
      </c>
      <c r="H623" s="104">
        <f>SUM(H462)</f>
        <v>583737.91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168917.57</v>
      </c>
      <c r="H624" s="104">
        <f>I361</f>
        <v>168917.57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456372.25</v>
      </c>
      <c r="H625" s="104">
        <f>SUM(G462)</f>
        <v>456372.25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1526632.36</v>
      </c>
      <c r="H626" s="104">
        <f>SUM(I462)</f>
        <v>1526632.36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12075.89</v>
      </c>
      <c r="H627" s="164">
        <f>SUM(J458)</f>
        <v>12075.89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33892.03</v>
      </c>
      <c r="H628" s="164">
        <f>SUM(J462)</f>
        <v>33892.03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127355.7</v>
      </c>
      <c r="H630" s="104">
        <f>SUM(G451)</f>
        <v>127355.7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21917.55</v>
      </c>
      <c r="H631" s="104">
        <f>SUM(H451)</f>
        <v>21917.55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149273.25</v>
      </c>
      <c r="H632" s="104">
        <f>SUM(I451)</f>
        <v>149273.24999999997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142.13999999999999</v>
      </c>
      <c r="H634" s="104">
        <f>H400</f>
        <v>142.13999999999999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12075.89</v>
      </c>
      <c r="H636" s="104">
        <f>L400</f>
        <v>12075.89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610802.81000000006</v>
      </c>
      <c r="H637" s="104">
        <f>L200+L218+L236</f>
        <v>610802.80999999994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246363.97999999998</v>
      </c>
      <c r="H638" s="104">
        <f>(J249+J330)-(J247+J328)</f>
        <v>246363.98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360036.97</v>
      </c>
      <c r="H639" s="104">
        <f>H588</f>
        <v>360036.97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250765.84</v>
      </c>
      <c r="H640" s="104">
        <f>I588</f>
        <v>250765.84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10147854.100000003</v>
      </c>
      <c r="G650" s="19">
        <f>(L221+L301+L351)</f>
        <v>11825475.479999999</v>
      </c>
      <c r="H650" s="19">
        <f>(L239+L320+L352)</f>
        <v>0</v>
      </c>
      <c r="I650" s="19">
        <f>SUM(F650:H650)</f>
        <v>21973329.580000002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155330.04183221221</v>
      </c>
      <c r="G651" s="19">
        <f>(L351/IF(SUM(L350:L352)=0,1,SUM(L350:L352))*(SUM(G89:G102)))</f>
        <v>260231.8181677878</v>
      </c>
      <c r="H651" s="19">
        <f>(L352/IF(SUM(L350:L352)=0,1,SUM(L350:L352))*(SUM(G89:G102)))</f>
        <v>0</v>
      </c>
      <c r="I651" s="19">
        <f>SUM(F651:H651)</f>
        <v>415561.86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360036.97</v>
      </c>
      <c r="G652" s="19">
        <f>(L218+L298)-(J218+J298)</f>
        <v>250765.84</v>
      </c>
      <c r="H652" s="19">
        <f>(L236+L317)-(J236+J317)</f>
        <v>0</v>
      </c>
      <c r="I652" s="19">
        <f>SUM(F652:H652)</f>
        <v>610802.80999999994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153908.01999999999</v>
      </c>
      <c r="G653" s="200">
        <f>SUM(G565:G577)+SUM(I592:I594)+L602</f>
        <v>243278.5</v>
      </c>
      <c r="H653" s="200">
        <f>SUM(H565:H577)+SUM(J592:J594)+L603</f>
        <v>0</v>
      </c>
      <c r="I653" s="19">
        <f>SUM(F653:H653)</f>
        <v>397186.52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9478579.0681677908</v>
      </c>
      <c r="G654" s="19">
        <f>G650-SUM(G651:G653)</f>
        <v>11071199.32183221</v>
      </c>
      <c r="H654" s="19">
        <f>H650-SUM(H651:H653)</f>
        <v>0</v>
      </c>
      <c r="I654" s="19">
        <f>I650-SUM(I651:I653)</f>
        <v>20549778.390000001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666.1</v>
      </c>
      <c r="G655" s="249">
        <v>795.41</v>
      </c>
      <c r="H655" s="249"/>
      <c r="I655" s="19">
        <f>SUM(F655:H655)</f>
        <v>1461.51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14229.96</v>
      </c>
      <c r="G657" s="19">
        <f>ROUND(G654/G655,2)</f>
        <v>13918.86</v>
      </c>
      <c r="H657" s="19" t="e">
        <f>ROUND(H654/H655,2)</f>
        <v>#DIV/0!</v>
      </c>
      <c r="I657" s="19">
        <f>ROUND(I654/I655,2)</f>
        <v>14060.65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14229.96</v>
      </c>
      <c r="G662" s="19">
        <f>ROUND((G654+G659)/(G655+G660),2)</f>
        <v>13918.86</v>
      </c>
      <c r="H662" s="19" t="e">
        <f>ROUND((H654+H659)/(H655+H660),2)</f>
        <v>#DIV/0!</v>
      </c>
      <c r="I662" s="19">
        <f>ROUND((I654+I659)/(I655+I660),2)</f>
        <v>14060.65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B6-49AD-4ADB-AFFE-771F12DB5D33}">
  <sheetPr>
    <tabColor indexed="20"/>
  </sheetPr>
  <dimension ref="A1:C52"/>
  <sheetViews>
    <sheetView topLeftCell="A18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Amherst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7686108.6700000009</v>
      </c>
      <c r="C9" s="230">
        <f>'DOE25'!G189+'DOE25'!G207+'DOE25'!G225+'DOE25'!G268+'DOE25'!G287+'DOE25'!G306</f>
        <v>2768703.11</v>
      </c>
    </row>
    <row r="10" spans="1:3" x14ac:dyDescent="0.2">
      <c r="A10" t="s">
        <v>813</v>
      </c>
      <c r="B10" s="241">
        <v>7374334.0800000001</v>
      </c>
      <c r="C10" s="241">
        <v>2657954.9900000002</v>
      </c>
    </row>
    <row r="11" spans="1:3" x14ac:dyDescent="0.2">
      <c r="A11" t="s">
        <v>814</v>
      </c>
      <c r="B11" s="241">
        <v>291680.76</v>
      </c>
      <c r="C11" s="241">
        <v>102442.01</v>
      </c>
    </row>
    <row r="12" spans="1:3" x14ac:dyDescent="0.2">
      <c r="A12" t="s">
        <v>815</v>
      </c>
      <c r="B12" s="241">
        <v>20093.830000000002</v>
      </c>
      <c r="C12" s="241">
        <v>8306.11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7686108.6699999999</v>
      </c>
      <c r="C13" s="232">
        <f>SUM(C10:C12)</f>
        <v>2768703.11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2870696.52</v>
      </c>
      <c r="C18" s="230">
        <f>'DOE25'!G190+'DOE25'!G208+'DOE25'!G226+'DOE25'!G269+'DOE25'!G288+'DOE25'!G307</f>
        <v>1236661.73</v>
      </c>
    </row>
    <row r="19" spans="1:3" x14ac:dyDescent="0.2">
      <c r="A19" t="s">
        <v>813</v>
      </c>
      <c r="B19" s="241">
        <v>1577174.66</v>
      </c>
      <c r="C19" s="241">
        <v>680163.95</v>
      </c>
    </row>
    <row r="20" spans="1:3" x14ac:dyDescent="0.2">
      <c r="A20" t="s">
        <v>814</v>
      </c>
      <c r="B20" s="241">
        <v>843065.43</v>
      </c>
      <c r="C20" s="241">
        <v>358631.9</v>
      </c>
    </row>
    <row r="21" spans="1:3" x14ac:dyDescent="0.2">
      <c r="A21" t="s">
        <v>815</v>
      </c>
      <c r="B21" s="241">
        <v>450456.43</v>
      </c>
      <c r="C21" s="241">
        <v>197865.88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2870696.52</v>
      </c>
      <c r="C22" s="232">
        <f>SUM(C19:C21)</f>
        <v>1236661.73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55688</v>
      </c>
      <c r="C36" s="236">
        <f>'DOE25'!G192+'DOE25'!G210+'DOE25'!G228+'DOE25'!G271+'DOE25'!G290+'DOE25'!G309</f>
        <v>8117.7999999999993</v>
      </c>
    </row>
    <row r="37" spans="1:3" x14ac:dyDescent="0.2">
      <c r="A37" t="s">
        <v>813</v>
      </c>
      <c r="B37" s="241">
        <v>29850</v>
      </c>
      <c r="C37" s="241">
        <v>4383.6099999999997</v>
      </c>
    </row>
    <row r="38" spans="1:3" x14ac:dyDescent="0.2">
      <c r="A38" t="s">
        <v>814</v>
      </c>
      <c r="B38" s="241">
        <v>16421.2</v>
      </c>
      <c r="C38" s="241">
        <v>2354.16</v>
      </c>
    </row>
    <row r="39" spans="1:3" x14ac:dyDescent="0.2">
      <c r="A39" t="s">
        <v>815</v>
      </c>
      <c r="B39" s="241">
        <v>9416.7999999999993</v>
      </c>
      <c r="C39" s="241">
        <v>1380.03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55688</v>
      </c>
      <c r="C40" s="232">
        <f>SUM(C37:C39)</f>
        <v>8117.7999999999993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BA6-9506-4392-9B8A-D252BFB76AA8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Amherst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15365688.600000001</v>
      </c>
      <c r="D5" s="20">
        <f>SUM('DOE25'!L189:L192)+SUM('DOE25'!L207:L210)+SUM('DOE25'!L225:L228)-F5-G5</f>
        <v>15183686.320000002</v>
      </c>
      <c r="E5" s="244"/>
      <c r="F5" s="256">
        <f>SUM('DOE25'!J189:J192)+SUM('DOE25'!J207:J210)+SUM('DOE25'!J225:J228)</f>
        <v>182002.28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916964.87999999989</v>
      </c>
      <c r="D6" s="20">
        <f>'DOE25'!L194+'DOE25'!L212+'DOE25'!L230-F6-G6</f>
        <v>915799.95999999985</v>
      </c>
      <c r="E6" s="244"/>
      <c r="F6" s="256">
        <f>'DOE25'!J194+'DOE25'!J212+'DOE25'!J230</f>
        <v>1164.92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432059.94000000006</v>
      </c>
      <c r="D7" s="20">
        <f>'DOE25'!L195+'DOE25'!L213+'DOE25'!L231-F7-G7</f>
        <v>430275.22000000009</v>
      </c>
      <c r="E7" s="244"/>
      <c r="F7" s="256">
        <f>'DOE25'!J195+'DOE25'!J213+'DOE25'!J231</f>
        <v>1784.72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1071153.9500000002</v>
      </c>
      <c r="D8" s="244"/>
      <c r="E8" s="20">
        <f>'DOE25'!L196+'DOE25'!L214+'DOE25'!L232-F8-G8-D9-D11</f>
        <v>1064394.2100000002</v>
      </c>
      <c r="F8" s="256">
        <f>'DOE25'!J196+'DOE25'!J214+'DOE25'!J232</f>
        <v>0</v>
      </c>
      <c r="G8" s="53">
        <f>'DOE25'!K196+'DOE25'!K214+'DOE25'!K232</f>
        <v>6759.74</v>
      </c>
      <c r="H8" s="260"/>
    </row>
    <row r="9" spans="1:9" x14ac:dyDescent="0.2">
      <c r="A9" s="32">
        <v>2310</v>
      </c>
      <c r="B9" t="s">
        <v>852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961489.93</v>
      </c>
      <c r="D12" s="20">
        <f>'DOE25'!L197+'DOE25'!L215+'DOE25'!L233-F12-G12</f>
        <v>953239.03</v>
      </c>
      <c r="E12" s="244"/>
      <c r="F12" s="256">
        <f>'DOE25'!J197+'DOE25'!J215+'DOE25'!J233</f>
        <v>5976.9</v>
      </c>
      <c r="G12" s="53">
        <f>'DOE25'!K197+'DOE25'!K215+'DOE25'!K233</f>
        <v>2274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2261.54</v>
      </c>
      <c r="D13" s="244"/>
      <c r="E13" s="20">
        <f>'DOE25'!L198+'DOE25'!L216+'DOE25'!L234-F13-G13</f>
        <v>2261.54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1322449.9100000001</v>
      </c>
      <c r="D14" s="20">
        <f>'DOE25'!L199+'DOE25'!L217+'DOE25'!L235-F14-G14</f>
        <v>1318975.3800000001</v>
      </c>
      <c r="E14" s="244"/>
      <c r="F14" s="256">
        <f>'DOE25'!J199+'DOE25'!J217+'DOE25'!J235</f>
        <v>3474.5299999999997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610802.80999999994</v>
      </c>
      <c r="D15" s="20">
        <f>'DOE25'!L200+'DOE25'!L218+'DOE25'!L236-F15-G15</f>
        <v>610802.80999999994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250347.86</v>
      </c>
      <c r="D16" s="244"/>
      <c r="E16" s="20">
        <f>'DOE25'!L201+'DOE25'!L219+'DOE25'!L237-F16-G16</f>
        <v>231670.06</v>
      </c>
      <c r="F16" s="256">
        <f>'DOE25'!J201+'DOE25'!J219+'DOE25'!J237</f>
        <v>18677.8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116901.36</v>
      </c>
      <c r="D22" s="244"/>
      <c r="E22" s="244"/>
      <c r="F22" s="256">
        <f>'DOE25'!L247+'DOE25'!L328</f>
        <v>116901.36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672884.33000000007</v>
      </c>
      <c r="D25" s="244"/>
      <c r="E25" s="244"/>
      <c r="F25" s="259"/>
      <c r="G25" s="257"/>
      <c r="H25" s="258">
        <f>'DOE25'!L252+'DOE25'!L253+'DOE25'!L333+'DOE25'!L334</f>
        <v>672884.33000000007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297665.24</v>
      </c>
      <c r="D29" s="20">
        <f>'DOE25'!L350+'DOE25'!L351+'DOE25'!L352-'DOE25'!I359-F29-G29</f>
        <v>296061.24</v>
      </c>
      <c r="E29" s="244"/>
      <c r="F29" s="256">
        <f>'DOE25'!J350+'DOE25'!J351+'DOE25'!J352</f>
        <v>1604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583737.91</v>
      </c>
      <c r="D31" s="20">
        <f>'DOE25'!L282+'DOE25'!L301+'DOE25'!L320+'DOE25'!L325+'DOE25'!L326+'DOE25'!L327-F31-G31</f>
        <v>550455.08000000007</v>
      </c>
      <c r="E31" s="244"/>
      <c r="F31" s="256">
        <f>'DOE25'!J282+'DOE25'!J301+'DOE25'!J320+'DOE25'!J325+'DOE25'!J326+'DOE25'!J327</f>
        <v>33282.829999999994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20259295.039999999</v>
      </c>
      <c r="E33" s="247">
        <f>SUM(E5:E31)</f>
        <v>1298325.8100000003</v>
      </c>
      <c r="F33" s="247">
        <f>SUM(F5:F31)</f>
        <v>364869.34</v>
      </c>
      <c r="G33" s="247">
        <f>SUM(G5:G31)</f>
        <v>9033.74</v>
      </c>
      <c r="H33" s="247">
        <f>SUM(H5:H31)</f>
        <v>672884.33000000007</v>
      </c>
    </row>
    <row r="35" spans="2:8" ht="12" thickBot="1" x14ac:dyDescent="0.25">
      <c r="B35" s="254" t="s">
        <v>881</v>
      </c>
      <c r="D35" s="255">
        <f>E33</f>
        <v>1298325.8100000003</v>
      </c>
      <c r="E35" s="250"/>
    </row>
    <row r="36" spans="2:8" ht="12" thickTop="1" x14ac:dyDescent="0.2">
      <c r="B36" t="s">
        <v>849</v>
      </c>
      <c r="D36" s="20">
        <f>D33</f>
        <v>20259295.039999999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C530-429C-498D-B732-EEA6956F56B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Amherst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542660.74</v>
      </c>
      <c r="D9" s="95">
        <f>'DOE25'!G9</f>
        <v>0</v>
      </c>
      <c r="E9" s="95">
        <f>'DOE25'!H9</f>
        <v>0</v>
      </c>
      <c r="F9" s="95">
        <f>'DOE25'!I9</f>
        <v>112822.87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202587.94</v>
      </c>
      <c r="D12" s="95">
        <f>'DOE25'!G12</f>
        <v>52868.86</v>
      </c>
      <c r="E12" s="95">
        <f>'DOE25'!H12</f>
        <v>0</v>
      </c>
      <c r="F12" s="95">
        <f>'DOE25'!I12</f>
        <v>0</v>
      </c>
      <c r="G12" s="95">
        <f>'DOE25'!J12</f>
        <v>21758.57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214160.88</v>
      </c>
      <c r="D13" s="95">
        <f>'DOE25'!G13</f>
        <v>10351.82</v>
      </c>
      <c r="E13" s="95">
        <f>'DOE25'!H13</f>
        <v>289377.52</v>
      </c>
      <c r="F13" s="95">
        <f>'DOE25'!I13</f>
        <v>0</v>
      </c>
      <c r="G13" s="95">
        <f>'DOE25'!J13</f>
        <v>127514.68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56.4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959409.55999999994</v>
      </c>
      <c r="D19" s="41">
        <f>SUM(D9:D18)</f>
        <v>63277.08</v>
      </c>
      <c r="E19" s="41">
        <f>SUM(E9:E18)</f>
        <v>289377.52</v>
      </c>
      <c r="F19" s="41">
        <f>SUM(F9:F18)</f>
        <v>112822.87</v>
      </c>
      <c r="G19" s="41">
        <f>SUM(G9:G18)</f>
        <v>149273.25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292.52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4835.33</v>
      </c>
      <c r="D23" s="95">
        <f>'DOE25'!G24</f>
        <v>17946.25</v>
      </c>
      <c r="E23" s="95">
        <f>'DOE25'!H24</f>
        <v>276922.84999999998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4692.78</v>
      </c>
      <c r="D24" s="95">
        <f>'DOE25'!G25</f>
        <v>2.44</v>
      </c>
      <c r="E24" s="95">
        <f>'DOE25'!H25</f>
        <v>2746.77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31877.03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18242.8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9707.9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167.16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59815.100000000006</v>
      </c>
      <c r="D32" s="41">
        <f>SUM(D22:D31)</f>
        <v>17948.689999999999</v>
      </c>
      <c r="E32" s="41">
        <f>SUM(E22:E31)</f>
        <v>289377.52</v>
      </c>
      <c r="F32" s="41">
        <f>SUM(F22:F31)</f>
        <v>0</v>
      </c>
      <c r="G32" s="41">
        <f>SUM(G22:G31)</f>
        <v>292.52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209356.86</v>
      </c>
      <c r="D36" s="95">
        <f>'DOE25'!G37</f>
        <v>1542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46046.85</v>
      </c>
      <c r="D40" s="95">
        <f>'DOE25'!G41</f>
        <v>43786.39</v>
      </c>
      <c r="E40" s="95">
        <f>'DOE25'!H41</f>
        <v>0</v>
      </c>
      <c r="F40" s="95">
        <f>'DOE25'!I41</f>
        <v>112822.87</v>
      </c>
      <c r="G40" s="95">
        <f>'DOE25'!J41</f>
        <v>148980.72999999998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644190.75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899594.46</v>
      </c>
      <c r="D42" s="41">
        <f>SUM(D34:D41)</f>
        <v>45328.39</v>
      </c>
      <c r="E42" s="41">
        <f>SUM(E34:E41)</f>
        <v>0</v>
      </c>
      <c r="F42" s="41">
        <f>SUM(F34:F41)</f>
        <v>112822.87</v>
      </c>
      <c r="G42" s="41">
        <f>SUM(G34:G41)</f>
        <v>148980.72999999998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959409.55999999994</v>
      </c>
      <c r="D43" s="41">
        <f>D42+D32</f>
        <v>63277.08</v>
      </c>
      <c r="E43" s="41">
        <f>E42+E32</f>
        <v>289377.52</v>
      </c>
      <c r="F43" s="41">
        <f>F42+F32</f>
        <v>112822.87</v>
      </c>
      <c r="G43" s="41">
        <f>G42+G32</f>
        <v>149273.24999999997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15402892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839456.5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11533.44</v>
      </c>
      <c r="D51" s="95">
        <f>'DOE25'!G88</f>
        <v>0</v>
      </c>
      <c r="E51" s="95">
        <f>'DOE25'!H88</f>
        <v>0</v>
      </c>
      <c r="F51" s="95">
        <f>'DOE25'!I88</f>
        <v>19564.990000000002</v>
      </c>
      <c r="G51" s="95">
        <f>'DOE25'!J88</f>
        <v>142.13999999999999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414446.49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132982.18</v>
      </c>
      <c r="D53" s="95">
        <f>SUM('DOE25'!G90:G102)</f>
        <v>1115.3699999999999</v>
      </c>
      <c r="E53" s="95">
        <f>SUM('DOE25'!H90:H102)</f>
        <v>5742.67</v>
      </c>
      <c r="F53" s="95">
        <f>SUM('DOE25'!I90:I102)</f>
        <v>0</v>
      </c>
      <c r="G53" s="95">
        <f>SUM('DOE25'!J90:J102)</f>
        <v>11933.75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983972.11999999988</v>
      </c>
      <c r="D54" s="130">
        <f>SUM(D49:D53)</f>
        <v>415561.86</v>
      </c>
      <c r="E54" s="130">
        <f>SUM(E49:E53)</f>
        <v>5742.67</v>
      </c>
      <c r="F54" s="130">
        <f>SUM(F49:F53)</f>
        <v>19564.990000000002</v>
      </c>
      <c r="G54" s="130">
        <f>SUM(G49:G53)</f>
        <v>12075.89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16386864.119999999</v>
      </c>
      <c r="D55" s="22">
        <f>D48+D54</f>
        <v>415561.86</v>
      </c>
      <c r="E55" s="22">
        <f>E48+E54</f>
        <v>5742.67</v>
      </c>
      <c r="F55" s="22">
        <f>F48+F54</f>
        <v>19564.990000000002</v>
      </c>
      <c r="G55" s="22">
        <f>G48+G54</f>
        <v>12075.89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1921498.52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2506753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737218.48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5165470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156987.94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195242.02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4761.9799999999996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352229.95999999996</v>
      </c>
      <c r="D70" s="130">
        <f>SUM(D64:D69)</f>
        <v>4761.9799999999996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5517699.96</v>
      </c>
      <c r="D73" s="130">
        <f>SUM(D71:D72)+D70+D62</f>
        <v>4761.9799999999996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157651.10999999999</v>
      </c>
      <c r="D80" s="95">
        <f>SUM('DOE25'!G145:G153)</f>
        <v>69869.08</v>
      </c>
      <c r="E80" s="95">
        <f>SUM('DOE25'!H145:H153)</f>
        <v>577995.24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157651.10999999999</v>
      </c>
      <c r="D83" s="131">
        <f>SUM(D77:D82)</f>
        <v>69869.08</v>
      </c>
      <c r="E83" s="131">
        <f>SUM(E77:E82)</f>
        <v>577995.24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22062215.189999998</v>
      </c>
      <c r="D96" s="86">
        <f>D55+D73+D83+D95</f>
        <v>490192.92</v>
      </c>
      <c r="E96" s="86">
        <f>E55+E73+E83+E95</f>
        <v>583737.91</v>
      </c>
      <c r="F96" s="86">
        <f>F55+F73+F83+F95</f>
        <v>19564.990000000002</v>
      </c>
      <c r="G96" s="86">
        <f>G55+G73+G95</f>
        <v>12075.89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10880289.84</v>
      </c>
      <c r="D101" s="24" t="s">
        <v>312</v>
      </c>
      <c r="E101" s="95">
        <f>('DOE25'!L268)+('DOE25'!L287)+('DOE25'!L306)</f>
        <v>157427.59000000003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4411244.88</v>
      </c>
      <c r="D102" s="24" t="s">
        <v>312</v>
      </c>
      <c r="E102" s="95">
        <f>('DOE25'!L269)+('DOE25'!L288)+('DOE25'!L307)</f>
        <v>374185.06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74153.88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15365688.6</v>
      </c>
      <c r="D107" s="86">
        <f>SUM(D101:D106)</f>
        <v>0</v>
      </c>
      <c r="E107" s="86">
        <f>SUM(E101:E106)</f>
        <v>531612.65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916964.87999999989</v>
      </c>
      <c r="D110" s="24" t="s">
        <v>312</v>
      </c>
      <c r="E110" s="95">
        <f>+('DOE25'!L273)+('DOE25'!L292)+('DOE25'!L311)</f>
        <v>17747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432059.94000000006</v>
      </c>
      <c r="D111" s="24" t="s">
        <v>312</v>
      </c>
      <c r="E111" s="95">
        <f>+('DOE25'!L274)+('DOE25'!L293)+('DOE25'!L312)</f>
        <v>34378.26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1071153.9500000002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961489.93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2261.54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1322449.9100000001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610802.80999999994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250347.86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456372.25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5567530.8200000003</v>
      </c>
      <c r="D120" s="86">
        <f>SUM(D110:D119)</f>
        <v>456372.25</v>
      </c>
      <c r="E120" s="86">
        <f>SUM(E110:E119)</f>
        <v>52125.26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116901.36</v>
      </c>
      <c r="D122" s="24" t="s">
        <v>312</v>
      </c>
      <c r="E122" s="129">
        <f>'DOE25'!L328</f>
        <v>0</v>
      </c>
      <c r="F122" s="129">
        <f>SUM('DOE25'!L366:'DOE25'!L372)</f>
        <v>1526632.36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383620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289264.33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19264.68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142.13999999999999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11933.75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-12075.89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789785.69</v>
      </c>
      <c r="D136" s="141">
        <f>SUM(D122:D135)</f>
        <v>0</v>
      </c>
      <c r="E136" s="141">
        <f>SUM(E122:E135)</f>
        <v>0</v>
      </c>
      <c r="F136" s="141">
        <f>SUM(F122:F135)</f>
        <v>1526632.36</v>
      </c>
      <c r="G136" s="141">
        <f>SUM(G122:G135)</f>
        <v>19264.68</v>
      </c>
    </row>
    <row r="137" spans="1:9" ht="12.75" thickTop="1" thickBot="1" x14ac:dyDescent="0.25">
      <c r="A137" s="33" t="s">
        <v>267</v>
      </c>
      <c r="C137" s="86">
        <f>(C107+C120+C136)</f>
        <v>21723005.110000003</v>
      </c>
      <c r="D137" s="86">
        <f>(D107+D120+D136)</f>
        <v>456372.25</v>
      </c>
      <c r="E137" s="86">
        <f>(E107+E120+E136)</f>
        <v>583737.91</v>
      </c>
      <c r="F137" s="86">
        <f>(F107+F120+F136)</f>
        <v>1526632.36</v>
      </c>
      <c r="G137" s="86">
        <f>(G107+G120+G136)</f>
        <v>19264.68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07/01</v>
      </c>
      <c r="C144" s="152" t="str">
        <f>'DOE25'!G481</f>
        <v>07/08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07/21</v>
      </c>
      <c r="C145" s="152" t="str">
        <f>'DOE25'!G482</f>
        <v>08/28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3799000</v>
      </c>
      <c r="C146" s="137">
        <f>'DOE25'!G483</f>
        <v>3883620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4.25</v>
      </c>
      <c r="C147" s="137">
        <f>'DOE25'!G484</f>
        <v>4.24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2470000</v>
      </c>
      <c r="C148" s="137">
        <f>'DOE25'!G485</f>
        <v>3883620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6353620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190000</v>
      </c>
      <c r="C150" s="137">
        <f>'DOE25'!G487</f>
        <v>193620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383620</v>
      </c>
    </row>
    <row r="151" spans="1:7" x14ac:dyDescent="0.2">
      <c r="A151" s="22" t="s">
        <v>35</v>
      </c>
      <c r="B151" s="137">
        <f>'DOE25'!F488</f>
        <v>2280000</v>
      </c>
      <c r="C151" s="137">
        <f>'DOE25'!G488</f>
        <v>3690000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5970000</v>
      </c>
    </row>
    <row r="152" spans="1:7" x14ac:dyDescent="0.2">
      <c r="A152" s="22" t="s">
        <v>36</v>
      </c>
      <c r="B152" s="137">
        <f>'DOE25'!F489</f>
        <v>669037</v>
      </c>
      <c r="C152" s="137">
        <f>'DOE25'!G489</f>
        <v>1593872.02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2262909.02</v>
      </c>
    </row>
    <row r="153" spans="1:7" x14ac:dyDescent="0.2">
      <c r="A153" s="22" t="s">
        <v>37</v>
      </c>
      <c r="B153" s="137">
        <f>'DOE25'!F490</f>
        <v>2949037</v>
      </c>
      <c r="C153" s="137">
        <f>'DOE25'!G490</f>
        <v>5283872.0199999996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8232909.0199999996</v>
      </c>
    </row>
    <row r="154" spans="1:7" x14ac:dyDescent="0.2">
      <c r="A154" s="22" t="s">
        <v>38</v>
      </c>
      <c r="B154" s="137">
        <f>'DOE25'!F491</f>
        <v>190000</v>
      </c>
      <c r="C154" s="137">
        <f>'DOE25'!G491</f>
        <v>195000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385000</v>
      </c>
    </row>
    <row r="155" spans="1:7" x14ac:dyDescent="0.2">
      <c r="A155" s="22" t="s">
        <v>39</v>
      </c>
      <c r="B155" s="137">
        <f>'DOE25'!F492</f>
        <v>103978</v>
      </c>
      <c r="C155" s="137">
        <f>'DOE25'!G492</f>
        <v>169468.76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273446.76</v>
      </c>
    </row>
    <row r="156" spans="1:7" x14ac:dyDescent="0.2">
      <c r="A156" s="22" t="s">
        <v>269</v>
      </c>
      <c r="B156" s="137">
        <f>'DOE25'!F493</f>
        <v>293978</v>
      </c>
      <c r="C156" s="137">
        <f>'DOE25'!G493</f>
        <v>364468.76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658446.76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0A00-7AD1-4E00-8EE9-1624E58B9758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Amherst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14230</v>
      </c>
    </row>
    <row r="5" spans="1:4" x14ac:dyDescent="0.2">
      <c r="B5" t="s">
        <v>735</v>
      </c>
      <c r="C5" s="179">
        <f>IF('DOE25'!G655+'DOE25'!G660=0,0,ROUND('DOE25'!G662,0))</f>
        <v>13919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14061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11037717</v>
      </c>
      <c r="D10" s="182">
        <f>ROUND((C10/$C$28)*100,1)</f>
        <v>50.5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4785430</v>
      </c>
      <c r="D11" s="182">
        <f>ROUND((C11/$C$28)*100,1)</f>
        <v>21.9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74154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934712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466438</v>
      </c>
      <c r="D16" s="182">
        <f t="shared" si="0"/>
        <v>2.1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1321502</v>
      </c>
      <c r="D17" s="182">
        <f t="shared" si="0"/>
        <v>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961490</v>
      </c>
      <c r="D18" s="182">
        <f t="shared" si="0"/>
        <v>4.4000000000000004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2262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1322450</v>
      </c>
      <c r="D20" s="182">
        <f t="shared" si="0"/>
        <v>6.1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610803</v>
      </c>
      <c r="D21" s="182">
        <f t="shared" si="0"/>
        <v>2.8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289264</v>
      </c>
      <c r="D25" s="182">
        <f t="shared" si="0"/>
        <v>1.3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40810.140000000014</v>
      </c>
      <c r="D27" s="182">
        <f t="shared" si="0"/>
        <v>0.2</v>
      </c>
    </row>
    <row r="28" spans="1:4" x14ac:dyDescent="0.2">
      <c r="B28" s="187" t="s">
        <v>754</v>
      </c>
      <c r="C28" s="180">
        <f>SUM(C10:C27)</f>
        <v>21847032.140000001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1643534</v>
      </c>
    </row>
    <row r="30" spans="1:4" x14ac:dyDescent="0.2">
      <c r="B30" s="187" t="s">
        <v>760</v>
      </c>
      <c r="C30" s="180">
        <f>SUM(C28:C29)</f>
        <v>23490566.140000001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383620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15402892</v>
      </c>
      <c r="D35" s="182">
        <f t="shared" ref="D35:D40" si="1">ROUND((C35/$C$41)*100,1)</f>
        <v>67.7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1021355.6700000018</v>
      </c>
      <c r="D36" s="182">
        <f t="shared" si="1"/>
        <v>4.5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4428252</v>
      </c>
      <c r="D37" s="182">
        <f t="shared" si="1"/>
        <v>19.5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1094210</v>
      </c>
      <c r="D38" s="182">
        <f t="shared" si="1"/>
        <v>4.8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805515</v>
      </c>
      <c r="D39" s="182">
        <f t="shared" si="1"/>
        <v>3.5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22752224.670000002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63AD-E6F2-4D74-B07D-52AD26017554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Amherst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2010-08-26T14:56:00Z</cp:lastPrinted>
  <dcterms:created xsi:type="dcterms:W3CDTF">1997-12-04T19:04:30Z</dcterms:created>
  <dcterms:modified xsi:type="dcterms:W3CDTF">2025-01-02T14:40:35Z</dcterms:modified>
</cp:coreProperties>
</file>