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DDC93904-7CE8-4257-B144-486419C5EA64}" xr6:coauthVersionLast="47" xr6:coauthVersionMax="47" xr10:uidLastSave="{00000000-0000-0000-0000-000000000000}"/>
  <workbookProtection workbookPassword="B70A" lockStructure="1"/>
  <bookViews>
    <workbookView xWindow="1080" yWindow="1080" windowWidth="21600" windowHeight="11505" tabRatio="855" xr2:uid="{A7A9E690-3238-4A8D-B34B-82A3807C0731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2" l="1"/>
  <c r="C19" i="12"/>
  <c r="C12" i="12"/>
  <c r="C10" i="12"/>
  <c r="C13" i="12" s="1"/>
  <c r="B20" i="12"/>
  <c r="F463" i="1"/>
  <c r="F42" i="1"/>
  <c r="B19" i="12"/>
  <c r="B21" i="12"/>
  <c r="B10" i="12"/>
  <c r="H594" i="1"/>
  <c r="J88" i="1"/>
  <c r="J103" i="1" s="1"/>
  <c r="F511" i="1"/>
  <c r="H516" i="1"/>
  <c r="H462" i="1"/>
  <c r="H458" i="1"/>
  <c r="H328" i="1"/>
  <c r="J458" i="1"/>
  <c r="G434" i="1"/>
  <c r="H389" i="1"/>
  <c r="L389" i="1" s="1"/>
  <c r="H390" i="1"/>
  <c r="H388" i="1"/>
  <c r="I350" i="1"/>
  <c r="H350" i="1"/>
  <c r="H354" i="1" s="1"/>
  <c r="G350" i="1"/>
  <c r="F350" i="1"/>
  <c r="H199" i="1"/>
  <c r="L199" i="1" s="1"/>
  <c r="H197" i="1"/>
  <c r="H196" i="1"/>
  <c r="H195" i="1"/>
  <c r="L195" i="1" s="1"/>
  <c r="F88" i="1"/>
  <c r="F103" i="1"/>
  <c r="G41" i="1"/>
  <c r="F29" i="1"/>
  <c r="C60" i="2"/>
  <c r="B2" i="13"/>
  <c r="F8" i="13"/>
  <c r="G8" i="13"/>
  <c r="L196" i="1"/>
  <c r="E8" i="13" s="1"/>
  <c r="L214" i="1"/>
  <c r="L232" i="1"/>
  <c r="D39" i="13"/>
  <c r="F13" i="13"/>
  <c r="G13" i="13"/>
  <c r="L198" i="1"/>
  <c r="L216" i="1"/>
  <c r="C114" i="2" s="1"/>
  <c r="L234" i="1"/>
  <c r="F16" i="13"/>
  <c r="G16" i="13"/>
  <c r="L201" i="1"/>
  <c r="L219" i="1"/>
  <c r="E16" i="13" s="1"/>
  <c r="C16" i="13" s="1"/>
  <c r="L237" i="1"/>
  <c r="F5" i="13"/>
  <c r="G5" i="13"/>
  <c r="L189" i="1"/>
  <c r="L190" i="1"/>
  <c r="L191" i="1"/>
  <c r="D5" i="13" s="1"/>
  <c r="L192" i="1"/>
  <c r="L207" i="1"/>
  <c r="L208" i="1"/>
  <c r="C11" i="10" s="1"/>
  <c r="L209" i="1"/>
  <c r="L210" i="1"/>
  <c r="L225" i="1"/>
  <c r="L226" i="1"/>
  <c r="L227" i="1"/>
  <c r="L228" i="1"/>
  <c r="F6" i="13"/>
  <c r="G6" i="13"/>
  <c r="L194" i="1"/>
  <c r="D6" i="13" s="1"/>
  <c r="C6" i="13" s="1"/>
  <c r="L212" i="1"/>
  <c r="L230" i="1"/>
  <c r="F7" i="13"/>
  <c r="G7" i="13"/>
  <c r="L213" i="1"/>
  <c r="L231" i="1"/>
  <c r="F12" i="13"/>
  <c r="G12" i="13"/>
  <c r="L197" i="1"/>
  <c r="D12" i="13" s="1"/>
  <c r="C12" i="13" s="1"/>
  <c r="L215" i="1"/>
  <c r="L233" i="1"/>
  <c r="F14" i="13"/>
  <c r="G14" i="13"/>
  <c r="L217" i="1"/>
  <c r="L235" i="1"/>
  <c r="F15" i="13"/>
  <c r="G15" i="13"/>
  <c r="L200" i="1"/>
  <c r="F652" i="1" s="1"/>
  <c r="I652" i="1" s="1"/>
  <c r="L218" i="1"/>
  <c r="L236" i="1"/>
  <c r="F17" i="13"/>
  <c r="G17" i="13"/>
  <c r="L243" i="1"/>
  <c r="F18" i="13"/>
  <c r="G18" i="13"/>
  <c r="L244" i="1"/>
  <c r="D18" i="13" s="1"/>
  <c r="C18" i="13" s="1"/>
  <c r="F19" i="13"/>
  <c r="G19" i="13"/>
  <c r="D19" i="13" s="1"/>
  <c r="C19" i="13" s="1"/>
  <c r="L245" i="1"/>
  <c r="F29" i="13"/>
  <c r="G29" i="13"/>
  <c r="L351" i="1"/>
  <c r="L352" i="1"/>
  <c r="I359" i="1"/>
  <c r="I361" i="1" s="1"/>
  <c r="H624" i="1" s="1"/>
  <c r="J282" i="1"/>
  <c r="J301" i="1"/>
  <c r="J320" i="1"/>
  <c r="F31" i="13" s="1"/>
  <c r="K282" i="1"/>
  <c r="G31" i="13" s="1"/>
  <c r="K301" i="1"/>
  <c r="K320" i="1"/>
  <c r="L268" i="1"/>
  <c r="L269" i="1"/>
  <c r="L270" i="1"/>
  <c r="E103" i="2" s="1"/>
  <c r="L271" i="1"/>
  <c r="L273" i="1"/>
  <c r="L274" i="1"/>
  <c r="L282" i="1" s="1"/>
  <c r="L275" i="1"/>
  <c r="L276" i="1"/>
  <c r="L277" i="1"/>
  <c r="L278" i="1"/>
  <c r="L279" i="1"/>
  <c r="L280" i="1"/>
  <c r="L287" i="1"/>
  <c r="L288" i="1"/>
  <c r="L289" i="1"/>
  <c r="L290" i="1"/>
  <c r="L292" i="1"/>
  <c r="E110" i="2" s="1"/>
  <c r="L293" i="1"/>
  <c r="L294" i="1"/>
  <c r="L295" i="1"/>
  <c r="L296" i="1"/>
  <c r="L297" i="1"/>
  <c r="L298" i="1"/>
  <c r="L299" i="1"/>
  <c r="L306" i="1"/>
  <c r="L320" i="1" s="1"/>
  <c r="L307" i="1"/>
  <c r="L308" i="1"/>
  <c r="L309" i="1"/>
  <c r="C13" i="10" s="1"/>
  <c r="L311" i="1"/>
  <c r="L312" i="1"/>
  <c r="L313" i="1"/>
  <c r="L314" i="1"/>
  <c r="L315" i="1"/>
  <c r="E114" i="2" s="1"/>
  <c r="L316" i="1"/>
  <c r="L317" i="1"/>
  <c r="H652" i="1" s="1"/>
  <c r="L318" i="1"/>
  <c r="L325" i="1"/>
  <c r="L326" i="1"/>
  <c r="L327" i="1"/>
  <c r="E106" i="2" s="1"/>
  <c r="L252" i="1"/>
  <c r="L253" i="1"/>
  <c r="H25" i="13"/>
  <c r="L333" i="1"/>
  <c r="C32" i="10" s="1"/>
  <c r="L334" i="1"/>
  <c r="L247" i="1"/>
  <c r="C122" i="2" s="1"/>
  <c r="L328" i="1"/>
  <c r="C11" i="13"/>
  <c r="C10" i="13"/>
  <c r="C9" i="13"/>
  <c r="L353" i="1"/>
  <c r="B4" i="12"/>
  <c r="B36" i="12"/>
  <c r="C36" i="12"/>
  <c r="B40" i="12"/>
  <c r="C40" i="12"/>
  <c r="B27" i="12"/>
  <c r="C27" i="12"/>
  <c r="A31" i="12"/>
  <c r="B31" i="12"/>
  <c r="C31" i="12"/>
  <c r="B9" i="12"/>
  <c r="B13" i="12"/>
  <c r="C9" i="12"/>
  <c r="B18" i="12"/>
  <c r="A22" i="12" s="1"/>
  <c r="B22" i="12"/>
  <c r="C18" i="12"/>
  <c r="C22" i="12"/>
  <c r="B1" i="12"/>
  <c r="L379" i="1"/>
  <c r="L380" i="1"/>
  <c r="L381" i="1"/>
  <c r="L382" i="1"/>
  <c r="L385" i="1" s="1"/>
  <c r="L383" i="1"/>
  <c r="L384" i="1"/>
  <c r="L387" i="1"/>
  <c r="L388" i="1"/>
  <c r="L390" i="1"/>
  <c r="L391" i="1"/>
  <c r="L392" i="1"/>
  <c r="L395" i="1"/>
  <c r="L399" i="1" s="1"/>
  <c r="C132" i="2" s="1"/>
  <c r="L396" i="1"/>
  <c r="L397" i="1"/>
  <c r="L398" i="1"/>
  <c r="L258" i="1"/>
  <c r="J52" i="1"/>
  <c r="J104" i="1" s="1"/>
  <c r="G53" i="2"/>
  <c r="F2" i="11"/>
  <c r="L603" i="1"/>
  <c r="H653" i="1"/>
  <c r="L602" i="1"/>
  <c r="G653" i="1" s="1"/>
  <c r="L601" i="1"/>
  <c r="F653" i="1" s="1"/>
  <c r="I653" i="1" s="1"/>
  <c r="C40" i="10"/>
  <c r="F52" i="1"/>
  <c r="C35" i="10" s="1"/>
  <c r="G52" i="1"/>
  <c r="H52" i="1"/>
  <c r="E48" i="2" s="1"/>
  <c r="I52" i="1"/>
  <c r="F71" i="1"/>
  <c r="C49" i="2" s="1"/>
  <c r="F86" i="1"/>
  <c r="C50" i="2" s="1"/>
  <c r="G103" i="1"/>
  <c r="G104" i="1"/>
  <c r="H71" i="1"/>
  <c r="H86" i="1"/>
  <c r="H103" i="1"/>
  <c r="I103" i="1"/>
  <c r="I104" i="1"/>
  <c r="C37" i="10"/>
  <c r="F113" i="1"/>
  <c r="F132" i="1" s="1"/>
  <c r="F128" i="1"/>
  <c r="G113" i="1"/>
  <c r="G128" i="1"/>
  <c r="G132" i="1" s="1"/>
  <c r="H113" i="1"/>
  <c r="H128" i="1"/>
  <c r="H132" i="1"/>
  <c r="I113" i="1"/>
  <c r="I128" i="1"/>
  <c r="I132" i="1"/>
  <c r="J113" i="1"/>
  <c r="J132" i="1" s="1"/>
  <c r="J128" i="1"/>
  <c r="F139" i="1"/>
  <c r="C77" i="2" s="1"/>
  <c r="C83" i="2" s="1"/>
  <c r="F154" i="1"/>
  <c r="G139" i="1"/>
  <c r="G154" i="1"/>
  <c r="G161" i="1" s="1"/>
  <c r="H139" i="1"/>
  <c r="H154" i="1"/>
  <c r="H161" i="1"/>
  <c r="I139" i="1"/>
  <c r="I154" i="1"/>
  <c r="I161" i="1" s="1"/>
  <c r="C10" i="10"/>
  <c r="C17" i="10"/>
  <c r="L242" i="1"/>
  <c r="L324" i="1"/>
  <c r="C23" i="10" s="1"/>
  <c r="L246" i="1"/>
  <c r="C25" i="10"/>
  <c r="L260" i="1"/>
  <c r="C26" i="10" s="1"/>
  <c r="L261" i="1"/>
  <c r="C135" i="2" s="1"/>
  <c r="L341" i="1"/>
  <c r="L342" i="1"/>
  <c r="I655" i="1"/>
  <c r="I660" i="1"/>
  <c r="L239" i="1"/>
  <c r="H650" i="1" s="1"/>
  <c r="G652" i="1"/>
  <c r="I659" i="1"/>
  <c r="C5" i="10"/>
  <c r="C42" i="10"/>
  <c r="L366" i="1"/>
  <c r="L367" i="1"/>
  <c r="L374" i="1" s="1"/>
  <c r="G626" i="1" s="1"/>
  <c r="J626" i="1" s="1"/>
  <c r="L368" i="1"/>
  <c r="L369" i="1"/>
  <c r="L370" i="1"/>
  <c r="L371" i="1"/>
  <c r="L372" i="1"/>
  <c r="B2" i="10"/>
  <c r="L336" i="1"/>
  <c r="L337" i="1"/>
  <c r="L338" i="1"/>
  <c r="L339" i="1"/>
  <c r="K343" i="1"/>
  <c r="L511" i="1"/>
  <c r="F539" i="1"/>
  <c r="L512" i="1"/>
  <c r="F540" i="1" s="1"/>
  <c r="L513" i="1"/>
  <c r="F541" i="1" s="1"/>
  <c r="L516" i="1"/>
  <c r="G539" i="1" s="1"/>
  <c r="L517" i="1"/>
  <c r="G540" i="1"/>
  <c r="L518" i="1"/>
  <c r="G541" i="1" s="1"/>
  <c r="L521" i="1"/>
  <c r="H539" i="1"/>
  <c r="L522" i="1"/>
  <c r="H540" i="1" s="1"/>
  <c r="L523" i="1"/>
  <c r="H541" i="1" s="1"/>
  <c r="L526" i="1"/>
  <c r="I539" i="1" s="1"/>
  <c r="L527" i="1"/>
  <c r="I540" i="1" s="1"/>
  <c r="L528" i="1"/>
  <c r="I541" i="1"/>
  <c r="L531" i="1"/>
  <c r="J539" i="1" s="1"/>
  <c r="L532" i="1"/>
  <c r="J540" i="1" s="1"/>
  <c r="L533" i="1"/>
  <c r="J541" i="1" s="1"/>
  <c r="E124" i="2"/>
  <c r="E123" i="2"/>
  <c r="K262" i="1"/>
  <c r="J262" i="1"/>
  <c r="I262" i="1"/>
  <c r="H262" i="1"/>
  <c r="G262" i="1"/>
  <c r="F262" i="1"/>
  <c r="C124" i="2"/>
  <c r="C123" i="2"/>
  <c r="A1" i="2"/>
  <c r="A2" i="2"/>
  <c r="C9" i="2"/>
  <c r="D9" i="2"/>
  <c r="D19" i="2" s="1"/>
  <c r="E9" i="2"/>
  <c r="F9" i="2"/>
  <c r="I431" i="1"/>
  <c r="J9" i="1"/>
  <c r="C10" i="2"/>
  <c r="D10" i="2"/>
  <c r="E10" i="2"/>
  <c r="F10" i="2"/>
  <c r="F19" i="2" s="1"/>
  <c r="I432" i="1"/>
  <c r="J10" i="1" s="1"/>
  <c r="C11" i="2"/>
  <c r="C19" i="2" s="1"/>
  <c r="C12" i="2"/>
  <c r="D12" i="2"/>
  <c r="E12" i="2"/>
  <c r="F12" i="2"/>
  <c r="I433" i="1"/>
  <c r="J12" i="1"/>
  <c r="G12" i="2" s="1"/>
  <c r="C13" i="2"/>
  <c r="D13" i="2"/>
  <c r="E13" i="2"/>
  <c r="F13" i="2"/>
  <c r="I434" i="1"/>
  <c r="J13" i="1" s="1"/>
  <c r="G13" i="2" s="1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E19" i="2" s="1"/>
  <c r="F18" i="2"/>
  <c r="I437" i="1"/>
  <c r="J18" i="1"/>
  <c r="G18" i="2"/>
  <c r="C22" i="2"/>
  <c r="D22" i="2"/>
  <c r="E22" i="2"/>
  <c r="E32" i="2" s="1"/>
  <c r="F22" i="2"/>
  <c r="I440" i="1"/>
  <c r="J23" i="1" s="1"/>
  <c r="C23" i="2"/>
  <c r="C32" i="2" s="1"/>
  <c r="C43" i="2" s="1"/>
  <c r="D23" i="2"/>
  <c r="E23" i="2"/>
  <c r="F23" i="2"/>
  <c r="I441" i="1"/>
  <c r="I444" i="1" s="1"/>
  <c r="C24" i="2"/>
  <c r="D24" i="2"/>
  <c r="D32" i="2" s="1"/>
  <c r="E24" i="2"/>
  <c r="F24" i="2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D34" i="2"/>
  <c r="E34" i="2"/>
  <c r="F34" i="2"/>
  <c r="C35" i="2"/>
  <c r="D35" i="2"/>
  <c r="D36" i="2"/>
  <c r="D42" i="2" s="1"/>
  <c r="D37" i="2"/>
  <c r="D38" i="2"/>
  <c r="D40" i="2"/>
  <c r="D41" i="2"/>
  <c r="E35" i="2"/>
  <c r="F35" i="2"/>
  <c r="C36" i="2"/>
  <c r="E36" i="2"/>
  <c r="F36" i="2"/>
  <c r="I446" i="1"/>
  <c r="J37" i="1"/>
  <c r="G36" i="2"/>
  <c r="C37" i="2"/>
  <c r="E37" i="2"/>
  <c r="F37" i="2"/>
  <c r="I447" i="1"/>
  <c r="J38" i="1"/>
  <c r="G37" i="2" s="1"/>
  <c r="C38" i="2"/>
  <c r="E38" i="2"/>
  <c r="F38" i="2"/>
  <c r="I448" i="1"/>
  <c r="J40" i="1" s="1"/>
  <c r="C40" i="2"/>
  <c r="E40" i="2"/>
  <c r="F40" i="2"/>
  <c r="I449" i="1"/>
  <c r="J41" i="1" s="1"/>
  <c r="G40" i="2" s="1"/>
  <c r="C41" i="2"/>
  <c r="E41" i="2"/>
  <c r="F41" i="2"/>
  <c r="F42" i="2"/>
  <c r="F43" i="2" s="1"/>
  <c r="C48" i="2"/>
  <c r="D48" i="2"/>
  <c r="F48" i="2"/>
  <c r="F55" i="2" s="1"/>
  <c r="E49" i="2"/>
  <c r="E54" i="2" s="1"/>
  <c r="E50" i="2"/>
  <c r="E51" i="2"/>
  <c r="E53" i="2"/>
  <c r="C51" i="2"/>
  <c r="D51" i="2"/>
  <c r="F51" i="2"/>
  <c r="F54" i="2" s="1"/>
  <c r="D52" i="2"/>
  <c r="D54" i="2" s="1"/>
  <c r="D55" i="2" s="1"/>
  <c r="D53" i="2"/>
  <c r="C53" i="2"/>
  <c r="F53" i="2"/>
  <c r="F64" i="2"/>
  <c r="F70" i="2" s="1"/>
  <c r="F73" i="2" s="1"/>
  <c r="F65" i="2"/>
  <c r="F68" i="2"/>
  <c r="F69" i="2"/>
  <c r="F61" i="2"/>
  <c r="F62" i="2"/>
  <c r="F77" i="2"/>
  <c r="F79" i="2"/>
  <c r="F80" i="2"/>
  <c r="F81" i="2"/>
  <c r="F83" i="2"/>
  <c r="F85" i="2"/>
  <c r="F86" i="2"/>
  <c r="F88" i="2"/>
  <c r="F95" i="2" s="1"/>
  <c r="F89" i="2"/>
  <c r="F91" i="2"/>
  <c r="F92" i="2"/>
  <c r="F93" i="2"/>
  <c r="F94" i="2"/>
  <c r="C58" i="2"/>
  <c r="C59" i="2"/>
  <c r="C62" i="2" s="1"/>
  <c r="C61" i="2"/>
  <c r="D61" i="2"/>
  <c r="E61" i="2"/>
  <c r="E62" i="2"/>
  <c r="G61" i="2"/>
  <c r="G62" i="2"/>
  <c r="D62" i="2"/>
  <c r="C64" i="2"/>
  <c r="C70" i="2" s="1"/>
  <c r="C65" i="2"/>
  <c r="C66" i="2"/>
  <c r="C67" i="2"/>
  <c r="C68" i="2"/>
  <c r="C69" i="2"/>
  <c r="C71" i="2"/>
  <c r="C72" i="2"/>
  <c r="C79" i="2"/>
  <c r="C80" i="2"/>
  <c r="C81" i="2"/>
  <c r="C82" i="2"/>
  <c r="C85" i="2"/>
  <c r="C95" i="2" s="1"/>
  <c r="C86" i="2"/>
  <c r="C89" i="2"/>
  <c r="C90" i="2"/>
  <c r="C91" i="2"/>
  <c r="C92" i="2"/>
  <c r="C93" i="2"/>
  <c r="C94" i="2"/>
  <c r="E68" i="2"/>
  <c r="D69" i="2"/>
  <c r="D70" i="2"/>
  <c r="D73" i="2" s="1"/>
  <c r="E69" i="2"/>
  <c r="E70" i="2" s="1"/>
  <c r="E73" i="2" s="1"/>
  <c r="G69" i="2"/>
  <c r="G70" i="2"/>
  <c r="D71" i="2"/>
  <c r="E71" i="2"/>
  <c r="E72" i="2"/>
  <c r="D77" i="2"/>
  <c r="E77" i="2"/>
  <c r="E83" i="2" s="1"/>
  <c r="E79" i="2"/>
  <c r="D80" i="2"/>
  <c r="E80" i="2"/>
  <c r="D81" i="2"/>
  <c r="D83" i="2" s="1"/>
  <c r="E81" i="2"/>
  <c r="D88" i="2"/>
  <c r="D95" i="2" s="1"/>
  <c r="E88" i="2"/>
  <c r="G88" i="2"/>
  <c r="G95" i="2" s="1"/>
  <c r="D89" i="2"/>
  <c r="E89" i="2"/>
  <c r="E90" i="2"/>
  <c r="E91" i="2"/>
  <c r="E95" i="2" s="1"/>
  <c r="E92" i="2"/>
  <c r="E93" i="2"/>
  <c r="E94" i="2"/>
  <c r="G89" i="2"/>
  <c r="D90" i="2"/>
  <c r="D91" i="2"/>
  <c r="D92" i="2"/>
  <c r="D93" i="2"/>
  <c r="D94" i="2"/>
  <c r="G90" i="2"/>
  <c r="C101" i="2"/>
  <c r="E101" i="2"/>
  <c r="C102" i="2"/>
  <c r="E102" i="2"/>
  <c r="C104" i="2"/>
  <c r="E104" i="2"/>
  <c r="C105" i="2"/>
  <c r="C106" i="2"/>
  <c r="D107" i="2"/>
  <c r="F107" i="2"/>
  <c r="G107" i="2"/>
  <c r="C112" i="2"/>
  <c r="E112" i="2"/>
  <c r="E113" i="2"/>
  <c r="E115" i="2"/>
  <c r="E116" i="2"/>
  <c r="C117" i="2"/>
  <c r="E117" i="2"/>
  <c r="F120" i="2"/>
  <c r="G120" i="2"/>
  <c r="E122" i="2"/>
  <c r="E136" i="2" s="1"/>
  <c r="E126" i="2"/>
  <c r="E127" i="2"/>
  <c r="E129" i="2"/>
  <c r="E134" i="2"/>
  <c r="E135" i="2"/>
  <c r="D126" i="2"/>
  <c r="D136" i="2"/>
  <c r="F126" i="2"/>
  <c r="K411" i="1"/>
  <c r="K426" i="1" s="1"/>
  <c r="G126" i="2" s="1"/>
  <c r="G136" i="2" s="1"/>
  <c r="G137" i="2" s="1"/>
  <c r="K419" i="1"/>
  <c r="K425" i="1"/>
  <c r="L255" i="1"/>
  <c r="C127" i="2" s="1"/>
  <c r="L256" i="1"/>
  <c r="C128" i="2" s="1"/>
  <c r="L257" i="1"/>
  <c r="C129" i="2" s="1"/>
  <c r="C134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C149" i="2"/>
  <c r="G149" i="2" s="1"/>
  <c r="D149" i="2"/>
  <c r="E149" i="2"/>
  <c r="F149" i="2"/>
  <c r="B150" i="2"/>
  <c r="C150" i="2"/>
  <c r="G150" i="2" s="1"/>
  <c r="D150" i="2"/>
  <c r="E150" i="2"/>
  <c r="F150" i="2"/>
  <c r="B151" i="2"/>
  <c r="C151" i="2"/>
  <c r="G151" i="2" s="1"/>
  <c r="D151" i="2"/>
  <c r="E151" i="2"/>
  <c r="F151" i="2"/>
  <c r="B152" i="2"/>
  <c r="C152" i="2"/>
  <c r="G152" i="2" s="1"/>
  <c r="D152" i="2"/>
  <c r="E152" i="2"/>
  <c r="F152" i="2"/>
  <c r="F490" i="1"/>
  <c r="B153" i="2"/>
  <c r="G490" i="1"/>
  <c r="C153" i="2"/>
  <c r="H490" i="1"/>
  <c r="K490" i="1" s="1"/>
  <c r="D153" i="2"/>
  <c r="I490" i="1"/>
  <c r="E153" i="2"/>
  <c r="J490" i="1"/>
  <c r="F153" i="2"/>
  <c r="B154" i="2"/>
  <c r="C154" i="2"/>
  <c r="D154" i="2"/>
  <c r="E154" i="2"/>
  <c r="G154" i="2" s="1"/>
  <c r="F154" i="2"/>
  <c r="B155" i="2"/>
  <c r="C155" i="2"/>
  <c r="G155" i="2" s="1"/>
  <c r="D155" i="2"/>
  <c r="E155" i="2"/>
  <c r="F155" i="2"/>
  <c r="F493" i="1"/>
  <c r="B156" i="2"/>
  <c r="G156" i="2" s="1"/>
  <c r="G493" i="1"/>
  <c r="C156" i="2"/>
  <c r="H493" i="1"/>
  <c r="D156" i="2"/>
  <c r="I493" i="1"/>
  <c r="E156" i="2"/>
  <c r="J493" i="1"/>
  <c r="F156" i="2"/>
  <c r="F19" i="1"/>
  <c r="G607" i="1"/>
  <c r="G19" i="1"/>
  <c r="H19" i="1"/>
  <c r="G609" i="1" s="1"/>
  <c r="J609" i="1" s="1"/>
  <c r="I19" i="1"/>
  <c r="F33" i="1"/>
  <c r="G33" i="1"/>
  <c r="H33" i="1"/>
  <c r="I33" i="1"/>
  <c r="F43" i="1"/>
  <c r="F44" i="1" s="1"/>
  <c r="H607" i="1" s="1"/>
  <c r="J607" i="1" s="1"/>
  <c r="G43" i="1"/>
  <c r="G613" i="1" s="1"/>
  <c r="J613" i="1" s="1"/>
  <c r="G44" i="1"/>
  <c r="H608" i="1" s="1"/>
  <c r="J608" i="1" s="1"/>
  <c r="H43" i="1"/>
  <c r="H44" i="1" s="1"/>
  <c r="H609" i="1" s="1"/>
  <c r="I43" i="1"/>
  <c r="I44" i="1"/>
  <c r="H610" i="1" s="1"/>
  <c r="F169" i="1"/>
  <c r="I169" i="1"/>
  <c r="F175" i="1"/>
  <c r="F184" i="1" s="1"/>
  <c r="G175" i="1"/>
  <c r="H175" i="1"/>
  <c r="I175" i="1"/>
  <c r="I184" i="1" s="1"/>
  <c r="J175" i="1"/>
  <c r="F180" i="1"/>
  <c r="G180" i="1"/>
  <c r="G184" i="1" s="1"/>
  <c r="H180" i="1"/>
  <c r="H184" i="1" s="1"/>
  <c r="I180" i="1"/>
  <c r="J184" i="1"/>
  <c r="F203" i="1"/>
  <c r="G203" i="1"/>
  <c r="G249" i="1" s="1"/>
  <c r="G263" i="1" s="1"/>
  <c r="H203" i="1"/>
  <c r="I203" i="1"/>
  <c r="I249" i="1"/>
  <c r="I263" i="1"/>
  <c r="J203" i="1"/>
  <c r="K203" i="1"/>
  <c r="F221" i="1"/>
  <c r="F249" i="1" s="1"/>
  <c r="F263" i="1" s="1"/>
  <c r="G221" i="1"/>
  <c r="H221" i="1"/>
  <c r="I221" i="1"/>
  <c r="J221" i="1"/>
  <c r="J249" i="1" s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L262" i="1"/>
  <c r="F282" i="1"/>
  <c r="F330" i="1" s="1"/>
  <c r="F344" i="1" s="1"/>
  <c r="G282" i="1"/>
  <c r="H282" i="1"/>
  <c r="H330" i="1" s="1"/>
  <c r="H344" i="1" s="1"/>
  <c r="I282" i="1"/>
  <c r="I330" i="1" s="1"/>
  <c r="I344" i="1" s="1"/>
  <c r="F301" i="1"/>
  <c r="G301" i="1"/>
  <c r="G330" i="1" s="1"/>
  <c r="G344" i="1" s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K330" i="1" s="1"/>
  <c r="K344" i="1" s="1"/>
  <c r="F354" i="1"/>
  <c r="G354" i="1"/>
  <c r="I35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H400" i="1" s="1"/>
  <c r="H634" i="1" s="1"/>
  <c r="I385" i="1"/>
  <c r="F393" i="1"/>
  <c r="G393" i="1"/>
  <c r="G400" i="1" s="1"/>
  <c r="H635" i="1" s="1"/>
  <c r="H393" i="1"/>
  <c r="I393" i="1"/>
  <c r="F399" i="1"/>
  <c r="F400" i="1" s="1"/>
  <c r="H633" i="1" s="1"/>
  <c r="J633" i="1" s="1"/>
  <c r="G399" i="1"/>
  <c r="H399" i="1"/>
  <c r="I399" i="1"/>
  <c r="I400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G411" i="1"/>
  <c r="G426" i="1" s="1"/>
  <c r="H411" i="1"/>
  <c r="I411" i="1"/>
  <c r="I426" i="1" s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F425" i="1"/>
  <c r="G425" i="1"/>
  <c r="H425" i="1"/>
  <c r="I425" i="1"/>
  <c r="J425" i="1"/>
  <c r="L425" i="1"/>
  <c r="F426" i="1"/>
  <c r="H426" i="1"/>
  <c r="F438" i="1"/>
  <c r="G438" i="1"/>
  <c r="G630" i="1" s="1"/>
  <c r="H438" i="1"/>
  <c r="F444" i="1"/>
  <c r="G444" i="1"/>
  <c r="G451" i="1" s="1"/>
  <c r="H630" i="1" s="1"/>
  <c r="H444" i="1"/>
  <c r="H451" i="1" s="1"/>
  <c r="H631" i="1" s="1"/>
  <c r="F450" i="1"/>
  <c r="F451" i="1" s="1"/>
  <c r="H629" i="1" s="1"/>
  <c r="J629" i="1" s="1"/>
  <c r="G450" i="1"/>
  <c r="H450" i="1"/>
  <c r="F460" i="1"/>
  <c r="G460" i="1"/>
  <c r="G466" i="1" s="1"/>
  <c r="H613" i="1" s="1"/>
  <c r="H460" i="1"/>
  <c r="H466" i="1" s="1"/>
  <c r="H614" i="1" s="1"/>
  <c r="I460" i="1"/>
  <c r="J460" i="1"/>
  <c r="J466" i="1" s="1"/>
  <c r="H616" i="1" s="1"/>
  <c r="F464" i="1"/>
  <c r="F466" i="1" s="1"/>
  <c r="H612" i="1" s="1"/>
  <c r="J612" i="1" s="1"/>
  <c r="G464" i="1"/>
  <c r="H464" i="1"/>
  <c r="I464" i="1"/>
  <c r="I466" i="1" s="1"/>
  <c r="H615" i="1" s="1"/>
  <c r="J464" i="1"/>
  <c r="K485" i="1"/>
  <c r="K486" i="1"/>
  <c r="K487" i="1"/>
  <c r="K488" i="1"/>
  <c r="K489" i="1"/>
  <c r="K491" i="1"/>
  <c r="K492" i="1"/>
  <c r="K493" i="1"/>
  <c r="F507" i="1"/>
  <c r="G507" i="1"/>
  <c r="H507" i="1"/>
  <c r="I507" i="1"/>
  <c r="F514" i="1"/>
  <c r="G514" i="1"/>
  <c r="G535" i="1" s="1"/>
  <c r="H514" i="1"/>
  <c r="I514" i="1"/>
  <c r="I535" i="1" s="1"/>
  <c r="J514" i="1"/>
  <c r="J535" i="1" s="1"/>
  <c r="K514" i="1"/>
  <c r="K535" i="1" s="1"/>
  <c r="L514" i="1"/>
  <c r="F519" i="1"/>
  <c r="F535" i="1" s="1"/>
  <c r="G519" i="1"/>
  <c r="H519" i="1"/>
  <c r="I519" i="1"/>
  <c r="J519" i="1"/>
  <c r="K519" i="1"/>
  <c r="L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H535" i="1"/>
  <c r="L547" i="1"/>
  <c r="L548" i="1"/>
  <c r="L550" i="1" s="1"/>
  <c r="L561" i="1" s="1"/>
  <c r="L549" i="1"/>
  <c r="F550" i="1"/>
  <c r="F561" i="1" s="1"/>
  <c r="G550" i="1"/>
  <c r="G561" i="1" s="1"/>
  <c r="H550" i="1"/>
  <c r="I550" i="1"/>
  <c r="J550" i="1"/>
  <c r="J561" i="1" s="1"/>
  <c r="K550" i="1"/>
  <c r="L552" i="1"/>
  <c r="L553" i="1"/>
  <c r="L555" i="1" s="1"/>
  <c r="L554" i="1"/>
  <c r="F555" i="1"/>
  <c r="G555" i="1"/>
  <c r="H555" i="1"/>
  <c r="H561" i="1" s="1"/>
  <c r="I555" i="1"/>
  <c r="J555" i="1"/>
  <c r="K555" i="1"/>
  <c r="L557" i="1"/>
  <c r="L558" i="1"/>
  <c r="L559" i="1"/>
  <c r="F560" i="1"/>
  <c r="G560" i="1"/>
  <c r="H560" i="1"/>
  <c r="I560" i="1"/>
  <c r="J560" i="1"/>
  <c r="K560" i="1"/>
  <c r="L560" i="1"/>
  <c r="I561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H639" i="1" s="1"/>
  <c r="I588" i="1"/>
  <c r="J588" i="1"/>
  <c r="H641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8" i="1"/>
  <c r="G610" i="1"/>
  <c r="J610" i="1" s="1"/>
  <c r="G612" i="1"/>
  <c r="G614" i="1"/>
  <c r="J614" i="1" s="1"/>
  <c r="G615" i="1"/>
  <c r="J615" i="1" s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29" i="1"/>
  <c r="G631" i="1"/>
  <c r="J631" i="1" s="1"/>
  <c r="G633" i="1"/>
  <c r="G635" i="1"/>
  <c r="G640" i="1"/>
  <c r="H640" i="1"/>
  <c r="J640" i="1" s="1"/>
  <c r="G641" i="1"/>
  <c r="G642" i="1"/>
  <c r="J642" i="1" s="1"/>
  <c r="H642" i="1"/>
  <c r="G643" i="1"/>
  <c r="J643" i="1" s="1"/>
  <c r="H643" i="1"/>
  <c r="G644" i="1"/>
  <c r="J644" i="1" s="1"/>
  <c r="H644" i="1"/>
  <c r="G645" i="1"/>
  <c r="H645" i="1"/>
  <c r="J645" i="1" s="1"/>
  <c r="K249" i="1"/>
  <c r="K263" i="1"/>
  <c r="F22" i="13"/>
  <c r="H249" i="1"/>
  <c r="H263" i="1" s="1"/>
  <c r="A40" i="12"/>
  <c r="G153" i="2"/>
  <c r="G73" i="2"/>
  <c r="E42" i="2"/>
  <c r="E43" i="2" s="1"/>
  <c r="C42" i="2"/>
  <c r="F32" i="2"/>
  <c r="D17" i="13"/>
  <c r="C17" i="13"/>
  <c r="G9" i="2"/>
  <c r="C25" i="13"/>
  <c r="H33" i="13"/>
  <c r="J641" i="1"/>
  <c r="K588" i="1"/>
  <c r="G637" i="1" s="1"/>
  <c r="C6" i="10"/>
  <c r="F33" i="13" l="1"/>
  <c r="H542" i="1"/>
  <c r="C38" i="10"/>
  <c r="E55" i="2"/>
  <c r="E96" i="2" s="1"/>
  <c r="G19" i="2"/>
  <c r="J635" i="1"/>
  <c r="C73" i="2"/>
  <c r="D43" i="2"/>
  <c r="I185" i="1"/>
  <c r="G620" i="1" s="1"/>
  <c r="J620" i="1" s="1"/>
  <c r="C5" i="13"/>
  <c r="J19" i="1"/>
  <c r="G611" i="1" s="1"/>
  <c r="G10" i="2"/>
  <c r="G39" i="2"/>
  <c r="G42" i="2" s="1"/>
  <c r="G43" i="2" s="1"/>
  <c r="J43" i="1"/>
  <c r="J542" i="1"/>
  <c r="G542" i="1"/>
  <c r="K539" i="1"/>
  <c r="D31" i="13"/>
  <c r="C31" i="13" s="1"/>
  <c r="F96" i="2"/>
  <c r="I451" i="1"/>
  <c r="H632" i="1" s="1"/>
  <c r="K541" i="1"/>
  <c r="C16" i="10"/>
  <c r="D7" i="13"/>
  <c r="C7" i="13" s="1"/>
  <c r="C111" i="2"/>
  <c r="F542" i="1"/>
  <c r="K540" i="1"/>
  <c r="L393" i="1"/>
  <c r="C131" i="2" s="1"/>
  <c r="G651" i="1"/>
  <c r="E107" i="2"/>
  <c r="L535" i="1"/>
  <c r="J630" i="1"/>
  <c r="I542" i="1"/>
  <c r="G185" i="1"/>
  <c r="G618" i="1" s="1"/>
  <c r="J618" i="1" s="1"/>
  <c r="A13" i="12"/>
  <c r="C8" i="13"/>
  <c r="C20" i="10"/>
  <c r="C115" i="2"/>
  <c r="D14" i="13"/>
  <c r="C14" i="13" s="1"/>
  <c r="J637" i="1"/>
  <c r="J624" i="1"/>
  <c r="J263" i="1"/>
  <c r="D96" i="2"/>
  <c r="C54" i="2"/>
  <c r="C55" i="2" s="1"/>
  <c r="C96" i="2" s="1"/>
  <c r="J185" i="1"/>
  <c r="J33" i="1"/>
  <c r="G22" i="2"/>
  <c r="G32" i="2" s="1"/>
  <c r="L400" i="1"/>
  <c r="C130" i="2"/>
  <c r="C133" i="2" s="1"/>
  <c r="C113" i="2"/>
  <c r="E105" i="2"/>
  <c r="C15" i="10"/>
  <c r="C22" i="13"/>
  <c r="G33" i="13"/>
  <c r="G639" i="1"/>
  <c r="J639" i="1" s="1"/>
  <c r="L534" i="1"/>
  <c r="I438" i="1"/>
  <c r="G632" i="1" s="1"/>
  <c r="F122" i="2"/>
  <c r="F136" i="2" s="1"/>
  <c r="F137" i="2" s="1"/>
  <c r="L343" i="1"/>
  <c r="C12" i="10"/>
  <c r="F161" i="1"/>
  <c r="C39" i="10" s="1"/>
  <c r="H104" i="1"/>
  <c r="H185" i="1" s="1"/>
  <c r="G619" i="1" s="1"/>
  <c r="J619" i="1" s="1"/>
  <c r="G51" i="2"/>
  <c r="G54" i="2" s="1"/>
  <c r="H637" i="1"/>
  <c r="C24" i="10"/>
  <c r="G48" i="2"/>
  <c r="F104" i="1"/>
  <c r="C36" i="10" s="1"/>
  <c r="E111" i="2"/>
  <c r="E120" i="2" s="1"/>
  <c r="L301" i="1"/>
  <c r="L330" i="1" s="1"/>
  <c r="L344" i="1" s="1"/>
  <c r="G623" i="1" s="1"/>
  <c r="J623" i="1" s="1"/>
  <c r="D15" i="13"/>
  <c r="C15" i="13" s="1"/>
  <c r="I450" i="1"/>
  <c r="C110" i="2"/>
  <c r="C120" i="2" s="1"/>
  <c r="C103" i="2"/>
  <c r="C107" i="2" s="1"/>
  <c r="C29" i="10"/>
  <c r="L221" i="1"/>
  <c r="C116" i="2"/>
  <c r="J24" i="1"/>
  <c r="G23" i="2" s="1"/>
  <c r="L203" i="1"/>
  <c r="C21" i="10"/>
  <c r="L350" i="1"/>
  <c r="L529" i="1"/>
  <c r="J330" i="1"/>
  <c r="J344" i="1" s="1"/>
  <c r="E13" i="13"/>
  <c r="C13" i="13" s="1"/>
  <c r="G634" i="1"/>
  <c r="J634" i="1" s="1"/>
  <c r="C19" i="10"/>
  <c r="C18" i="10"/>
  <c r="C41" i="10" l="1"/>
  <c r="D36" i="10" s="1"/>
  <c r="D33" i="13"/>
  <c r="D36" i="13" s="1"/>
  <c r="E137" i="2"/>
  <c r="G650" i="1"/>
  <c r="G654" i="1" s="1"/>
  <c r="L354" i="1"/>
  <c r="D29" i="13"/>
  <c r="C29" i="13" s="1"/>
  <c r="D119" i="2"/>
  <c r="D120" i="2" s="1"/>
  <c r="D137" i="2" s="1"/>
  <c r="F651" i="1"/>
  <c r="H651" i="1"/>
  <c r="H654" i="1" s="1"/>
  <c r="G636" i="1"/>
  <c r="J636" i="1" s="1"/>
  <c r="G621" i="1"/>
  <c r="J621" i="1" s="1"/>
  <c r="K542" i="1"/>
  <c r="G627" i="1"/>
  <c r="J627" i="1" s="1"/>
  <c r="H636" i="1"/>
  <c r="J632" i="1"/>
  <c r="F650" i="1"/>
  <c r="L249" i="1"/>
  <c r="L263" i="1" s="1"/>
  <c r="G622" i="1" s="1"/>
  <c r="J622" i="1" s="1"/>
  <c r="G55" i="2"/>
  <c r="G96" i="2" s="1"/>
  <c r="C136" i="2"/>
  <c r="C137" i="2" s="1"/>
  <c r="E33" i="13"/>
  <c r="D35" i="13" s="1"/>
  <c r="F185" i="1"/>
  <c r="G617" i="1" s="1"/>
  <c r="J617" i="1" s="1"/>
  <c r="H638" i="1"/>
  <c r="J638" i="1" s="1"/>
  <c r="G616" i="1"/>
  <c r="J44" i="1"/>
  <c r="H611" i="1" s="1"/>
  <c r="J611" i="1" s="1"/>
  <c r="D38" i="10" l="1"/>
  <c r="H662" i="1"/>
  <c r="H657" i="1"/>
  <c r="I650" i="1"/>
  <c r="F654" i="1"/>
  <c r="I651" i="1"/>
  <c r="C27" i="10"/>
  <c r="G625" i="1"/>
  <c r="J625" i="1" s="1"/>
  <c r="G662" i="1"/>
  <c r="G657" i="1"/>
  <c r="D40" i="10"/>
  <c r="D37" i="10"/>
  <c r="D35" i="10"/>
  <c r="J616" i="1"/>
  <c r="D39" i="10"/>
  <c r="H646" i="1" l="1"/>
  <c r="C28" i="10"/>
  <c r="D27" i="10" s="1"/>
  <c r="F657" i="1"/>
  <c r="F662" i="1"/>
  <c r="C4" i="10" s="1"/>
  <c r="I654" i="1"/>
  <c r="D41" i="10"/>
  <c r="I662" i="1" l="1"/>
  <c r="C7" i="10" s="1"/>
  <c r="I657" i="1"/>
  <c r="D10" i="10"/>
  <c r="C30" i="10"/>
  <c r="D25" i="10"/>
  <c r="D22" i="10"/>
  <c r="D17" i="10"/>
  <c r="D26" i="10"/>
  <c r="D23" i="10"/>
  <c r="D13" i="10"/>
  <c r="D11" i="10"/>
  <c r="D15" i="10"/>
  <c r="D12" i="10"/>
  <c r="D20" i="10"/>
  <c r="D18" i="10"/>
  <c r="D19" i="10"/>
  <c r="D24" i="10"/>
  <c r="D21" i="10"/>
  <c r="D16" i="10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45D209B3-808C-455E-BB86-545BA1AF0F65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35382F82-EA05-4D51-BA44-2B61E4D426A0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CC14F110-9B81-4B5E-878B-A42EB946142C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70ED64DD-F2C9-4495-8621-16A60DBA1248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9752220F-982C-43DF-9CE5-E8BE8005B025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9CFBE07C-3C79-4249-ACC3-C539BD3A3877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2FF539B5-583D-40BC-B6E0-C84BA0098975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2B44F522-0B24-462C-8C0D-4B3ABF10B266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F0BF319C-808E-4524-A297-03207229E0E0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AF3ABE73-52ED-4C10-85CD-8D33BA1F2ED8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2B0D701C-95E6-4447-8FF4-9C195912C219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6007EFE4-66E8-4D05-9018-48808C548CC8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<sst xmlns="http://schemas.openxmlformats.org/spreadsheetml/2006/main" count="3861" uniqueCount="898">
  <si>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</si>
  <si>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</si>
  <si>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</si>
  <si>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</si>
  <si>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</si>
  <si>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</si>
  <si>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</si>
  <si>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</si>
  <si>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</si>
  <si>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</si>
  <si>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</si>
  <si>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</si>
  <si>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</si>
  <si>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</si>
  <si>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</si>
  <si>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</si>
  <si>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</si>
  <si>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</si>
  <si>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</si>
  <si>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</si>
  <si>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</si>
  <si>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</si>
  <si>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</si>
  <si>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</si>
  <si>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</si>
  <si>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</si>
  <si>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</si>
  <si>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</si>
  <si>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</si>
  <si>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</si>
  <si>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</si>
  <si>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</si>
  <si>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</si>
  <si>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</si>
  <si>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</si>
  <si>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</si>
  <si>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</si>
  <si>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</si>
  <si>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</si>
  <si>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</si>
  <si>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</si>
  <si>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</si>
  <si>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</si>
  <si>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</si>
  <si>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</si>
  <si>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</si>
  <si>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</si>
  <si>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</si>
  <si>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</si>
  <si>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</si>
  <si>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</si>
  <si>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</si>
  <si>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</si>
  <si>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</si>
  <si>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</si>
  <si>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</si>
  <si>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</si>
  <si>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</si>
  <si>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</si>
  <si>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</si>
  <si>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</si>
  <si>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</si>
  <si>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</si>
  <si>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</si>
  <si>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</si>
  <si>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</si>
  <si>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</si>
  <si>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</si>
  <si>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</si>
  <si>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</si>
  <si>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</si>
  <si>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</si>
  <si>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</si>
  <si>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</si>
  <si>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</si>
  <si>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</si>
  <si>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</si>
  <si>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</si>
  <si>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</si>
  <si>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</si>
  <si>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</si>
  <si>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</si>
  <si>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</si>
  <si>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</si>
  <si>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</si>
  <si>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</si>
  <si>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</si>
  <si>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</si>
  <si>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</si>
  <si>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</si>
  <si>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</si>
  <si>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</si>
  <si>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</si>
  <si>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</si>
  <si>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</si>
  <si>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</si>
  <si>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</si>
  <si>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</si>
  <si>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</si>
  <si>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</si>
  <si>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</si>
  <si>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</si>
  <si>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</si>
  <si>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</si>
  <si>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</si>
  <si>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</si>
  <si>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</si>
  <si>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</si>
  <si>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</si>
  <si>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</si>
  <si>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</si>
  <si>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</si>
  <si>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</si>
  <si>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</si>
  <si>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</si>
  <si>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</si>
  <si>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</si>
  <si>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</si>
  <si>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</si>
  <si>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</si>
  <si>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</si>
  <si>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</si>
  <si>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</si>
  <si>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</si>
  <si>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</si>
  <si>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</si>
  <si>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</si>
  <si>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</si>
  <si>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</si>
  <si>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</si>
  <si>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</si>
  <si>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</si>
  <si>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</si>
  <si>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</si>
  <si>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</si>
  <si>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</si>
  <si>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</si>
  <si>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</si>
  <si>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</si>
  <si>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</si>
  <si>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</si>
  <si>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</si>
  <si>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</si>
  <si>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</si>
  <si>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</si>
  <si>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</si>
  <si>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</si>
  <si>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</si>
  <si>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</si>
  <si>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</si>
  <si>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</si>
  <si>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</si>
  <si>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</si>
  <si>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</si>
  <si>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</si>
  <si>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</si>
  <si>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</si>
  <si>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</si>
  <si>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</si>
  <si>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</si>
  <si>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</si>
  <si>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</si>
  <si>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</si>
  <si>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</si>
  <si>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</si>
  <si>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</si>
  <si>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</si>
  <si>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</si>
  <si>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</si>
  <si>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</si>
  <si>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</si>
  <si>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</si>
  <si>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</si>
  <si>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</si>
  <si>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</si>
  <si>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</si>
  <si>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</si>
  <si>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</si>
  <si>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</si>
  <si>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</si>
  <si>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</si>
  <si>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</si>
  <si>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</si>
  <si>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</si>
  <si>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</si>
  <si>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</si>
  <si>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</si>
  <si>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</si>
  <si>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</si>
  <si>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</si>
  <si>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</si>
  <si>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</si>
  <si>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</si>
  <si>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</si>
  <si>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</si>
  <si>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</si>
  <si>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</si>
  <si>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</si>
  <si>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</si>
  <si>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</si>
  <si>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</si>
  <si>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</si>
  <si>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</si>
  <si>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</si>
  <si>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</si>
  <si>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</si>
  <si>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</si>
  <si>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</si>
  <si>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</si>
  <si>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</si>
  <si>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</si>
  <si>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</si>
  <si>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</si>
  <si>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</si>
  <si>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</si>
  <si>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</si>
  <si>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</si>
  <si>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</si>
  <si>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</si>
  <si>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</si>
  <si>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</si>
  <si>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</si>
  <si>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</si>
  <si>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</si>
  <si>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</si>
  <si>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</si>
  <si>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</si>
  <si>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</si>
  <si>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</si>
  <si>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</si>
  <si>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</si>
  <si>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</si>
  <si>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</si>
  <si>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</si>
  <si>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</si>
  <si>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</si>
  <si>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</si>
  <si>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</si>
  <si>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</si>
  <si>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</si>
  <si>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</si>
  <si>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</si>
  <si>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</si>
  <si>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</si>
  <si>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</si>
  <si>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</si>
  <si>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</si>
  <si>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</si>
  <si>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</si>
  <si>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</si>
  <si>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</si>
  <si>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</si>
  <si>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</si>
  <si>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</si>
  <si>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</si>
  <si>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</si>
  <si>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</si>
  <si>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</si>
  <si>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</si>
  <si>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</si>
  <si>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</si>
  <si>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</si>
  <si>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</si>
  <si>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</si>
  <si>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</si>
  <si>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</si>
  <si>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</si>
  <si>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</si>
  <si>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</si>
  <si>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</si>
  <si>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</si>
  <si>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</si>
  <si>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</si>
  <si>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</si>
  <si>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</si>
  <si>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</si>
  <si>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</si>
  <si>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</si>
  <si>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</si>
  <si>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</si>
  <si>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</si>
  <si>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</si>
  <si>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</si>
  <si>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</si>
  <si>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</si>
  <si>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</si>
  <si>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</si>
  <si>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</si>
  <si>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</si>
  <si>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</si>
  <si>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</si>
  <si>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</si>
  <si>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</si>
  <si>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</si>
  <si>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</si>
  <si>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</si>
  <si>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</si>
  <si>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</si>
  <si>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</si>
  <si>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</si>
  <si>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</si>
  <si>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</si>
  <si>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</si>
  <si>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</si>
  <si>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</si>
  <si>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</si>
  <si>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</si>
  <si>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</si>
  <si>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</si>
  <si>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</si>
  <si>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</si>
  <si>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</si>
  <si>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</si>
  <si>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</si>
  <si>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</si>
  <si>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</si>
  <si>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</si>
  <si>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</si>
  <si>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</si>
  <si>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</si>
  <si>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</si>
  <si>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</si>
  <si>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</si>
  <si>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</si>
  <si>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</si>
  <si>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</si>
  <si>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</si>
  <si>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</si>
  <si>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</si>
  <si>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</si>
  <si>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</si>
  <si>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</si>
  <si>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</si>
  <si>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</si>
  <si>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</si>
  <si>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</si>
  <si>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</si>
  <si>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</si>
  <si>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</si>
  <si>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</si>
  <si>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</si>
  <si>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</si>
  <si>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</si>
  <si>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</si>
  <si>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</si>
  <si>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</si>
  <si>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</si>
  <si>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</si>
  <si>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</si>
  <si>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</si>
  <si>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</si>
  <si>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</si>
  <si>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</si>
  <si>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</si>
  <si>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</si>
  <si>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</si>
  <si>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</si>
  <si>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</si>
  <si>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</si>
  <si>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</si>
  <si>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</si>
  <si>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</si>
  <si>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</si>
  <si>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</si>
  <si>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</si>
  <si>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</si>
  <si>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</si>
  <si>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</si>
  <si>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</si>
  <si>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</si>
  <si>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</si>
  <si>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</si>
  <si>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</si>
  <si>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</si>
  <si>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</si>
  <si>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</si>
  <si>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</si>
  <si>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</si>
  <si>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</si>
  <si>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</si>
  <si>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</si>
  <si>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</si>
  <si>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</si>
  <si>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</si>
  <si>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</si>
  <si>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</si>
  <si>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</si>
  <si>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</si>
  <si>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</si>
  <si>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</si>
  <si>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</si>
  <si>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</si>
  <si>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</si>
  <si>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</si>
  <si>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</si>
  <si>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</si>
  <si>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</si>
  <si>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</si>
  <si>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</si>
  <si>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</si>
  <si>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</si>
  <si>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</si>
  <si>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</si>
  <si>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</si>
  <si>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</si>
  <si>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</si>
  <si>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</si>
  <si>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</si>
  <si>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</si>
  <si>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</si>
  <si>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</si>
  <si>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</si>
  <si>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</si>
  <si>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</si>
  <si>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</si>
  <si>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</si>
  <si>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</si>
  <si>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</si>
  <si>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</si>
  <si>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</si>
  <si>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</si>
  <si>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</si>
  <si>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</si>
  <si>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</si>
  <si>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</si>
  <si>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</si>
  <si>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</si>
  <si>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</si>
  <si>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</si>
  <si>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</si>
  <si>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</si>
  <si>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</si>
  <si>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</si>
  <si>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</si>
  <si>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</si>
  <si>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</si>
  <si>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</si>
  <si>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</si>
  <si>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</si>
  <si>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</si>
  <si>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</si>
  <si>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</si>
  <si>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</si>
  <si>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</si>
  <si>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</si>
  <si>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</si>
  <si>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</si>
  <si>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</si>
  <si>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</si>
  <si>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</si>
  <si>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</si>
  <si>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</si>
  <si>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</si>
  <si>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</si>
  <si>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</si>
  <si>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</si>
  <si>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</si>
  <si>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</si>
  <si>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</si>
  <si>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</si>
  <si>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</si>
  <si>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</si>
  <si>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</si>
  <si>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</si>
  <si>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</si>
  <si>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</si>
  <si>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</si>
  <si>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</si>
  <si>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</si>
  <si>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</si>
  <si>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</si>
  <si>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</si>
  <si>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</si>
  <si>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</si>
  <si>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</si>
  <si>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</si>
  <si>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</si>
  <si>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</si>
  <si>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</si>
  <si>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</si>
  <si>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</si>
  <si>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</si>
  <si>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</si>
  <si>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</si>
  <si>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</si>
  <si>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</si>
  <si>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</si>
  <si>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</si>
  <si>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</si>
  <si>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</si>
  <si>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</si>
  <si>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</si>
  <si>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</si>
  <si>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</si>
  <si>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</si>
  <si>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</si>
  <si>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</si>
  <si>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</si>
  <si>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</si>
  <si>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</si>
  <si>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</si>
  <si>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</si>
  <si>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</si>
  <si>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</si>
  <si>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</si>
  <si>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</si>
  <si>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</si>
  <si>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</si>
  <si>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</si>
  <si>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</si>
  <si>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</si>
  <si>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</si>
  <si>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</si>
  <si>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</si>
  <si>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</si>
  <si>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</si>
  <si>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</si>
  <si>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</si>
  <si>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</si>
  <si>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</si>
  <si>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</si>
  <si>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</si>
  <si>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</si>
  <si>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</si>
  <si>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</si>
  <si>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</si>
  <si>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</si>
  <si>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</si>
  <si>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</si>
  <si>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</si>
  <si>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</si>
  <si>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</si>
  <si>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</si>
  <si>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</si>
  <si>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</si>
  <si>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</si>
  <si>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</si>
  <si>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</si>
  <si>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</si>
  <si>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</si>
  <si>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</si>
  <si>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</si>
  <si>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</si>
  <si>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</si>
  <si>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</si>
  <si>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</si>
  <si>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</si>
  <si>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</si>
  <si>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</si>
  <si>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</si>
  <si>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</si>
  <si>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</si>
  <si>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</si>
  <si>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</si>
  <si>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</si>
  <si>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</si>
  <si>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</si>
  <si>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</si>
  <si>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</si>
  <si>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</si>
  <si>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</si>
  <si>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</si>
  <si>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</si>
  <si>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</si>
  <si>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</si>
  <si>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</si>
  <si>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</si>
  <si>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</si>
  <si>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</si>
  <si>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</si>
  <si>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</si>
  <si>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</si>
  <si>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</si>
  <si>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</si>
  <si>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</si>
  <si>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</si>
  <si>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</si>
  <si>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</si>
  <si>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</si>
  <si>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</si>
  <si>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</si>
  <si>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</si>
  <si>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</si>
  <si>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</si>
  <si>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</si>
  <si>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</si>
  <si>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</si>
  <si>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</si>
  <si>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</si>
  <si>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</si>
  <si>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</si>
  <si>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</si>
  <si>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</si>
  <si>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</si>
  <si>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</si>
  <si>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</si>
  <si>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</si>
  <si>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</si>
  <si>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</si>
  <si>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</si>
  <si>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</si>
  <si>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</si>
  <si>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</si>
  <si>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</si>
  <si>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</si>
  <si>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</si>
  <si>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</si>
  <si>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</si>
  <si>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</si>
  <si>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</si>
  <si>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</si>
  <si>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</si>
  <si>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</si>
  <si>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</si>
  <si>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</si>
  <si>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</si>
  <si>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</si>
  <si>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</si>
  <si>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</si>
  <si>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</si>
  <si>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</si>
  <si>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</si>
  <si>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</si>
  <si>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</si>
  <si>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</si>
  <si>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</si>
  <si>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</si>
  <si>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</si>
  <si>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</si>
  <si>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</si>
  <si>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</si>
  <si>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</si>
  <si>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</si>
  <si>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</si>
  <si>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</si>
  <si>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</si>
  <si>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</si>
  <si>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</si>
  <si>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</si>
  <si>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</si>
  <si>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</si>
  <si>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</si>
  <si>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</si>
  <si>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</si>
  <si>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</si>
  <si>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</si>
  <si>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</si>
  <si>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</si>
  <si>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</si>
  <si>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</si>
  <si>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</si>
  <si>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</si>
  <si>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</si>
  <si>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</si>
  <si>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</si>
  <si>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</si>
  <si>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</si>
  <si>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</si>
  <si>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</si>
  <si>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</si>
  <si>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</si>
  <si>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</si>
  <si>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</si>
  <si>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</si>
  <si>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</si>
  <si>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</si>
  <si>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</si>
  <si>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</si>
  <si>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</si>
  <si>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</si>
  <si>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</si>
  <si>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</si>
  <si>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</si>
  <si>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</si>
  <si>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</si>
  <si>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</si>
  <si>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</si>
  <si>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</si>
  <si>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</si>
  <si>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</si>
  <si>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</si>
  <si>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</si>
  <si>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</si>
  <si>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</si>
  <si>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</si>
  <si>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</si>
  <si>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</si>
  <si>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</si>
  <si>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</si>
  <si>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</si>
  <si>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</si>
  <si>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</si>
  <si>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</si>
  <si>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</si>
  <si>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</si>
  <si>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</si>
  <si>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</si>
  <si>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</si>
  <si>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</si>
  <si>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</si>
  <si>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</si>
  <si>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</si>
  <si>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</si>
  <si>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</si>
  <si>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</si>
  <si>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</si>
  <si>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</si>
  <si>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</si>
  <si>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</si>
  <si>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</si>
  <si>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</si>
  <si>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</si>
  <si>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</si>
  <si>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</si>
  <si>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</si>
  <si>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</si>
  <si>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</si>
  <si>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</si>
  <si>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</si>
  <si>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</si>
  <si>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</si>
  <si>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</si>
  <si>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</si>
  <si>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</si>
  <si>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</si>
  <si>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</si>
  <si>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</si>
  <si>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</si>
  <si>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</si>
  <si>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</si>
  <si>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</si>
  <si>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</si>
  <si>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</si>
  <si>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</si>
  <si>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</si>
  <si>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</si>
  <si>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</si>
  <si>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</si>
  <si>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</si>
  <si>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</si>
  <si>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</si>
  <si>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</si>
  <si>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</si>
  <si>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</si>
  <si>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</si>
  <si>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</si>
  <si>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</si>
  <si>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</si>
  <si>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</si>
  <si>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</si>
  <si>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</si>
  <si>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</si>
  <si>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</si>
  <si>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</si>
  <si>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</si>
  <si>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</si>
  <si>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</si>
  <si>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</si>
  <si>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</si>
  <si>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</si>
  <si>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</si>
  <si>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</si>
  <si>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</si>
  <si>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</si>
  <si>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</si>
  <si>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</si>
  <si>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</si>
  <si>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</si>
  <si>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</si>
  <si>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</si>
  <si>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</si>
  <si>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</si>
  <si>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</si>
  <si>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</si>
  <si>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</si>
  <si>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</si>
  <si>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</si>
  <si>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</si>
  <si>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</si>
  <si>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</si>
  <si>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</si>
  <si>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</si>
  <si>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</si>
  <si>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</si>
  <si>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</si>
  <si>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</si>
  <si>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</si>
  <si>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</si>
  <si>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</si>
  <si>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</si>
  <si>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</si>
  <si>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</si>
  <si>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</si>
  <si>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</si>
  <si>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</si>
  <si>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</si>
  <si>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</si>
  <si>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</si>
  <si>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</si>
  <si>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</si>
  <si>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</si>
  <si>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</si>
  <si>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</si>
  <si>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</si>
  <si>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</si>
  <si>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</si>
  <si>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</si>
  <si>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</si>
  <si>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</si>
  <si>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</si>
  <si>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</si>
  <si>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</si>
  <si>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</si>
  <si>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</si>
  <si>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</si>
  <si>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</si>
  <si>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</si>
  <si>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</si>
  <si>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</si>
  <si>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</si>
  <si>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</si>
  <si>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</si>
  <si>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</si>
  <si>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</si>
  <si>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</si>
  <si>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</si>
  <si>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</si>
  <si>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</si>
  <si>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</si>
  <si>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</si>
  <si>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</si>
  <si>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</si>
  <si>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</si>
  <si>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</si>
  <si>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</si>
  <si>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</si>
  <si>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</si>
  <si>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</si>
  <si>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</si>
  <si>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</si>
  <si>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</si>
  <si>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</si>
  <si>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</si>
  <si>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</si>
  <si>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</si>
  <si>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</si>
  <si>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</si>
  <si>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</si>
  <si>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</si>
  <si>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</si>
  <si>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</si>
  <si>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</si>
  <si>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</si>
  <si>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</si>
  <si>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</si>
  <si>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</si>
  <si>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</si>
  <si>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</si>
  <si>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</si>
  <si>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</si>
  <si>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</si>
  <si>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</si>
  <si>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</si>
  <si>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</si>
  <si>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</si>
  <si>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</si>
  <si>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</si>
  <si>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</si>
  <si>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</si>
  <si>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</si>
  <si>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</si>
  <si>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</si>
  <si>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</si>
  <si>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</si>
  <si>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</si>
  <si>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</si>
  <si>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</si>
  <si>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</si>
  <si>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</si>
  <si>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</si>
  <si>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</si>
  <si>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</si>
  <si>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</si>
  <si>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</si>
  <si>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</si>
  <si>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</si>
  <si>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</si>
  <si>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</si>
  <si>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</si>
  <si>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</si>
  <si>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</si>
  <si>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</si>
  <si>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</si>
  <si>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</si>
  <si>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SCHOOL MAINTENANCE TRUST FUND IS AN EXPENDABLE TRUST; NOT A CAPITAL RESERVE AS REPORTED FY09</t>
  </si>
  <si>
    <t>Food Service - Change in Inventory Reserves</t>
  </si>
  <si>
    <t>General Fund - Change in Reserve for Spec Purpose</t>
  </si>
  <si>
    <t>Andover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</si>
</sst>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650C3-4E9D-41C9-B544-9E99597D1781}">
  <sheetPr transitionEvaluation="1" transitionEntry="1" codeName="Sheet1">
    <tabColor indexed="56"/>
  </sheetPr>
  <dimension ref="A1:AQ666"/>
  <sheetViews>
    <sheetView tabSelected="1" zoomScale="75" zoomScaleNormal="11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G655" sqref="G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897</v>
      </c>
      <c r="B2" s="21">
        <v>19</v>
      </c>
      <c r="C2" s="21">
        <v>19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13.75</v>
      </c>
      <c r="G9" s="18">
        <v>323.67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392559.07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23358.52</v>
      </c>
      <c r="G12" s="18">
        <v>4229.92</v>
      </c>
      <c r="H12" s="18">
        <v>2690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11804</v>
      </c>
      <c r="G13" s="18">
        <v>1615.33</v>
      </c>
      <c r="H13" s="18">
        <v>35027.68</v>
      </c>
      <c r="I13" s="18"/>
      <c r="J13" s="67">
        <f>SUM(I434)</f>
        <v>104219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2128.15</v>
      </c>
      <c r="G14" s="18">
        <v>65.400000000000006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1513.46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429863.49000000005</v>
      </c>
      <c r="G19" s="41">
        <f>SUM(G9:G18)</f>
        <v>7747.78</v>
      </c>
      <c r="H19" s="41">
        <f>SUM(H9:H18)</f>
        <v>37717.68</v>
      </c>
      <c r="I19" s="41">
        <f>SUM(I9:I18)</f>
        <v>0</v>
      </c>
      <c r="J19" s="41">
        <f>SUM(J9:J18)</f>
        <v>104219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27588.44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20149.57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f>149436.02+888.28</f>
        <v>150324.29999999999</v>
      </c>
      <c r="G29" s="18">
        <v>4886.84</v>
      </c>
      <c r="H29" s="18">
        <v>7439.24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54.3</v>
      </c>
      <c r="H31" s="18">
        <v>2690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37626</v>
      </c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208099.87</v>
      </c>
      <c r="G33" s="41">
        <f>SUM(G23:G32)</f>
        <v>4941.1400000000003</v>
      </c>
      <c r="H33" s="41">
        <f>SUM(H23:H32)</f>
        <v>37717.68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1513.46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f>843.18+450</f>
        <v>1293.1799999999998</v>
      </c>
      <c r="H41" s="18"/>
      <c r="I41" s="18"/>
      <c r="J41" s="13">
        <f>SUM(I449)</f>
        <v>104219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237038.73-15275.11</f>
        <v>221763.62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221763.62</v>
      </c>
      <c r="G43" s="41">
        <f>SUM(G35:G42)</f>
        <v>2806.64</v>
      </c>
      <c r="H43" s="41">
        <f>SUM(H35:H42)</f>
        <v>0</v>
      </c>
      <c r="I43" s="41">
        <f>SUM(I35:I42)</f>
        <v>0</v>
      </c>
      <c r="J43" s="41">
        <f>SUM(J35:J42)</f>
        <v>104219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429863.49</v>
      </c>
      <c r="G44" s="41">
        <f>G43+G33</f>
        <v>7747.7800000000007</v>
      </c>
      <c r="H44" s="41">
        <f>H43+H33</f>
        <v>37717.68</v>
      </c>
      <c r="I44" s="41">
        <f>I43+I33</f>
        <v>0</v>
      </c>
      <c r="J44" s="41">
        <f>J43+J33</f>
        <v>104219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2582420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2582420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f>205.73+987.6</f>
        <v>1193.33</v>
      </c>
      <c r="G88" s="18">
        <v>28.6</v>
      </c>
      <c r="H88" s="18"/>
      <c r="I88" s="18"/>
      <c r="J88" s="18">
        <f>50.3+101.72+251.82</f>
        <v>403.84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33981.5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319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165.71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1678.04</v>
      </c>
      <c r="G103" s="41">
        <f>SUM(G88:G102)</f>
        <v>34010.1</v>
      </c>
      <c r="H103" s="41">
        <f>SUM(H88:H102)</f>
        <v>0</v>
      </c>
      <c r="I103" s="41">
        <f>SUM(I88:I102)</f>
        <v>0</v>
      </c>
      <c r="J103" s="41">
        <f>SUM(J88:J102)</f>
        <v>403.84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2584098.04</v>
      </c>
      <c r="G104" s="41">
        <f>G52+G103</f>
        <v>34010.1</v>
      </c>
      <c r="H104" s="41">
        <f>H52+H71+H86+H103</f>
        <v>0</v>
      </c>
      <c r="I104" s="41">
        <f>I52+I103</f>
        <v>0</v>
      </c>
      <c r="J104" s="41">
        <f>J52+J103</f>
        <v>403.84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555869.98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663277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213270.02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1432417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87.15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87.15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1432417</v>
      </c>
      <c r="G132" s="41">
        <f>G113+SUM(G128:G129)</f>
        <v>87.15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51535.95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22481.83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18764.63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52826.73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16754.32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46350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16754.32</v>
      </c>
      <c r="G154" s="41">
        <f>SUM(G142:G153)</f>
        <v>18764.63</v>
      </c>
      <c r="H154" s="41">
        <f>SUM(H142:H153)</f>
        <v>173194.51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16754.32</v>
      </c>
      <c r="G161" s="41">
        <f>G139+G154+SUM(G155:G160)</f>
        <v>18764.63</v>
      </c>
      <c r="H161" s="41">
        <f>H139+H154+SUM(H155:H160)</f>
        <v>173194.51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33222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33222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33222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4033269.36</v>
      </c>
      <c r="G185" s="47">
        <f>G104+G132+G161+G184</f>
        <v>86083.88</v>
      </c>
      <c r="H185" s="47">
        <f>H104+H132+H161+H184</f>
        <v>173194.51</v>
      </c>
      <c r="I185" s="47">
        <f>I104+I132+I161+I184</f>
        <v>0</v>
      </c>
      <c r="J185" s="47">
        <f>J104+J132+J184</f>
        <v>403.84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985638.16</v>
      </c>
      <c r="G189" s="18">
        <v>401543.37</v>
      </c>
      <c r="H189" s="18">
        <v>5830.54</v>
      </c>
      <c r="I189" s="18">
        <v>58136.28</v>
      </c>
      <c r="J189" s="18">
        <v>789.92</v>
      </c>
      <c r="K189" s="18"/>
      <c r="L189" s="19">
        <f>SUM(F189:K189)</f>
        <v>1451938.27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195044.62</v>
      </c>
      <c r="G190" s="18">
        <v>69347.38</v>
      </c>
      <c r="H190" s="18">
        <v>50940.47</v>
      </c>
      <c r="I190" s="18">
        <v>3383.46</v>
      </c>
      <c r="J190" s="18"/>
      <c r="K190" s="18">
        <v>530</v>
      </c>
      <c r="L190" s="19">
        <f>SUM(F190:K190)</f>
        <v>319245.93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>
        <v>120</v>
      </c>
      <c r="L191" s="19">
        <f>SUM(F191:K191)</f>
        <v>120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9575</v>
      </c>
      <c r="G192" s="18">
        <v>1384.25</v>
      </c>
      <c r="H192" s="18">
        <v>900</v>
      </c>
      <c r="I192" s="18">
        <v>4658.3599999999997</v>
      </c>
      <c r="J192" s="18"/>
      <c r="K192" s="18"/>
      <c r="L192" s="19">
        <f>SUM(F192:K192)</f>
        <v>16517.61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91921.600000000006</v>
      </c>
      <c r="G194" s="18">
        <v>25780.95</v>
      </c>
      <c r="H194" s="18">
        <v>78970.67</v>
      </c>
      <c r="I194" s="18">
        <v>6352.65</v>
      </c>
      <c r="J194" s="18"/>
      <c r="K194" s="18"/>
      <c r="L194" s="19">
        <f t="shared" ref="L194:L200" si="0">SUM(F194:K194)</f>
        <v>203025.87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18245.2</v>
      </c>
      <c r="G195" s="18">
        <v>6954.75</v>
      </c>
      <c r="H195" s="18">
        <f>10499.55+1000</f>
        <v>11499.55</v>
      </c>
      <c r="I195" s="18">
        <v>6081.1</v>
      </c>
      <c r="J195" s="18">
        <v>418</v>
      </c>
      <c r="K195" s="18"/>
      <c r="L195" s="19">
        <f t="shared" si="0"/>
        <v>43198.6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1650</v>
      </c>
      <c r="G196" s="18">
        <v>40.74</v>
      </c>
      <c r="H196" s="18">
        <f>109763.5+3405.7</f>
        <v>113169.2</v>
      </c>
      <c r="I196" s="18">
        <v>342.39</v>
      </c>
      <c r="J196" s="18"/>
      <c r="K196" s="18">
        <v>2943.12</v>
      </c>
      <c r="L196" s="19">
        <f t="shared" si="0"/>
        <v>118145.45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108847.54</v>
      </c>
      <c r="G197" s="18">
        <v>40213.120000000003</v>
      </c>
      <c r="H197" s="18">
        <f>2488+4578.58</f>
        <v>7066.58</v>
      </c>
      <c r="I197" s="18">
        <v>2961.99</v>
      </c>
      <c r="J197" s="18">
        <v>5928.97</v>
      </c>
      <c r="K197" s="18">
        <v>670</v>
      </c>
      <c r="L197" s="19">
        <f t="shared" si="0"/>
        <v>165688.19999999998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73465.03</v>
      </c>
      <c r="G199" s="18">
        <v>26615.88</v>
      </c>
      <c r="H199" s="18">
        <f>82094.15+13315.51</f>
        <v>95409.659999999989</v>
      </c>
      <c r="I199" s="18">
        <v>71081.37</v>
      </c>
      <c r="J199" s="18"/>
      <c r="K199" s="18"/>
      <c r="L199" s="19">
        <f t="shared" si="0"/>
        <v>266571.94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130889.06</v>
      </c>
      <c r="I200" s="18"/>
      <c r="J200" s="18"/>
      <c r="K200" s="18"/>
      <c r="L200" s="19">
        <f t="shared" si="0"/>
        <v>130889.06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1484387.1500000001</v>
      </c>
      <c r="G203" s="41">
        <f t="shared" si="1"/>
        <v>571880.44000000006</v>
      </c>
      <c r="H203" s="41">
        <f t="shared" si="1"/>
        <v>494675.73</v>
      </c>
      <c r="I203" s="41">
        <f t="shared" si="1"/>
        <v>152997.59999999998</v>
      </c>
      <c r="J203" s="41">
        <f t="shared" si="1"/>
        <v>7136.89</v>
      </c>
      <c r="K203" s="41">
        <f t="shared" si="1"/>
        <v>4263.12</v>
      </c>
      <c r="L203" s="41">
        <f t="shared" si="1"/>
        <v>2715340.9300000006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1050616</v>
      </c>
      <c r="I225" s="18"/>
      <c r="J225" s="18"/>
      <c r="K225" s="18"/>
      <c r="L225" s="19">
        <f>SUM(F225:K225)</f>
        <v>1050616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65958.69</v>
      </c>
      <c r="I226" s="18"/>
      <c r="J226" s="18"/>
      <c r="K226" s="18"/>
      <c r="L226" s="19">
        <f>SUM(F226:K226)</f>
        <v>65958.69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121866.08</v>
      </c>
      <c r="I236" s="18"/>
      <c r="J236" s="18"/>
      <c r="K236" s="18"/>
      <c r="L236" s="19">
        <f t="shared" si="4"/>
        <v>121866.08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1238440.77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1238440.77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>
        <v>61540.77</v>
      </c>
      <c r="L247" s="19">
        <f t="shared" si="6"/>
        <v>61540.77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61540.77</v>
      </c>
      <c r="L248" s="41">
        <f>SUM(F248:K248)</f>
        <v>61540.77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1484387.1500000001</v>
      </c>
      <c r="G249" s="41">
        <f t="shared" si="8"/>
        <v>571880.44000000006</v>
      </c>
      <c r="H249" s="41">
        <f t="shared" si="8"/>
        <v>1733116.5</v>
      </c>
      <c r="I249" s="41">
        <f t="shared" si="8"/>
        <v>152997.59999999998</v>
      </c>
      <c r="J249" s="41">
        <f t="shared" si="8"/>
        <v>7136.89</v>
      </c>
      <c r="K249" s="41">
        <f t="shared" si="8"/>
        <v>65803.89</v>
      </c>
      <c r="L249" s="41">
        <f t="shared" si="8"/>
        <v>4015322.4700000007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33222</v>
      </c>
      <c r="L255" s="19">
        <f>SUM(F255:K255)</f>
        <v>33222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33222</v>
      </c>
      <c r="L262" s="41">
        <f t="shared" si="9"/>
        <v>33222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1484387.1500000001</v>
      </c>
      <c r="G263" s="42">
        <f t="shared" si="11"/>
        <v>571880.44000000006</v>
      </c>
      <c r="H263" s="42">
        <f t="shared" si="11"/>
        <v>1733116.5</v>
      </c>
      <c r="I263" s="42">
        <f t="shared" si="11"/>
        <v>152997.59999999998</v>
      </c>
      <c r="J263" s="42">
        <f t="shared" si="11"/>
        <v>7136.89</v>
      </c>
      <c r="K263" s="42">
        <f t="shared" si="11"/>
        <v>99025.89</v>
      </c>
      <c r="L263" s="42">
        <f t="shared" si="11"/>
        <v>4048544.4700000007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1246.32</v>
      </c>
      <c r="G268" s="18">
        <v>156.66</v>
      </c>
      <c r="H268" s="18">
        <v>21250</v>
      </c>
      <c r="I268" s="18"/>
      <c r="J268" s="18">
        <v>6535.85</v>
      </c>
      <c r="K268" s="18"/>
      <c r="L268" s="19">
        <f>SUM(F268:K268)</f>
        <v>29188.83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59488.58</v>
      </c>
      <c r="G269" s="18">
        <v>15357.14</v>
      </c>
      <c r="H269" s="18"/>
      <c r="I269" s="18"/>
      <c r="J269" s="18"/>
      <c r="K269" s="18"/>
      <c r="L269" s="19">
        <f>SUM(F269:K269)</f>
        <v>74845.72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>
        <v>270</v>
      </c>
      <c r="I271" s="18"/>
      <c r="J271" s="18"/>
      <c r="K271" s="18"/>
      <c r="L271" s="19">
        <f>SUM(F271:K271)</f>
        <v>270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14535.6</v>
      </c>
      <c r="I273" s="18"/>
      <c r="J273" s="18">
        <v>1775.69</v>
      </c>
      <c r="K273" s="18"/>
      <c r="L273" s="19">
        <f t="shared" ref="L273:L279" si="12">SUM(F273:K273)</f>
        <v>16311.29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>
        <v>2855</v>
      </c>
      <c r="K274" s="18"/>
      <c r="L274" s="19">
        <f t="shared" si="12"/>
        <v>2855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1544.1</v>
      </c>
      <c r="L277" s="19">
        <f t="shared" si="12"/>
        <v>1544.1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60734.9</v>
      </c>
      <c r="G282" s="42">
        <f t="shared" si="13"/>
        <v>15513.8</v>
      </c>
      <c r="H282" s="42">
        <f t="shared" si="13"/>
        <v>36055.599999999999</v>
      </c>
      <c r="I282" s="42">
        <f t="shared" si="13"/>
        <v>0</v>
      </c>
      <c r="J282" s="42">
        <f t="shared" si="13"/>
        <v>11166.54</v>
      </c>
      <c r="K282" s="42">
        <f t="shared" si="13"/>
        <v>1544.1</v>
      </c>
      <c r="L282" s="41">
        <f t="shared" si="13"/>
        <v>125014.94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>
        <v>4684.57</v>
      </c>
      <c r="I324" s="18"/>
      <c r="J324" s="18"/>
      <c r="K324" s="18"/>
      <c r="L324" s="19">
        <f t="shared" ref="L324:L329" si="18">SUM(F324:K324)</f>
        <v>4684.57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>
        <f>37285+6210</f>
        <v>43495</v>
      </c>
      <c r="I328" s="18"/>
      <c r="J328" s="18"/>
      <c r="K328" s="18"/>
      <c r="L328" s="19">
        <f t="shared" si="18"/>
        <v>43495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48179.57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48179.57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60734.9</v>
      </c>
      <c r="G330" s="41">
        <f t="shared" si="20"/>
        <v>15513.8</v>
      </c>
      <c r="H330" s="41">
        <f t="shared" si="20"/>
        <v>84235.17</v>
      </c>
      <c r="I330" s="41">
        <f t="shared" si="20"/>
        <v>0</v>
      </c>
      <c r="J330" s="41">
        <f t="shared" si="20"/>
        <v>11166.54</v>
      </c>
      <c r="K330" s="41">
        <f t="shared" si="20"/>
        <v>1544.1</v>
      </c>
      <c r="L330" s="41">
        <f t="shared" si="20"/>
        <v>173194.51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60734.9</v>
      </c>
      <c r="G344" s="41">
        <f>G330</f>
        <v>15513.8</v>
      </c>
      <c r="H344" s="41">
        <f>H330</f>
        <v>84235.17</v>
      </c>
      <c r="I344" s="41">
        <f>I330</f>
        <v>0</v>
      </c>
      <c r="J344" s="41">
        <f>J330</f>
        <v>11166.54</v>
      </c>
      <c r="K344" s="47">
        <f>K330+K343</f>
        <v>1544.1</v>
      </c>
      <c r="L344" s="41">
        <f>L330+L343</f>
        <v>173194.51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28836.68+4191.46</f>
        <v>33028.14</v>
      </c>
      <c r="G350" s="18">
        <f>8612.91+46.3+59.3+2592.31+2014.67</f>
        <v>13325.489999999998</v>
      </c>
      <c r="H350" s="18">
        <f>1303.3</f>
        <v>1303.3</v>
      </c>
      <c r="I350" s="18">
        <f>4177.96+33400.99</f>
        <v>37578.949999999997</v>
      </c>
      <c r="J350" s="18">
        <v>398</v>
      </c>
      <c r="K350" s="18"/>
      <c r="L350" s="13">
        <f>SUM(F350:K350)</f>
        <v>85633.88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33028.14</v>
      </c>
      <c r="G354" s="47">
        <f t="shared" si="22"/>
        <v>13325.489999999998</v>
      </c>
      <c r="H354" s="47">
        <f t="shared" si="22"/>
        <v>1303.3</v>
      </c>
      <c r="I354" s="47">
        <f t="shared" si="22"/>
        <v>37578.949999999997</v>
      </c>
      <c r="J354" s="47">
        <f t="shared" si="22"/>
        <v>398</v>
      </c>
      <c r="K354" s="47">
        <f t="shared" si="22"/>
        <v>0</v>
      </c>
      <c r="L354" s="47">
        <f t="shared" si="22"/>
        <v>85633.88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33400.99</v>
      </c>
      <c r="G359" s="18"/>
      <c r="H359" s="18"/>
      <c r="I359" s="56">
        <f>SUM(F359:H359)</f>
        <v>33400.99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4177.96</v>
      </c>
      <c r="G360" s="63"/>
      <c r="H360" s="63"/>
      <c r="I360" s="56">
        <f>SUM(F360:H360)</f>
        <v>4177.96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37578.949999999997</v>
      </c>
      <c r="G361" s="47">
        <f>SUM(G359:G360)</f>
        <v>0</v>
      </c>
      <c r="H361" s="47">
        <f>SUM(H359:H360)</f>
        <v>0</v>
      </c>
      <c r="I361" s="47">
        <f>SUM(I359:I360)</f>
        <v>37578.949999999997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f>7.47+7.47+6.66+5.5+5.33+5.69+2.47+1.91+1.98+1.92+1.98+1.92</f>
        <v>50.29999999999999</v>
      </c>
      <c r="I388" s="18"/>
      <c r="J388" s="24" t="s">
        <v>312</v>
      </c>
      <c r="K388" s="24" t="s">
        <v>312</v>
      </c>
      <c r="L388" s="56">
        <f t="shared" si="26"/>
        <v>50.29999999999999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f>37.4+37.4+33.35+27.55+26.66+28.48+12.34+9.57+9.93+9.61+9.92+9.61</f>
        <v>251.82</v>
      </c>
      <c r="I389" s="18"/>
      <c r="J389" s="24" t="s">
        <v>312</v>
      </c>
      <c r="K389" s="24" t="s">
        <v>312</v>
      </c>
      <c r="L389" s="56">
        <f t="shared" si="26"/>
        <v>251.82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f>15.1+15.11+13.47+11.12+10.77+11.51+4.99+3.87+4.01+3.88+4.01+3.88</f>
        <v>101.72</v>
      </c>
      <c r="I390" s="18"/>
      <c r="J390" s="24" t="s">
        <v>312</v>
      </c>
      <c r="K390" s="24" t="s">
        <v>312</v>
      </c>
      <c r="L390" s="56">
        <f t="shared" si="26"/>
        <v>101.72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403.84000000000003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403.84000000000003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403.84000000000003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403.84000000000003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>
        <f>12980.02+26254.03+64984.95</f>
        <v>104219</v>
      </c>
      <c r="H434" s="18"/>
      <c r="I434" s="56">
        <f t="shared" si="33"/>
        <v>104219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104219</v>
      </c>
      <c r="H438" s="13">
        <f>SUM(H431:H437)</f>
        <v>0</v>
      </c>
      <c r="I438" s="13">
        <f>SUM(I431:I437)</f>
        <v>104219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104219</v>
      </c>
      <c r="H449" s="18"/>
      <c r="I449" s="56">
        <f>SUM(F449:H449)</f>
        <v>104219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104219</v>
      </c>
      <c r="H450" s="83">
        <f>SUM(H446:H449)</f>
        <v>0</v>
      </c>
      <c r="I450" s="83">
        <f>SUM(I446:I449)</f>
        <v>104219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104219</v>
      </c>
      <c r="H451" s="42">
        <f>H444+H450</f>
        <v>0</v>
      </c>
      <c r="I451" s="42">
        <f>I444+I450</f>
        <v>104219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321022.92</v>
      </c>
      <c r="G455" s="18">
        <v>2058.42</v>
      </c>
      <c r="H455" s="18">
        <v>0</v>
      </c>
      <c r="I455" s="18">
        <v>0</v>
      </c>
      <c r="J455" s="18">
        <v>103815.16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4033269.36</v>
      </c>
      <c r="G458" s="18">
        <v>86083.88</v>
      </c>
      <c r="H458" s="18">
        <f>126844.51+46350</f>
        <v>173194.51</v>
      </c>
      <c r="I458" s="18"/>
      <c r="J458" s="18">
        <f>50.3+101.72+251.82</f>
        <v>403.84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4033269.36</v>
      </c>
      <c r="G460" s="53">
        <f>SUM(G458:G459)</f>
        <v>86083.88</v>
      </c>
      <c r="H460" s="53">
        <f>SUM(H458:H459)</f>
        <v>173194.51</v>
      </c>
      <c r="I460" s="53">
        <f>SUM(I458:I459)</f>
        <v>0</v>
      </c>
      <c r="J460" s="53">
        <f>SUM(J458:J459)</f>
        <v>403.84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4048544.47</v>
      </c>
      <c r="G462" s="18">
        <v>85633.88</v>
      </c>
      <c r="H462" s="18">
        <f>46350+126844.51</f>
        <v>173194.51</v>
      </c>
      <c r="I462" s="18"/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f>305747.81-221763.62</f>
        <v>83984.19</v>
      </c>
      <c r="G463" s="18">
        <v>-298.22000000000003</v>
      </c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4132528.66</v>
      </c>
      <c r="G464" s="53">
        <f>SUM(G462:G463)</f>
        <v>85335.66</v>
      </c>
      <c r="H464" s="53">
        <f>SUM(H462:H463)</f>
        <v>173194.51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221763.62000000011</v>
      </c>
      <c r="G466" s="53">
        <f>(G455+G460)- G464</f>
        <v>2806.6399999999994</v>
      </c>
      <c r="H466" s="53">
        <f>(H455+H460)- H464</f>
        <v>0</v>
      </c>
      <c r="I466" s="53">
        <f>(I455+I460)- I464</f>
        <v>0</v>
      </c>
      <c r="J466" s="53">
        <f>(J455+J460)- J464</f>
        <v>104219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896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 t="s">
        <v>895</v>
      </c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219476.56</f>
        <v>219476.56</v>
      </c>
      <c r="G511" s="18">
        <v>75939.62</v>
      </c>
      <c r="H511" s="18">
        <v>50940.47</v>
      </c>
      <c r="I511" s="18">
        <v>3383.46</v>
      </c>
      <c r="J511" s="18"/>
      <c r="K511" s="18">
        <v>530</v>
      </c>
      <c r="L511" s="88">
        <f>SUM(F511:K511)</f>
        <v>350270.11000000004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65958.69</v>
      </c>
      <c r="I513" s="18"/>
      <c r="J513" s="18"/>
      <c r="K513" s="18"/>
      <c r="L513" s="88">
        <f>SUM(F513:K513)</f>
        <v>65958.69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219476.56</v>
      </c>
      <c r="G514" s="108">
        <f t="shared" ref="G514:L514" si="35">SUM(G511:G513)</f>
        <v>75939.62</v>
      </c>
      <c r="H514" s="108">
        <f t="shared" si="35"/>
        <v>116899.16</v>
      </c>
      <c r="I514" s="108">
        <f t="shared" si="35"/>
        <v>3383.46</v>
      </c>
      <c r="J514" s="108">
        <f t="shared" si="35"/>
        <v>0</v>
      </c>
      <c r="K514" s="108">
        <f t="shared" si="35"/>
        <v>530</v>
      </c>
      <c r="L514" s="89">
        <f t="shared" si="35"/>
        <v>416228.80000000005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f>4684.57+12785.25+3600+8793.6+46167.75+3034.5+19000+125.17</f>
        <v>98190.84</v>
      </c>
      <c r="I516" s="18"/>
      <c r="J516" s="18">
        <v>1775.69</v>
      </c>
      <c r="K516" s="18"/>
      <c r="L516" s="88">
        <f>SUM(F516:K516)</f>
        <v>99966.53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98190.84</v>
      </c>
      <c r="I519" s="89">
        <f t="shared" si="36"/>
        <v>0</v>
      </c>
      <c r="J519" s="89">
        <f t="shared" si="36"/>
        <v>1775.69</v>
      </c>
      <c r="K519" s="89">
        <f t="shared" si="36"/>
        <v>0</v>
      </c>
      <c r="L519" s="89">
        <f t="shared" si="36"/>
        <v>99966.53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0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12991.77</v>
      </c>
      <c r="I533" s="18"/>
      <c r="J533" s="18"/>
      <c r="K533" s="18"/>
      <c r="L533" s="88">
        <f>SUM(F533:K533)</f>
        <v>12991.77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12991.77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12991.77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219476.56</v>
      </c>
      <c r="G535" s="89">
        <f t="shared" ref="G535:L535" si="40">G514+G519+G524+G529+G534</f>
        <v>75939.62</v>
      </c>
      <c r="H535" s="89">
        <f t="shared" si="40"/>
        <v>228081.77</v>
      </c>
      <c r="I535" s="89">
        <f t="shared" si="40"/>
        <v>3383.46</v>
      </c>
      <c r="J535" s="89">
        <f t="shared" si="40"/>
        <v>1775.69</v>
      </c>
      <c r="K535" s="89">
        <f t="shared" si="40"/>
        <v>530</v>
      </c>
      <c r="L535" s="89">
        <f t="shared" si="40"/>
        <v>529187.10000000009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350270.11000000004</v>
      </c>
      <c r="G539" s="87">
        <f>L516</f>
        <v>99966.53</v>
      </c>
      <c r="H539" s="87">
        <f>L521</f>
        <v>0</v>
      </c>
      <c r="I539" s="87">
        <f>L526</f>
        <v>0</v>
      </c>
      <c r="J539" s="87">
        <f>L531</f>
        <v>0</v>
      </c>
      <c r="K539" s="87">
        <f>SUM(F539:J539)</f>
        <v>450236.64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65958.69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12991.77</v>
      </c>
      <c r="K541" s="87">
        <f>SUM(F541:J541)</f>
        <v>78950.460000000006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416228.80000000005</v>
      </c>
      <c r="G542" s="89">
        <f t="shared" si="41"/>
        <v>99966.53</v>
      </c>
      <c r="H542" s="89">
        <f t="shared" si="41"/>
        <v>0</v>
      </c>
      <c r="I542" s="89">
        <f t="shared" si="41"/>
        <v>0</v>
      </c>
      <c r="J542" s="89">
        <f t="shared" si="41"/>
        <v>12991.77</v>
      </c>
      <c r="K542" s="89">
        <f t="shared" si="41"/>
        <v>529187.1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1050616</v>
      </c>
      <c r="I565" s="87">
        <f>SUM(F565:H565)</f>
        <v>1050616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50015.35</v>
      </c>
      <c r="G569" s="18"/>
      <c r="H569" s="18">
        <v>65958.69</v>
      </c>
      <c r="I569" s="87">
        <f t="shared" si="46"/>
        <v>115974.04000000001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125000</v>
      </c>
      <c r="I581" s="18"/>
      <c r="J581" s="18">
        <v>108874.31</v>
      </c>
      <c r="K581" s="104">
        <f t="shared" ref="K581:K587" si="47">SUM(H581:J581)</f>
        <v>233874.31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>
        <v>12991.77</v>
      </c>
      <c r="K582" s="104">
        <f t="shared" si="47"/>
        <v>12991.77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1938.17</v>
      </c>
      <c r="I584" s="18"/>
      <c r="J584" s="18"/>
      <c r="K584" s="104">
        <f t="shared" si="47"/>
        <v>1938.17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3950.89</v>
      </c>
      <c r="I585" s="18"/>
      <c r="J585" s="18"/>
      <c r="K585" s="104">
        <f t="shared" si="47"/>
        <v>3950.89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130889.06</v>
      </c>
      <c r="I588" s="108">
        <f>SUM(I581:I587)</f>
        <v>0</v>
      </c>
      <c r="J588" s="108">
        <f>SUM(J581:J587)</f>
        <v>121866.08</v>
      </c>
      <c r="K588" s="108">
        <f>SUM(K581:K587)</f>
        <v>252755.14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18701.43-398</f>
        <v>18303.43</v>
      </c>
      <c r="I594" s="18"/>
      <c r="J594" s="18"/>
      <c r="K594" s="104">
        <f>SUM(H594:J594)</f>
        <v>18303.43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18303.43</v>
      </c>
      <c r="I595" s="108">
        <f>SUM(I592:I594)</f>
        <v>0</v>
      </c>
      <c r="J595" s="108">
        <f>SUM(J592:J594)</f>
        <v>0</v>
      </c>
      <c r="K595" s="108">
        <f>SUM(K592:K594)</f>
        <v>18303.43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429863.49000000005</v>
      </c>
      <c r="H607" s="109">
        <f>SUM(F44)</f>
        <v>429863.49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7747.78</v>
      </c>
      <c r="H608" s="109">
        <f>SUM(G44)</f>
        <v>7747.7800000000007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37717.68</v>
      </c>
      <c r="H609" s="109">
        <f>SUM(H44)</f>
        <v>37717.68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104219</v>
      </c>
      <c r="H611" s="109">
        <f>SUM(J44)</f>
        <v>104219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221763.62</v>
      </c>
      <c r="H612" s="109">
        <f>F466</f>
        <v>221763.62000000011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2806.64</v>
      </c>
      <c r="H613" s="109">
        <f>G466</f>
        <v>2806.6399999999994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104219</v>
      </c>
      <c r="H616" s="109">
        <f>J466</f>
        <v>104219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4033269.36</v>
      </c>
      <c r="H617" s="104">
        <f>SUM(F458)</f>
        <v>4033269.36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86083.88</v>
      </c>
      <c r="H618" s="104">
        <f>SUM(G458)</f>
        <v>86083.88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173194.51</v>
      </c>
      <c r="H619" s="104">
        <f>SUM(H458)</f>
        <v>173194.51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403.84</v>
      </c>
      <c r="H621" s="104">
        <f>SUM(J458)</f>
        <v>403.84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4048544.4700000007</v>
      </c>
      <c r="H622" s="104">
        <f>SUM(F462)</f>
        <v>4048544.47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173194.51</v>
      </c>
      <c r="H623" s="104">
        <f>SUM(H462)</f>
        <v>173194.51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37578.949999999997</v>
      </c>
      <c r="H624" s="104">
        <f>I361</f>
        <v>37578.949999999997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85633.88</v>
      </c>
      <c r="H625" s="104">
        <f>SUM(G462)</f>
        <v>85633.88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403.84000000000003</v>
      </c>
      <c r="H627" s="164">
        <f>SUM(J458)</f>
        <v>403.84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104219</v>
      </c>
      <c r="H630" s="104">
        <f>SUM(G451)</f>
        <v>104219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104219</v>
      </c>
      <c r="H632" s="104">
        <f>SUM(I451)</f>
        <v>104219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403.84</v>
      </c>
      <c r="H634" s="104">
        <f>H400</f>
        <v>403.84000000000003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403.84</v>
      </c>
      <c r="H636" s="104">
        <f>L400</f>
        <v>403.84000000000003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252755.14</v>
      </c>
      <c r="H637" s="104">
        <f>L200+L218+L236</f>
        <v>252755.14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18303.43</v>
      </c>
      <c r="H638" s="104">
        <f>(J249+J330)-(J247+J328)</f>
        <v>18303.43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130889.06</v>
      </c>
      <c r="H639" s="104">
        <f>H588</f>
        <v>130889.06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121866.08</v>
      </c>
      <c r="H641" s="104">
        <f>J588</f>
        <v>121866.08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33222</v>
      </c>
      <c r="H642" s="104">
        <f>K255+K337</f>
        <v>33222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2925989.7500000005</v>
      </c>
      <c r="G650" s="19">
        <f>(L221+L301+L351)</f>
        <v>0</v>
      </c>
      <c r="H650" s="19">
        <f>(L239+L320+L352)</f>
        <v>1238440.77</v>
      </c>
      <c r="I650" s="19">
        <f>SUM(F650:H650)</f>
        <v>4164430.5200000005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33981.5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33981.5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130889.06</v>
      </c>
      <c r="G652" s="19">
        <f>(L218+L298)-(J218+J298)</f>
        <v>0</v>
      </c>
      <c r="H652" s="19">
        <f>(L236+L317)-(J236+J317)</f>
        <v>121866.08</v>
      </c>
      <c r="I652" s="19">
        <f>SUM(F652:H652)</f>
        <v>252755.14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68318.78</v>
      </c>
      <c r="G653" s="200">
        <f>SUM(G565:G577)+SUM(I592:I594)+L602</f>
        <v>0</v>
      </c>
      <c r="H653" s="200">
        <f>SUM(H565:H577)+SUM(J592:J594)+L603</f>
        <v>1116574.69</v>
      </c>
      <c r="I653" s="19">
        <f>SUM(F653:H653)</f>
        <v>1184893.47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2692800.4100000006</v>
      </c>
      <c r="G654" s="19">
        <f>G650-SUM(G651:G653)</f>
        <v>0</v>
      </c>
      <c r="H654" s="19">
        <f>H650-SUM(H651:H653)</f>
        <v>0</v>
      </c>
      <c r="I654" s="19">
        <f>I650-SUM(I651:I653)</f>
        <v>2692800.4100000006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206.07</v>
      </c>
      <c r="G655" s="249"/>
      <c r="H655" s="249"/>
      <c r="I655" s="19">
        <f>SUM(F655:H655)</f>
        <v>206.07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13067.41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13067.41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13067.41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13067.41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7F23-291B-4C02-BAB7-2B1314965123}">
  <sheetPr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Andover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986884.48</v>
      </c>
      <c r="C9" s="230">
        <f>'DOE25'!G189+'DOE25'!G207+'DOE25'!G225+'DOE25'!G268+'DOE25'!G287+'DOE25'!G306</f>
        <v>401700.02999999997</v>
      </c>
    </row>
    <row r="10" spans="1:3" x14ac:dyDescent="0.2">
      <c r="A10" t="s">
        <v>813</v>
      </c>
      <c r="B10" s="241">
        <f>131157+505478.38+287273+1246.32</f>
        <v>925154.7</v>
      </c>
      <c r="C10" s="241">
        <f>366990.46+160.71</f>
        <v>367151.17000000004</v>
      </c>
    </row>
    <row r="11" spans="1:3" x14ac:dyDescent="0.2">
      <c r="A11" t="s">
        <v>814</v>
      </c>
      <c r="B11" s="241">
        <v>33893.68</v>
      </c>
      <c r="C11" s="241">
        <v>18996.900000000001</v>
      </c>
    </row>
    <row r="12" spans="1:3" x14ac:dyDescent="0.2">
      <c r="A12" t="s">
        <v>815</v>
      </c>
      <c r="B12" s="241">
        <v>27836.1</v>
      </c>
      <c r="C12" s="241">
        <f>15551.95+0.01</f>
        <v>15551.960000000001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986884.48</v>
      </c>
      <c r="C13" s="232">
        <f>SUM(C10:C12)</f>
        <v>401700.03000000009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254533.2</v>
      </c>
      <c r="C18" s="230">
        <f>'DOE25'!G190+'DOE25'!G208+'DOE25'!G226+'DOE25'!G269+'DOE25'!G288+'DOE25'!G307</f>
        <v>84704.52</v>
      </c>
    </row>
    <row r="19" spans="1:3" x14ac:dyDescent="0.2">
      <c r="A19" t="s">
        <v>813</v>
      </c>
      <c r="B19" s="241">
        <f>59140+50142+2040.24+14000</f>
        <v>125322.24000000001</v>
      </c>
      <c r="C19" s="241">
        <f>56917.16-160.71</f>
        <v>56756.450000000004</v>
      </c>
    </row>
    <row r="20" spans="1:3" x14ac:dyDescent="0.2">
      <c r="A20" t="s">
        <v>814</v>
      </c>
      <c r="B20" s="241">
        <f>45138.82+587.5</f>
        <v>45726.32</v>
      </c>
      <c r="C20" s="241">
        <v>9825.25</v>
      </c>
    </row>
    <row r="21" spans="1:3" x14ac:dyDescent="0.2">
      <c r="A21" t="s">
        <v>815</v>
      </c>
      <c r="B21" s="241">
        <f>48428+35056.64</f>
        <v>83484.639999999999</v>
      </c>
      <c r="C21" s="241">
        <f>18122.81+0.01</f>
        <v>18122.82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254533.2</v>
      </c>
      <c r="C22" s="232">
        <f>SUM(C19:C21)</f>
        <v>84704.520000000019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9575</v>
      </c>
      <c r="C36" s="236">
        <f>'DOE25'!G192+'DOE25'!G210+'DOE25'!G228+'DOE25'!G271+'DOE25'!G290+'DOE25'!G309</f>
        <v>1384.25</v>
      </c>
    </row>
    <row r="37" spans="1:3" x14ac:dyDescent="0.2">
      <c r="A37" t="s">
        <v>813</v>
      </c>
      <c r="B37" s="241">
        <v>9575</v>
      </c>
      <c r="C37" s="241">
        <v>1384.25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9575</v>
      </c>
      <c r="C40" s="232">
        <f>SUM(C37:C39)</f>
        <v>1384.25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E805E-1CF5-4022-AAE7-6284C4129685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Andover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2904396.5</v>
      </c>
      <c r="D5" s="20">
        <f>SUM('DOE25'!L189:L192)+SUM('DOE25'!L207:L210)+SUM('DOE25'!L225:L228)-F5-G5</f>
        <v>2902956.58</v>
      </c>
      <c r="E5" s="244"/>
      <c r="F5" s="256">
        <f>SUM('DOE25'!J189:J192)+SUM('DOE25'!J207:J210)+SUM('DOE25'!J225:J228)</f>
        <v>789.92</v>
      </c>
      <c r="G5" s="53">
        <f>SUM('DOE25'!K189:K192)+SUM('DOE25'!K207:K210)+SUM('DOE25'!K225:K228)</f>
        <v>650</v>
      </c>
      <c r="H5" s="260"/>
    </row>
    <row r="6" spans="1:9" x14ac:dyDescent="0.2">
      <c r="A6" s="32">
        <v>2100</v>
      </c>
      <c r="B6" t="s">
        <v>835</v>
      </c>
      <c r="C6" s="246">
        <f t="shared" si="0"/>
        <v>203025.87</v>
      </c>
      <c r="D6" s="20">
        <f>'DOE25'!L194+'DOE25'!L212+'DOE25'!L230-F6-G6</f>
        <v>203025.87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43198.6</v>
      </c>
      <c r="D7" s="20">
        <f>'DOE25'!L195+'DOE25'!L213+'DOE25'!L231-F7-G7</f>
        <v>42780.6</v>
      </c>
      <c r="E7" s="244"/>
      <c r="F7" s="256">
        <f>'DOE25'!J195+'DOE25'!J213+'DOE25'!J231</f>
        <v>418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63258.290000000008</v>
      </c>
      <c r="D8" s="244"/>
      <c r="E8" s="20">
        <f>'DOE25'!L196+'DOE25'!L214+'DOE25'!L232-F8-G8-D9-D11</f>
        <v>60315.170000000006</v>
      </c>
      <c r="F8" s="256">
        <f>'DOE25'!J196+'DOE25'!J214+'DOE25'!J232</f>
        <v>0</v>
      </c>
      <c r="G8" s="53">
        <f>'DOE25'!K196+'DOE25'!K214+'DOE25'!K232</f>
        <v>2943.12</v>
      </c>
      <c r="H8" s="260"/>
    </row>
    <row r="9" spans="1:9" x14ac:dyDescent="0.2">
      <c r="A9" s="32">
        <v>2310</v>
      </c>
      <c r="B9" t="s">
        <v>852</v>
      </c>
      <c r="C9" s="246">
        <f t="shared" si="0"/>
        <v>14965.26</v>
      </c>
      <c r="D9" s="245">
        <v>14965.26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5500</v>
      </c>
      <c r="D10" s="244"/>
      <c r="E10" s="245">
        <v>5500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39921.9</v>
      </c>
      <c r="D11" s="245">
        <v>39921.9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165688.19999999998</v>
      </c>
      <c r="D12" s="20">
        <f>'DOE25'!L197+'DOE25'!L215+'DOE25'!L233-F12-G12</f>
        <v>159089.22999999998</v>
      </c>
      <c r="E12" s="244"/>
      <c r="F12" s="256">
        <f>'DOE25'!J197+'DOE25'!J215+'DOE25'!J233</f>
        <v>5928.97</v>
      </c>
      <c r="G12" s="53">
        <f>'DOE25'!K197+'DOE25'!K215+'DOE25'!K233</f>
        <v>670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266571.94</v>
      </c>
      <c r="D14" s="20">
        <f>'DOE25'!L199+'DOE25'!L217+'DOE25'!L235-F14-G14</f>
        <v>266571.94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252755.14</v>
      </c>
      <c r="D15" s="20">
        <f>'DOE25'!L200+'DOE25'!L218+'DOE25'!L236-F15-G15</f>
        <v>252755.14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105035.76999999999</v>
      </c>
      <c r="D22" s="244"/>
      <c r="E22" s="244"/>
      <c r="F22" s="256">
        <f>'DOE25'!L247+'DOE25'!L328</f>
        <v>105035.76999999999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52232.890000000007</v>
      </c>
      <c r="D29" s="20">
        <f>'DOE25'!L350+'DOE25'!L351+'DOE25'!L352-'DOE25'!I359-F29-G29</f>
        <v>51834.890000000007</v>
      </c>
      <c r="E29" s="244"/>
      <c r="F29" s="256">
        <f>'DOE25'!J350+'DOE25'!J351+'DOE25'!J352</f>
        <v>398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125014.94</v>
      </c>
      <c r="D31" s="20">
        <f>'DOE25'!L282+'DOE25'!L301+'DOE25'!L320+'DOE25'!L325+'DOE25'!L326+'DOE25'!L327-F31-G31</f>
        <v>112304.29999999999</v>
      </c>
      <c r="E31" s="244"/>
      <c r="F31" s="256">
        <f>'DOE25'!J282+'DOE25'!J301+'DOE25'!J320+'DOE25'!J325+'DOE25'!J326+'DOE25'!J327</f>
        <v>11166.54</v>
      </c>
      <c r="G31" s="53">
        <f>'DOE25'!K282+'DOE25'!K301+'DOE25'!K320+'DOE25'!K325+'DOE25'!K326+'DOE25'!K327</f>
        <v>1544.1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4046205.71</v>
      </c>
      <c r="E33" s="247">
        <f>SUM(E5:E31)</f>
        <v>65815.170000000013</v>
      </c>
      <c r="F33" s="247">
        <f>SUM(F5:F31)</f>
        <v>123737.19999999998</v>
      </c>
      <c r="G33" s="247">
        <f>SUM(G5:G31)</f>
        <v>5807.2199999999993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65815.170000000013</v>
      </c>
      <c r="E35" s="250"/>
    </row>
    <row r="36" spans="2:8" ht="12" thickTop="1" x14ac:dyDescent="0.2">
      <c r="B36" t="s">
        <v>849</v>
      </c>
      <c r="D36" s="20">
        <f>D33</f>
        <v>4046205.71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D4A94-BA6A-4909-B842-8AC1E459A945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Andover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13.75</v>
      </c>
      <c r="D9" s="95">
        <f>'DOE25'!G9</f>
        <v>323.67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392559.07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23358.52</v>
      </c>
      <c r="D12" s="95">
        <f>'DOE25'!G12</f>
        <v>4229.92</v>
      </c>
      <c r="E12" s="95">
        <f>'DOE25'!H12</f>
        <v>2690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11804</v>
      </c>
      <c r="D13" s="95">
        <f>'DOE25'!G13</f>
        <v>1615.33</v>
      </c>
      <c r="E13" s="95">
        <f>'DOE25'!H13</f>
        <v>35027.68</v>
      </c>
      <c r="F13" s="95">
        <f>'DOE25'!I13</f>
        <v>0</v>
      </c>
      <c r="G13" s="95">
        <f>'DOE25'!J13</f>
        <v>104219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2128.15</v>
      </c>
      <c r="D14" s="95">
        <f>'DOE25'!G14</f>
        <v>65.400000000000006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1513.46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429863.49000000005</v>
      </c>
      <c r="D19" s="41">
        <f>SUM(D9:D18)</f>
        <v>7747.78</v>
      </c>
      <c r="E19" s="41">
        <f>SUM(E9:E18)</f>
        <v>37717.68</v>
      </c>
      <c r="F19" s="41">
        <f>SUM(F9:F18)</f>
        <v>0</v>
      </c>
      <c r="G19" s="41">
        <f>SUM(G9:G18)</f>
        <v>104219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27588.44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20149.57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150324.29999999999</v>
      </c>
      <c r="D28" s="95">
        <f>'DOE25'!G29</f>
        <v>4886.84</v>
      </c>
      <c r="E28" s="95">
        <f>'DOE25'!H29</f>
        <v>7439.24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54.3</v>
      </c>
      <c r="E30" s="95">
        <f>'DOE25'!H31</f>
        <v>2690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37626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208099.87</v>
      </c>
      <c r="D32" s="41">
        <f>SUM(D22:D31)</f>
        <v>4941.1400000000003</v>
      </c>
      <c r="E32" s="41">
        <f>SUM(E22:E31)</f>
        <v>37717.68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1513.46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1293.1799999999998</v>
      </c>
      <c r="E40" s="95">
        <f>'DOE25'!H41</f>
        <v>0</v>
      </c>
      <c r="F40" s="95">
        <f>'DOE25'!I41</f>
        <v>0</v>
      </c>
      <c r="G40" s="95">
        <f>'DOE25'!J41</f>
        <v>104219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221763.62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221763.62</v>
      </c>
      <c r="D42" s="41">
        <f>SUM(D34:D41)</f>
        <v>2806.64</v>
      </c>
      <c r="E42" s="41">
        <f>SUM(E34:E41)</f>
        <v>0</v>
      </c>
      <c r="F42" s="41">
        <f>SUM(F34:F41)</f>
        <v>0</v>
      </c>
      <c r="G42" s="41">
        <f>SUM(G34:G41)</f>
        <v>104219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429863.49</v>
      </c>
      <c r="D43" s="41">
        <f>D42+D32</f>
        <v>7747.7800000000007</v>
      </c>
      <c r="E43" s="41">
        <f>E42+E32</f>
        <v>37717.68</v>
      </c>
      <c r="F43" s="41">
        <f>F42+F32</f>
        <v>0</v>
      </c>
      <c r="G43" s="41">
        <f>G42+G32</f>
        <v>104219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2582420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1193.33</v>
      </c>
      <c r="D51" s="95">
        <f>'DOE25'!G88</f>
        <v>28.6</v>
      </c>
      <c r="E51" s="95">
        <f>'DOE25'!H88</f>
        <v>0</v>
      </c>
      <c r="F51" s="95">
        <f>'DOE25'!I88</f>
        <v>0</v>
      </c>
      <c r="G51" s="95">
        <f>'DOE25'!J88</f>
        <v>403.84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33981.5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484.71000000000004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1678.04</v>
      </c>
      <c r="D54" s="130">
        <f>SUM(D49:D53)</f>
        <v>34010.1</v>
      </c>
      <c r="E54" s="130">
        <f>SUM(E49:E53)</f>
        <v>0</v>
      </c>
      <c r="F54" s="130">
        <f>SUM(F49:F53)</f>
        <v>0</v>
      </c>
      <c r="G54" s="130">
        <f>SUM(G49:G53)</f>
        <v>403.84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2584098.04</v>
      </c>
      <c r="D55" s="22">
        <f>D48+D54</f>
        <v>34010.1</v>
      </c>
      <c r="E55" s="22">
        <f>E48+E54</f>
        <v>0</v>
      </c>
      <c r="F55" s="22">
        <f>F48+F54</f>
        <v>0</v>
      </c>
      <c r="G55" s="22">
        <f>G48+G54</f>
        <v>403.84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555869.98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663277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213270.02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1432417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87.15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87.15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1432417</v>
      </c>
      <c r="D73" s="130">
        <f>SUM(D71:D72)+D70+D62</f>
        <v>87.15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16754.32</v>
      </c>
      <c r="D80" s="95">
        <f>SUM('DOE25'!G145:G153)</f>
        <v>18764.63</v>
      </c>
      <c r="E80" s="95">
        <f>SUM('DOE25'!H145:H153)</f>
        <v>173194.51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16754.32</v>
      </c>
      <c r="D83" s="131">
        <f>SUM(D77:D82)</f>
        <v>18764.63</v>
      </c>
      <c r="E83" s="131">
        <f>SUM(E77:E82)</f>
        <v>173194.51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33222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33222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4033269.36</v>
      </c>
      <c r="D96" s="86">
        <f>D55+D73+D83+D95</f>
        <v>86083.88</v>
      </c>
      <c r="E96" s="86">
        <f>E55+E73+E83+E95</f>
        <v>173194.51</v>
      </c>
      <c r="F96" s="86">
        <f>F55+F73+F83+F95</f>
        <v>0</v>
      </c>
      <c r="G96" s="86">
        <f>G55+G73+G95</f>
        <v>403.84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2502554.27</v>
      </c>
      <c r="D101" s="24" t="s">
        <v>312</v>
      </c>
      <c r="E101" s="95">
        <f>('DOE25'!L268)+('DOE25'!L287)+('DOE25'!L306)</f>
        <v>29188.83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385204.62</v>
      </c>
      <c r="D102" s="24" t="s">
        <v>312</v>
      </c>
      <c r="E102" s="95">
        <f>('DOE25'!L269)+('DOE25'!L288)+('DOE25'!L307)</f>
        <v>74845.72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120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16517.61</v>
      </c>
      <c r="D104" s="24" t="s">
        <v>312</v>
      </c>
      <c r="E104" s="95">
        <f>+('DOE25'!L271)+('DOE25'!L290)+('DOE25'!L309)</f>
        <v>270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4684.57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2904396.5</v>
      </c>
      <c r="D107" s="86">
        <f>SUM(D101:D106)</f>
        <v>0</v>
      </c>
      <c r="E107" s="86">
        <f>SUM(E101:E106)</f>
        <v>108989.12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203025.87</v>
      </c>
      <c r="D110" s="24" t="s">
        <v>312</v>
      </c>
      <c r="E110" s="95">
        <f>+('DOE25'!L273)+('DOE25'!L292)+('DOE25'!L311)</f>
        <v>16311.29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43198.6</v>
      </c>
      <c r="D111" s="24" t="s">
        <v>312</v>
      </c>
      <c r="E111" s="95">
        <f>+('DOE25'!L274)+('DOE25'!L293)+('DOE25'!L312)</f>
        <v>2855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118145.45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165688.19999999998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1544.1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266571.94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252755.14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85633.88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1049385.2000000002</v>
      </c>
      <c r="D120" s="86">
        <f>SUM(D110:D119)</f>
        <v>85633.88</v>
      </c>
      <c r="E120" s="86">
        <f>SUM(E110:E119)</f>
        <v>20710.39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61540.77</v>
      </c>
      <c r="D122" s="24" t="s">
        <v>312</v>
      </c>
      <c r="E122" s="129">
        <f>'DOE25'!L328</f>
        <v>43495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33222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403.84000000000003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-403.84000000000003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94762.76999999999</v>
      </c>
      <c r="D136" s="141">
        <f>SUM(D122:D135)</f>
        <v>0</v>
      </c>
      <c r="E136" s="141">
        <f>SUM(E122:E135)</f>
        <v>43495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4048544.47</v>
      </c>
      <c r="D137" s="86">
        <f>(D107+D120+D136)</f>
        <v>85633.88</v>
      </c>
      <c r="E137" s="86">
        <f>(E107+E120+E136)</f>
        <v>173194.51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B6EB5-21A8-4271-9A73-49124D44A60D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Andover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13067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13067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2531743</v>
      </c>
      <c r="D10" s="182">
        <f>ROUND((C10/$C$28)*100,1)</f>
        <v>61.2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460050</v>
      </c>
      <c r="D11" s="182">
        <f>ROUND((C11/$C$28)*100,1)</f>
        <v>11.1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120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16788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219337</v>
      </c>
      <c r="D15" s="182">
        <f t="shared" ref="D15:D27" si="0">ROUND((C15/$C$28)*100,1)</f>
        <v>5.3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46054</v>
      </c>
      <c r="D16" s="182">
        <f t="shared" si="0"/>
        <v>1.1000000000000001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118145</v>
      </c>
      <c r="D17" s="182">
        <f t="shared" si="0"/>
        <v>2.9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165688</v>
      </c>
      <c r="D18" s="182">
        <f t="shared" si="0"/>
        <v>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1544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266572</v>
      </c>
      <c r="D20" s="182">
        <f t="shared" si="0"/>
        <v>6.4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252755</v>
      </c>
      <c r="D21" s="182">
        <f t="shared" si="0"/>
        <v>6.1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4685</v>
      </c>
      <c r="D23" s="182">
        <f t="shared" si="0"/>
        <v>0.1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51652.5</v>
      </c>
      <c r="D27" s="182">
        <f t="shared" si="0"/>
        <v>1.2</v>
      </c>
    </row>
    <row r="28" spans="1:4" x14ac:dyDescent="0.2">
      <c r="B28" s="187" t="s">
        <v>754</v>
      </c>
      <c r="C28" s="180">
        <f>SUM(C10:C27)</f>
        <v>4135133.5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105036</v>
      </c>
    </row>
    <row r="30" spans="1:4" x14ac:dyDescent="0.2">
      <c r="B30" s="187" t="s">
        <v>760</v>
      </c>
      <c r="C30" s="180">
        <f>SUM(C28:C29)</f>
        <v>4240169.5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2582420</v>
      </c>
      <c r="D35" s="182">
        <f t="shared" ref="D35:D40" si="1">ROUND((C35/$C$41)*100,1)</f>
        <v>61.1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2110.4799999999814</v>
      </c>
      <c r="D36" s="182">
        <f t="shared" si="1"/>
        <v>0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1219147</v>
      </c>
      <c r="D37" s="182">
        <f t="shared" si="1"/>
        <v>28.9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213357</v>
      </c>
      <c r="D38" s="182">
        <f t="shared" si="1"/>
        <v>5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208713</v>
      </c>
      <c r="D39" s="182">
        <f t="shared" si="1"/>
        <v>4.9000000000000004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4225747.4800000004</v>
      </c>
      <c r="D41" s="184">
        <f>SUM(D35:D40)</f>
        <v>99.9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BB5D2-C403-4452-A13E-8928ADEA25F3}">
  <sheetPr>
    <tabColor indexed="17"/>
  </sheetPr>
  <dimension ref="A1:IV90"/>
  <sheetViews>
    <sheetView workbookViewId="0">
      <pane ySplit="3" topLeftCell="A4" activePane="bottomLeft" state="frozen"/>
      <selection pane="bottomLeft" activeCell="B5" sqref="B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Andover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18</v>
      </c>
      <c r="B4" s="220">
        <v>4</v>
      </c>
      <c r="C4" s="280" t="s">
        <v>894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EP32:EZ32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GC38:G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2010-08-24T21:11:59Z</cp:lastPrinted>
  <dcterms:created xsi:type="dcterms:W3CDTF">1997-12-04T19:04:30Z</dcterms:created>
  <dcterms:modified xsi:type="dcterms:W3CDTF">2025-01-02T14:40:27Z</dcterms:modified>
</cp:coreProperties>
</file>