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28563BDE-C56B-4B47-8E92-AC3EBACDDDB4}" xr6:coauthVersionLast="47" xr6:coauthVersionMax="47" xr10:uidLastSave="{00000000-0000-0000-0000-000000000000}"/>
  <workbookProtection workbookPassword="B70A" lockStructure="1"/>
  <bookViews>
    <workbookView xWindow="1425" yWindow="1425" windowWidth="21600" windowHeight="11505" tabRatio="855" xr2:uid="{8E9ACB2C-A050-423F-8EC8-87762C5C281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1" i="1" l="1"/>
  <c r="J190" i="1"/>
  <c r="F5" i="13" s="1"/>
  <c r="J88" i="1"/>
  <c r="G51" i="2" s="1"/>
  <c r="G54" i="2" s="1"/>
  <c r="J458" i="1"/>
  <c r="H621" i="1" s="1"/>
  <c r="G431" i="1"/>
  <c r="I511" i="1"/>
  <c r="K511" i="1"/>
  <c r="F511" i="1"/>
  <c r="H147" i="1"/>
  <c r="H154" i="1" s="1"/>
  <c r="H161" i="1" s="1"/>
  <c r="H146" i="1"/>
  <c r="E80" i="2" s="1"/>
  <c r="L189" i="1"/>
  <c r="L191" i="1"/>
  <c r="F113" i="1"/>
  <c r="F132" i="1" s="1"/>
  <c r="F71" i="1"/>
  <c r="I350" i="1"/>
  <c r="L350" i="1" s="1"/>
  <c r="G350" i="1"/>
  <c r="F350" i="1"/>
  <c r="K275" i="1"/>
  <c r="G275" i="1"/>
  <c r="L275" i="1" s="1"/>
  <c r="E112" i="2" s="1"/>
  <c r="J274" i="1"/>
  <c r="I274" i="1"/>
  <c r="L274" i="1" s="1"/>
  <c r="E111" i="2" s="1"/>
  <c r="H274" i="1"/>
  <c r="G273" i="1"/>
  <c r="F273" i="1"/>
  <c r="G271" i="1"/>
  <c r="J268" i="1"/>
  <c r="J282" i="1" s="1"/>
  <c r="I268" i="1"/>
  <c r="I282" i="1" s="1"/>
  <c r="I330" i="1" s="1"/>
  <c r="I344" i="1" s="1"/>
  <c r="G268" i="1"/>
  <c r="G282" i="1" s="1"/>
  <c r="G330" i="1" s="1"/>
  <c r="G344" i="1" s="1"/>
  <c r="F268" i="1"/>
  <c r="L268" i="1" s="1"/>
  <c r="J199" i="1"/>
  <c r="I199" i="1"/>
  <c r="I195" i="1"/>
  <c r="I203" i="1" s="1"/>
  <c r="I249" i="1" s="1"/>
  <c r="I263" i="1" s="1"/>
  <c r="I194" i="1"/>
  <c r="H200" i="1"/>
  <c r="H199" i="1"/>
  <c r="H197" i="1"/>
  <c r="H196" i="1"/>
  <c r="H195" i="1"/>
  <c r="L195" i="1" s="1"/>
  <c r="H194" i="1"/>
  <c r="H203" i="1" s="1"/>
  <c r="H249" i="1" s="1"/>
  <c r="H263" i="1" s="1"/>
  <c r="H190" i="1"/>
  <c r="H511" i="1" s="1"/>
  <c r="H514" i="1" s="1"/>
  <c r="H535" i="1" s="1"/>
  <c r="G195" i="1"/>
  <c r="G194" i="1"/>
  <c r="G190" i="1"/>
  <c r="G511" i="1" s="1"/>
  <c r="G514" i="1" s="1"/>
  <c r="G535" i="1" s="1"/>
  <c r="F195" i="1"/>
  <c r="F194" i="1"/>
  <c r="F190" i="1"/>
  <c r="C60" i="2"/>
  <c r="B2" i="13"/>
  <c r="F8" i="13"/>
  <c r="G8" i="13"/>
  <c r="L196" i="1"/>
  <c r="C112" i="2" s="1"/>
  <c r="L214" i="1"/>
  <c r="L232" i="1"/>
  <c r="D39" i="13"/>
  <c r="F13" i="13"/>
  <c r="E13" i="13" s="1"/>
  <c r="C13" i="13" s="1"/>
  <c r="G13" i="13"/>
  <c r="L198" i="1"/>
  <c r="L216" i="1"/>
  <c r="L234" i="1"/>
  <c r="F16" i="13"/>
  <c r="E16" i="13" s="1"/>
  <c r="C16" i="13" s="1"/>
  <c r="G16" i="13"/>
  <c r="L201" i="1"/>
  <c r="L219" i="1"/>
  <c r="L237" i="1"/>
  <c r="G5" i="13"/>
  <c r="L192" i="1"/>
  <c r="L207" i="1"/>
  <c r="L208" i="1"/>
  <c r="L221" i="1" s="1"/>
  <c r="L209" i="1"/>
  <c r="C12" i="10" s="1"/>
  <c r="L210" i="1"/>
  <c r="C104" i="2" s="1"/>
  <c r="L225" i="1"/>
  <c r="L239" i="1" s="1"/>
  <c r="L226" i="1"/>
  <c r="L227" i="1"/>
  <c r="L228" i="1"/>
  <c r="F6" i="13"/>
  <c r="G6" i="13"/>
  <c r="L212" i="1"/>
  <c r="L230" i="1"/>
  <c r="F7" i="13"/>
  <c r="G7" i="13"/>
  <c r="L213" i="1"/>
  <c r="L231" i="1"/>
  <c r="F12" i="13"/>
  <c r="G12" i="13"/>
  <c r="L197" i="1"/>
  <c r="L215" i="1"/>
  <c r="L233" i="1"/>
  <c r="D12" i="13"/>
  <c r="C12" i="13" s="1"/>
  <c r="F14" i="13"/>
  <c r="G14" i="13"/>
  <c r="L199" i="1"/>
  <c r="C115" i="2" s="1"/>
  <c r="L217" i="1"/>
  <c r="L235" i="1"/>
  <c r="D14" i="13" s="1"/>
  <c r="C14" i="13" s="1"/>
  <c r="F15" i="13"/>
  <c r="G15" i="13"/>
  <c r="L200" i="1"/>
  <c r="L218" i="1"/>
  <c r="L236" i="1"/>
  <c r="C21" i="10" s="1"/>
  <c r="D15" i="13"/>
  <c r="C15" i="13" s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/>
  <c r="C19" i="13" s="1"/>
  <c r="F29" i="13"/>
  <c r="G29" i="13"/>
  <c r="L351" i="1"/>
  <c r="L352" i="1"/>
  <c r="I359" i="1"/>
  <c r="I361" i="1" s="1"/>
  <c r="H624" i="1" s="1"/>
  <c r="J301" i="1"/>
  <c r="J320" i="1"/>
  <c r="K282" i="1"/>
  <c r="G31" i="13" s="1"/>
  <c r="G33" i="13" s="1"/>
  <c r="K301" i="1"/>
  <c r="K320" i="1"/>
  <c r="L269" i="1"/>
  <c r="E102" i="2" s="1"/>
  <c r="L270" i="1"/>
  <c r="E103" i="2" s="1"/>
  <c r="L271" i="1"/>
  <c r="L273" i="1"/>
  <c r="L276" i="1"/>
  <c r="L277" i="1"/>
  <c r="E114" i="2" s="1"/>
  <c r="L278" i="1"/>
  <c r="E115" i="2" s="1"/>
  <c r="L279" i="1"/>
  <c r="F652" i="1" s="1"/>
  <c r="I652" i="1" s="1"/>
  <c r="L280" i="1"/>
  <c r="L287" i="1"/>
  <c r="L288" i="1"/>
  <c r="L289" i="1"/>
  <c r="L290" i="1"/>
  <c r="L292" i="1"/>
  <c r="L293" i="1"/>
  <c r="L294" i="1"/>
  <c r="L295" i="1"/>
  <c r="L301" i="1" s="1"/>
  <c r="L296" i="1"/>
  <c r="L297" i="1"/>
  <c r="L298" i="1"/>
  <c r="L299" i="1"/>
  <c r="L306" i="1"/>
  <c r="L307" i="1"/>
  <c r="L308" i="1"/>
  <c r="L309" i="1"/>
  <c r="L311" i="1"/>
  <c r="L312" i="1"/>
  <c r="L313" i="1"/>
  <c r="L320" i="1" s="1"/>
  <c r="L314" i="1"/>
  <c r="L315" i="1"/>
  <c r="L316" i="1"/>
  <c r="L317" i="1"/>
  <c r="L318" i="1"/>
  <c r="L325" i="1"/>
  <c r="L326" i="1"/>
  <c r="L327" i="1"/>
  <c r="L252" i="1"/>
  <c r="C123" i="2" s="1"/>
  <c r="L253" i="1"/>
  <c r="C25" i="10" s="1"/>
  <c r="L333" i="1"/>
  <c r="L334" i="1"/>
  <c r="L343" i="1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13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 s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 s="1"/>
  <c r="G55" i="2" s="1"/>
  <c r="G96" i="2" s="1"/>
  <c r="G53" i="2"/>
  <c r="F2" i="11"/>
  <c r="L603" i="1"/>
  <c r="H653" i="1" s="1"/>
  <c r="L602" i="1"/>
  <c r="G653" i="1"/>
  <c r="L601" i="1"/>
  <c r="F653" i="1" s="1"/>
  <c r="I653" i="1" s="1"/>
  <c r="C40" i="10"/>
  <c r="F52" i="1"/>
  <c r="F104" i="1" s="1"/>
  <c r="F185" i="1" s="1"/>
  <c r="G52" i="1"/>
  <c r="H52" i="1"/>
  <c r="H104" i="1" s="1"/>
  <c r="I52" i="1"/>
  <c r="I104" i="1" s="1"/>
  <c r="I185" i="1" s="1"/>
  <c r="G620" i="1" s="1"/>
  <c r="J620" i="1" s="1"/>
  <c r="C35" i="10"/>
  <c r="C36" i="10" s="1"/>
  <c r="F86" i="1"/>
  <c r="F103" i="1"/>
  <c r="G103" i="1"/>
  <c r="G104" i="1"/>
  <c r="H71" i="1"/>
  <c r="H86" i="1"/>
  <c r="H103" i="1"/>
  <c r="I103" i="1"/>
  <c r="J103" i="1"/>
  <c r="J104" i="1"/>
  <c r="C37" i="10"/>
  <c r="F128" i="1"/>
  <c r="G113" i="1"/>
  <c r="G132" i="1" s="1"/>
  <c r="G128" i="1"/>
  <c r="H113" i="1"/>
  <c r="H132" i="1" s="1"/>
  <c r="H128" i="1"/>
  <c r="I113" i="1"/>
  <c r="I128" i="1"/>
  <c r="I132" i="1"/>
  <c r="J113" i="1"/>
  <c r="J132" i="1" s="1"/>
  <c r="J128" i="1"/>
  <c r="F139" i="1"/>
  <c r="F161" i="1" s="1"/>
  <c r="F154" i="1"/>
  <c r="G139" i="1"/>
  <c r="G161" i="1" s="1"/>
  <c r="G154" i="1"/>
  <c r="H139" i="1"/>
  <c r="I139" i="1"/>
  <c r="I161" i="1" s="1"/>
  <c r="I154" i="1"/>
  <c r="C13" i="10"/>
  <c r="L242" i="1"/>
  <c r="L324" i="1"/>
  <c r="E105" i="2" s="1"/>
  <c r="C23" i="10"/>
  <c r="L246" i="1"/>
  <c r="C24" i="10"/>
  <c r="L260" i="1"/>
  <c r="C26" i="10" s="1"/>
  <c r="L261" i="1"/>
  <c r="L341" i="1"/>
  <c r="L342" i="1"/>
  <c r="I655" i="1"/>
  <c r="I660" i="1"/>
  <c r="G652" i="1"/>
  <c r="H652" i="1"/>
  <c r="I659" i="1"/>
  <c r="C6" i="10"/>
  <c r="C5" i="10"/>
  <c r="C42" i="10"/>
  <c r="C32" i="10"/>
  <c r="L366" i="1"/>
  <c r="C29" i="10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2" i="1"/>
  <c r="F540" i="1"/>
  <c r="L513" i="1"/>
  <c r="F541" i="1"/>
  <c r="L516" i="1"/>
  <c r="G539" i="1"/>
  <c r="L517" i="1"/>
  <c r="G540" i="1" s="1"/>
  <c r="L518" i="1"/>
  <c r="G541" i="1" s="1"/>
  <c r="L521" i="1"/>
  <c r="L524" i="1" s="1"/>
  <c r="H539" i="1"/>
  <c r="H542" i="1" s="1"/>
  <c r="L522" i="1"/>
  <c r="H540" i="1"/>
  <c r="L523" i="1"/>
  <c r="H541" i="1"/>
  <c r="L526" i="1"/>
  <c r="I539" i="1" s="1"/>
  <c r="L527" i="1"/>
  <c r="I540" i="1" s="1"/>
  <c r="L528" i="1"/>
  <c r="I541" i="1"/>
  <c r="L531" i="1"/>
  <c r="L534" i="1" s="1"/>
  <c r="J539" i="1"/>
  <c r="L532" i="1"/>
  <c r="J540" i="1"/>
  <c r="L533" i="1"/>
  <c r="J541" i="1" s="1"/>
  <c r="E124" i="2"/>
  <c r="E123" i="2"/>
  <c r="K262" i="1"/>
  <c r="J262" i="1"/>
  <c r="I262" i="1"/>
  <c r="H262" i="1"/>
  <c r="G262" i="1"/>
  <c r="L262" i="1" s="1"/>
  <c r="F262" i="1"/>
  <c r="A1" i="2"/>
  <c r="A2" i="2"/>
  <c r="C9" i="2"/>
  <c r="C19" i="2" s="1"/>
  <c r="D9" i="2"/>
  <c r="D19" i="2" s="1"/>
  <c r="E9" i="2"/>
  <c r="E19" i="2" s="1"/>
  <c r="F9" i="2"/>
  <c r="I431" i="1"/>
  <c r="I438" i="1" s="1"/>
  <c r="G632" i="1" s="1"/>
  <c r="J9" i="1"/>
  <c r="G9" i="2" s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F19" i="2" s="1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I444" i="1" s="1"/>
  <c r="J23" i="1"/>
  <c r="G22" i="2" s="1"/>
  <c r="C23" i="2"/>
  <c r="D23" i="2"/>
  <c r="E23" i="2"/>
  <c r="F23" i="2"/>
  <c r="F32" i="2" s="1"/>
  <c r="I441" i="1"/>
  <c r="J24" i="1"/>
  <c r="G23" i="2" s="1"/>
  <c r="C24" i="2"/>
  <c r="D24" i="2"/>
  <c r="E24" i="2"/>
  <c r="F24" i="2"/>
  <c r="I442" i="1"/>
  <c r="J25" i="1" s="1"/>
  <c r="G24" i="2" s="1"/>
  <c r="C25" i="2"/>
  <c r="D25" i="2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D32" i="2" s="1"/>
  <c r="E30" i="2"/>
  <c r="F30" i="2"/>
  <c r="C31" i="2"/>
  <c r="D31" i="2"/>
  <c r="E31" i="2"/>
  <c r="F31" i="2"/>
  <c r="I443" i="1"/>
  <c r="J32" i="1"/>
  <c r="G31" i="2"/>
  <c r="C32" i="2"/>
  <c r="C34" i="2"/>
  <c r="C42" i="2" s="1"/>
  <c r="C43" i="2" s="1"/>
  <c r="D34" i="2"/>
  <c r="E34" i="2"/>
  <c r="F34" i="2"/>
  <c r="C35" i="2"/>
  <c r="D35" i="2"/>
  <c r="E35" i="2"/>
  <c r="E42" i="2" s="1"/>
  <c r="F35" i="2"/>
  <c r="F42" i="2" s="1"/>
  <c r="C36" i="2"/>
  <c r="D36" i="2"/>
  <c r="D42" i="2" s="1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D48" i="2"/>
  <c r="C49" i="2"/>
  <c r="E49" i="2"/>
  <c r="E54" i="2" s="1"/>
  <c r="C50" i="2"/>
  <c r="E50" i="2"/>
  <c r="C51" i="2"/>
  <c r="D51" i="2"/>
  <c r="D54" i="2" s="1"/>
  <c r="D55" i="2" s="1"/>
  <c r="E51" i="2"/>
  <c r="F51" i="2"/>
  <c r="F54" i="2" s="1"/>
  <c r="D52" i="2"/>
  <c r="C53" i="2"/>
  <c r="D53" i="2"/>
  <c r="E53" i="2"/>
  <c r="F53" i="2"/>
  <c r="C54" i="2"/>
  <c r="C55" i="2" s="1"/>
  <c r="C58" i="2"/>
  <c r="C59" i="2"/>
  <c r="C61" i="2"/>
  <c r="C62" i="2" s="1"/>
  <c r="D61" i="2"/>
  <c r="D62" i="2" s="1"/>
  <c r="E61" i="2"/>
  <c r="E62" i="2" s="1"/>
  <c r="F61" i="2"/>
  <c r="F62" i="2" s="1"/>
  <c r="G61" i="2"/>
  <c r="G62" i="2" s="1"/>
  <c r="G73" i="2" s="1"/>
  <c r="C64" i="2"/>
  <c r="F64" i="2"/>
  <c r="C65" i="2"/>
  <c r="F65" i="2"/>
  <c r="F70" i="2" s="1"/>
  <c r="C66" i="2"/>
  <c r="C70" i="2" s="1"/>
  <c r="C67" i="2"/>
  <c r="C68" i="2"/>
  <c r="E68" i="2"/>
  <c r="F68" i="2"/>
  <c r="C69" i="2"/>
  <c r="D69" i="2"/>
  <c r="E69" i="2"/>
  <c r="F69" i="2"/>
  <c r="G69" i="2"/>
  <c r="D70" i="2"/>
  <c r="D73" i="2" s="1"/>
  <c r="E70" i="2"/>
  <c r="G70" i="2"/>
  <c r="C71" i="2"/>
  <c r="D71" i="2"/>
  <c r="E71" i="2"/>
  <c r="C72" i="2"/>
  <c r="E72" i="2"/>
  <c r="C77" i="2"/>
  <c r="D77" i="2"/>
  <c r="D83" i="2" s="1"/>
  <c r="E77" i="2"/>
  <c r="E83" i="2" s="1"/>
  <c r="C79" i="2"/>
  <c r="E79" i="2"/>
  <c r="F79" i="2"/>
  <c r="C80" i="2"/>
  <c r="D80" i="2"/>
  <c r="F80" i="2"/>
  <c r="C81" i="2"/>
  <c r="C83" i="2" s="1"/>
  <c r="D81" i="2"/>
  <c r="E81" i="2"/>
  <c r="F81" i="2"/>
  <c r="C82" i="2"/>
  <c r="C85" i="2"/>
  <c r="F85" i="2"/>
  <c r="F95" i="2" s="1"/>
  <c r="C86" i="2"/>
  <c r="C95" i="2" s="1"/>
  <c r="F86" i="2"/>
  <c r="D88" i="2"/>
  <c r="D95" i="2" s="1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1" i="2"/>
  <c r="E104" i="2"/>
  <c r="C105" i="2"/>
  <c r="C106" i="2"/>
  <c r="E106" i="2"/>
  <c r="D107" i="2"/>
  <c r="F107" i="2"/>
  <c r="G107" i="2"/>
  <c r="E110" i="2"/>
  <c r="C113" i="2"/>
  <c r="C114" i="2"/>
  <c r="C117" i="2"/>
  <c r="E117" i="2"/>
  <c r="F120" i="2"/>
  <c r="G120" i="2"/>
  <c r="C122" i="2"/>
  <c r="E122" i="2"/>
  <c r="D126" i="2"/>
  <c r="D136" i="2" s="1"/>
  <c r="E126" i="2"/>
  <c r="F126" i="2"/>
  <c r="K411" i="1"/>
  <c r="K419" i="1"/>
  <c r="K426" i="1" s="1"/>
  <c r="G126" i="2" s="1"/>
  <c r="G136" i="2" s="1"/>
  <c r="K425" i="1"/>
  <c r="L255" i="1"/>
  <c r="C127" i="2" s="1"/>
  <c r="L256" i="1"/>
  <c r="C128" i="2"/>
  <c r="L257" i="1"/>
  <c r="C129" i="2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B153" i="2"/>
  <c r="G153" i="2" s="1"/>
  <c r="G490" i="1"/>
  <c r="C153" i="2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C156" i="2" s="1"/>
  <c r="H493" i="1"/>
  <c r="D156" i="2" s="1"/>
  <c r="I493" i="1"/>
  <c r="E156" i="2"/>
  <c r="J493" i="1"/>
  <c r="F156" i="2" s="1"/>
  <c r="F19" i="1"/>
  <c r="G19" i="1"/>
  <c r="H19" i="1"/>
  <c r="G609" i="1" s="1"/>
  <c r="I19" i="1"/>
  <c r="G610" i="1" s="1"/>
  <c r="F33" i="1"/>
  <c r="G33" i="1"/>
  <c r="H33" i="1"/>
  <c r="I33" i="1"/>
  <c r="F43" i="1"/>
  <c r="G43" i="1"/>
  <c r="H43" i="1"/>
  <c r="I43" i="1"/>
  <c r="I44" i="1" s="1"/>
  <c r="H610" i="1" s="1"/>
  <c r="F44" i="1"/>
  <c r="H607" i="1" s="1"/>
  <c r="J607" i="1" s="1"/>
  <c r="G44" i="1"/>
  <c r="H44" i="1"/>
  <c r="H609" i="1" s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H184" i="1" s="1"/>
  <c r="I180" i="1"/>
  <c r="G184" i="1"/>
  <c r="F203" i="1"/>
  <c r="F249" i="1" s="1"/>
  <c r="F263" i="1" s="1"/>
  <c r="G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G249" i="1"/>
  <c r="G263" i="1" s="1"/>
  <c r="J249" i="1"/>
  <c r="J263" i="1"/>
  <c r="F282" i="1"/>
  <c r="F330" i="1" s="1"/>
  <c r="F344" i="1" s="1"/>
  <c r="H282" i="1"/>
  <c r="F301" i="1"/>
  <c r="G301" i="1"/>
  <c r="H301" i="1"/>
  <c r="I301" i="1"/>
  <c r="F320" i="1"/>
  <c r="G320" i="1"/>
  <c r="H320" i="1"/>
  <c r="H330" i="1" s="1"/>
  <c r="H344" i="1" s="1"/>
  <c r="I320" i="1"/>
  <c r="F329" i="1"/>
  <c r="L329" i="1" s="1"/>
  <c r="G329" i="1"/>
  <c r="H329" i="1"/>
  <c r="I329" i="1"/>
  <c r="J329" i="1"/>
  <c r="K329" i="1"/>
  <c r="F354" i="1"/>
  <c r="G354" i="1"/>
  <c r="H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F426" i="1" s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G426" i="1" s="1"/>
  <c r="H425" i="1"/>
  <c r="I425" i="1"/>
  <c r="J425" i="1"/>
  <c r="H426" i="1"/>
  <c r="I426" i="1"/>
  <c r="J426" i="1"/>
  <c r="F438" i="1"/>
  <c r="G438" i="1"/>
  <c r="H438" i="1"/>
  <c r="G631" i="1" s="1"/>
  <c r="F444" i="1"/>
  <c r="G444" i="1"/>
  <c r="H444" i="1"/>
  <c r="F450" i="1"/>
  <c r="F451" i="1" s="1"/>
  <c r="H629" i="1" s="1"/>
  <c r="G450" i="1"/>
  <c r="G451" i="1" s="1"/>
  <c r="H630" i="1" s="1"/>
  <c r="H450" i="1"/>
  <c r="H451" i="1"/>
  <c r="H631" i="1" s="1"/>
  <c r="I460" i="1"/>
  <c r="I466" i="1" s="1"/>
  <c r="H615" i="1" s="1"/>
  <c r="J460" i="1"/>
  <c r="J466" i="1" s="1"/>
  <c r="H616" i="1" s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I514" i="1"/>
  <c r="I535" i="1" s="1"/>
  <c r="K514" i="1"/>
  <c r="K535" i="1" s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H550" i="1"/>
  <c r="I550" i="1"/>
  <c r="I561" i="1" s="1"/>
  <c r="J550" i="1"/>
  <c r="J561" i="1" s="1"/>
  <c r="K550" i="1"/>
  <c r="L552" i="1"/>
  <c r="L553" i="1"/>
  <c r="L554" i="1"/>
  <c r="F555" i="1"/>
  <c r="G555" i="1"/>
  <c r="H555" i="1"/>
  <c r="I555" i="1"/>
  <c r="J555" i="1"/>
  <c r="K555" i="1"/>
  <c r="K561" i="1" s="1"/>
  <c r="L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8" i="1" s="1"/>
  <c r="G637" i="1" s="1"/>
  <c r="J637" i="1" s="1"/>
  <c r="K586" i="1"/>
  <c r="K587" i="1"/>
  <c r="H588" i="1"/>
  <c r="H639" i="1" s="1"/>
  <c r="J639" i="1" s="1"/>
  <c r="I588" i="1"/>
  <c r="J588" i="1"/>
  <c r="H641" i="1" s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8" i="1"/>
  <c r="J608" i="1" s="1"/>
  <c r="H608" i="1"/>
  <c r="G612" i="1"/>
  <c r="G613" i="1"/>
  <c r="G614" i="1"/>
  <c r="H620" i="1"/>
  <c r="G626" i="1"/>
  <c r="J626" i="1" s="1"/>
  <c r="H626" i="1"/>
  <c r="H628" i="1"/>
  <c r="G629" i="1"/>
  <c r="J629" i="1" s="1"/>
  <c r="G630" i="1"/>
  <c r="J630" i="1" s="1"/>
  <c r="G633" i="1"/>
  <c r="J633" i="1" s="1"/>
  <c r="G634" i="1"/>
  <c r="H637" i="1"/>
  <c r="G639" i="1"/>
  <c r="G640" i="1"/>
  <c r="J640" i="1" s="1"/>
  <c r="H640" i="1"/>
  <c r="G641" i="1"/>
  <c r="G642" i="1"/>
  <c r="J642" i="1" s="1"/>
  <c r="H642" i="1"/>
  <c r="G643" i="1"/>
  <c r="H643" i="1"/>
  <c r="J643" i="1"/>
  <c r="G644" i="1"/>
  <c r="J644" i="1" s="1"/>
  <c r="H644" i="1"/>
  <c r="G645" i="1"/>
  <c r="J645" i="1" s="1"/>
  <c r="H645" i="1"/>
  <c r="D43" i="2" l="1"/>
  <c r="K541" i="1"/>
  <c r="G185" i="1"/>
  <c r="C136" i="2"/>
  <c r="G32" i="2"/>
  <c r="G19" i="2"/>
  <c r="I542" i="1"/>
  <c r="H650" i="1"/>
  <c r="J610" i="1"/>
  <c r="F43" i="2"/>
  <c r="K540" i="1"/>
  <c r="J634" i="1"/>
  <c r="J631" i="1"/>
  <c r="L426" i="1"/>
  <c r="G628" i="1" s="1"/>
  <c r="J628" i="1" s="1"/>
  <c r="J609" i="1"/>
  <c r="G137" i="2"/>
  <c r="E43" i="2"/>
  <c r="E136" i="2"/>
  <c r="C133" i="2"/>
  <c r="G650" i="1"/>
  <c r="G654" i="1" s="1"/>
  <c r="L511" i="1"/>
  <c r="D37" i="10"/>
  <c r="D96" i="2"/>
  <c r="C39" i="10"/>
  <c r="J185" i="1"/>
  <c r="H185" i="1"/>
  <c r="L282" i="1"/>
  <c r="E101" i="2"/>
  <c r="E107" i="2" s="1"/>
  <c r="C10" i="10"/>
  <c r="J542" i="1"/>
  <c r="G617" i="1"/>
  <c r="F458" i="1"/>
  <c r="G36" i="2"/>
  <c r="G42" i="2" s="1"/>
  <c r="J43" i="1"/>
  <c r="J641" i="1"/>
  <c r="C73" i="2"/>
  <c r="C96" i="2" s="1"/>
  <c r="G542" i="1"/>
  <c r="C16" i="10"/>
  <c r="D7" i="13"/>
  <c r="C7" i="13" s="1"/>
  <c r="C111" i="2"/>
  <c r="J330" i="1"/>
  <c r="J344" i="1" s="1"/>
  <c r="F31" i="13"/>
  <c r="F33" i="13" s="1"/>
  <c r="H651" i="1"/>
  <c r="D119" i="2"/>
  <c r="D120" i="2" s="1"/>
  <c r="D137" i="2" s="1"/>
  <c r="D29" i="13"/>
  <c r="C29" i="13" s="1"/>
  <c r="L354" i="1"/>
  <c r="F651" i="1"/>
  <c r="G651" i="1"/>
  <c r="L561" i="1"/>
  <c r="G156" i="2"/>
  <c r="E73" i="2"/>
  <c r="F73" i="2"/>
  <c r="C38" i="10"/>
  <c r="L400" i="1"/>
  <c r="E116" i="2"/>
  <c r="F48" i="2"/>
  <c r="F55" i="2" s="1"/>
  <c r="H627" i="1"/>
  <c r="F122" i="2"/>
  <c r="F136" i="2" s="1"/>
  <c r="F137" i="2" s="1"/>
  <c r="C116" i="2"/>
  <c r="E48" i="2"/>
  <c r="E55" i="2" s="1"/>
  <c r="E96" i="2" s="1"/>
  <c r="D35" i="10"/>
  <c r="C9" i="12"/>
  <c r="J511" i="1"/>
  <c r="J514" i="1" s="1"/>
  <c r="J535" i="1" s="1"/>
  <c r="G635" i="1"/>
  <c r="J635" i="1" s="1"/>
  <c r="G615" i="1"/>
  <c r="J615" i="1" s="1"/>
  <c r="C103" i="2"/>
  <c r="C124" i="2"/>
  <c r="C20" i="10"/>
  <c r="L604" i="1"/>
  <c r="C19" i="10"/>
  <c r="B9" i="12"/>
  <c r="A13" i="12" s="1"/>
  <c r="K493" i="1"/>
  <c r="J33" i="1"/>
  <c r="C18" i="10"/>
  <c r="L190" i="1"/>
  <c r="L203" i="1" s="1"/>
  <c r="C17" i="10"/>
  <c r="H25" i="13"/>
  <c r="L194" i="1"/>
  <c r="E113" i="2"/>
  <c r="E120" i="2" s="1"/>
  <c r="F77" i="2"/>
  <c r="F83" i="2" s="1"/>
  <c r="C41" i="10"/>
  <c r="D40" i="10" s="1"/>
  <c r="E8" i="13"/>
  <c r="I450" i="1"/>
  <c r="I451" i="1" s="1"/>
  <c r="H632" i="1" s="1"/>
  <c r="J632" i="1" s="1"/>
  <c r="I354" i="1"/>
  <c r="G624" i="1" s="1"/>
  <c r="J624" i="1" s="1"/>
  <c r="K330" i="1"/>
  <c r="K344" i="1" s="1"/>
  <c r="J19" i="1"/>
  <c r="G611" i="1" s="1"/>
  <c r="F650" i="1" l="1"/>
  <c r="L249" i="1"/>
  <c r="L263" i="1" s="1"/>
  <c r="L514" i="1"/>
  <c r="L535" i="1" s="1"/>
  <c r="F539" i="1"/>
  <c r="D38" i="10"/>
  <c r="D39" i="10"/>
  <c r="C8" i="13"/>
  <c r="E33" i="13"/>
  <c r="D35" i="13" s="1"/>
  <c r="G621" i="1"/>
  <c r="J621" i="1" s="1"/>
  <c r="G636" i="1"/>
  <c r="J636" i="1" s="1"/>
  <c r="C102" i="2"/>
  <c r="C107" i="2" s="1"/>
  <c r="C11" i="10"/>
  <c r="J44" i="1"/>
  <c r="H611" i="1" s="1"/>
  <c r="J611" i="1" s="1"/>
  <c r="G616" i="1"/>
  <c r="J616" i="1" s="1"/>
  <c r="H654" i="1"/>
  <c r="G662" i="1"/>
  <c r="G657" i="1"/>
  <c r="H638" i="1"/>
  <c r="J638" i="1" s="1"/>
  <c r="D5" i="13"/>
  <c r="G43" i="2"/>
  <c r="I651" i="1"/>
  <c r="C15" i="10"/>
  <c r="C110" i="2"/>
  <c r="C120" i="2" s="1"/>
  <c r="D6" i="13"/>
  <c r="C6" i="13" s="1"/>
  <c r="G625" i="1"/>
  <c r="G462" i="1"/>
  <c r="C27" i="10"/>
  <c r="L330" i="1"/>
  <c r="L344" i="1" s="1"/>
  <c r="D31" i="13"/>
  <c r="C31" i="13" s="1"/>
  <c r="H617" i="1"/>
  <c r="F460" i="1"/>
  <c r="J617" i="1"/>
  <c r="G618" i="1"/>
  <c r="G458" i="1"/>
  <c r="F96" i="2"/>
  <c r="E137" i="2"/>
  <c r="D36" i="10"/>
  <c r="D41" i="10" s="1"/>
  <c r="C25" i="13"/>
  <c r="H33" i="13"/>
  <c r="G627" i="1"/>
  <c r="J627" i="1" s="1"/>
  <c r="H636" i="1"/>
  <c r="H458" i="1"/>
  <c r="G619" i="1"/>
  <c r="H618" i="1" l="1"/>
  <c r="G460" i="1"/>
  <c r="D27" i="10"/>
  <c r="J618" i="1"/>
  <c r="F542" i="1"/>
  <c r="K539" i="1"/>
  <c r="K542" i="1" s="1"/>
  <c r="H462" i="1"/>
  <c r="G623" i="1"/>
  <c r="G464" i="1"/>
  <c r="H625" i="1"/>
  <c r="J625" i="1" s="1"/>
  <c r="D15" i="10"/>
  <c r="C28" i="10"/>
  <c r="H662" i="1"/>
  <c r="H657" i="1"/>
  <c r="H460" i="1"/>
  <c r="H619" i="1"/>
  <c r="J619" i="1" s="1"/>
  <c r="C137" i="2"/>
  <c r="F654" i="1"/>
  <c r="I650" i="1"/>
  <c r="I654" i="1" s="1"/>
  <c r="D11" i="10"/>
  <c r="G622" i="1"/>
  <c r="F462" i="1"/>
  <c r="C5" i="13"/>
  <c r="D33" i="13"/>
  <c r="D36" i="13" s="1"/>
  <c r="H464" i="1" l="1"/>
  <c r="H623" i="1"/>
  <c r="F662" i="1"/>
  <c r="C4" i="10" s="1"/>
  <c r="F657" i="1"/>
  <c r="I657" i="1"/>
  <c r="I662" i="1"/>
  <c r="C7" i="10" s="1"/>
  <c r="J623" i="1"/>
  <c r="H466" i="1"/>
  <c r="H614" i="1" s="1"/>
  <c r="J614" i="1" s="1"/>
  <c r="G466" i="1"/>
  <c r="H613" i="1" s="1"/>
  <c r="J613" i="1" s="1"/>
  <c r="D22" i="10"/>
  <c r="D13" i="10"/>
  <c r="C30" i="10"/>
  <c r="D12" i="10"/>
  <c r="D21" i="10"/>
  <c r="D26" i="10"/>
  <c r="D24" i="10"/>
  <c r="D23" i="10"/>
  <c r="D25" i="10"/>
  <c r="D10" i="10"/>
  <c r="D19" i="10"/>
  <c r="D17" i="10"/>
  <c r="D16" i="10"/>
  <c r="D18" i="10"/>
  <c r="D20" i="10"/>
  <c r="H622" i="1"/>
  <c r="J622" i="1" s="1"/>
  <c r="F464" i="1"/>
  <c r="F466" i="1" s="1"/>
  <c r="H612" i="1" s="1"/>
  <c r="J612" i="1" s="1"/>
  <c r="H646" i="1" l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775D705-EA7E-4D4F-A182-5572BB4E559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0AFDC54-D2BF-424A-A0E3-30598B6D3B8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7BD8196-4C59-4F79-B8A6-90418E63E26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3822F6B-57E3-4E11-893D-1F1C05BAF8F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F6E7EF1-D143-483F-993D-11AD0216F91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EA36D9F-432F-4748-8CAC-93682EC7733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E0F4D38-A92D-4EFA-A559-96563901B93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1B6CBD4-9831-4F6B-9F71-2C55EB9AD59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EF02238-7810-448E-8372-7E7A3B86EA4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3CD7F97-65F4-489A-ABCA-012AB815375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CD47FC4-25DE-420D-8F05-87E469E7345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1CAF623-E73C-4E02-82F0-5DFE627DCCA4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<sst xmlns="http://schemas.openxmlformats.org/spreadsheetml/2006/main" count="3858" uniqueCount="895">
  <si>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</si>
  <si>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</si>
  <si>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</si>
  <si>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</si>
  <si>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</si>
  <si>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</si>
  <si>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</si>
  <si>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</si>
  <si>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</si>
  <si>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</si>
  <si>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</si>
  <si>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</si>
  <si>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</si>
  <si>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</si>
  <si>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</si>
  <si>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</si>
  <si>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</si>
  <si>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</si>
  <si>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</si>
  <si>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</si>
  <si>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</si>
  <si>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</si>
  <si>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</si>
  <si>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</si>
  <si>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</si>
  <si>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</si>
  <si>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</si>
  <si>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</si>
  <si>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</si>
  <si>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</si>
  <si>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</si>
  <si>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</si>
  <si>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</si>
  <si>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</si>
  <si>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</si>
  <si>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</si>
  <si>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</si>
  <si>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</si>
  <si>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</si>
  <si>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</si>
  <si>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</si>
  <si>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</si>
  <si>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</si>
  <si>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</si>
  <si>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</si>
  <si>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</si>
  <si>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</si>
  <si>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</si>
  <si>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</si>
  <si>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</si>
  <si>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</si>
  <si>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</si>
  <si>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</si>
  <si>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</si>
  <si>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</si>
  <si>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</si>
  <si>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</si>
  <si>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</si>
  <si>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</si>
  <si>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</si>
  <si>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</si>
  <si>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</si>
  <si>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</si>
  <si>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</si>
  <si>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</si>
  <si>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</si>
  <si>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</si>
  <si>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</si>
  <si>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</si>
  <si>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</si>
  <si>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</si>
  <si>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</si>
  <si>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</si>
  <si>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</si>
  <si>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</si>
  <si>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</si>
  <si>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</si>
  <si>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</si>
  <si>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</si>
  <si>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</si>
  <si>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</si>
  <si>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</si>
  <si>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</si>
  <si>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</si>
  <si>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</si>
  <si>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</si>
  <si>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</si>
  <si>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</si>
  <si>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</si>
  <si>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</si>
  <si>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</si>
  <si>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</si>
  <si>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</si>
  <si>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</si>
  <si>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</si>
  <si>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</si>
  <si>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</si>
  <si>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</si>
  <si>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</si>
  <si>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</si>
  <si>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</si>
  <si>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</si>
  <si>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</si>
  <si>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</si>
  <si>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</si>
  <si>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</si>
  <si>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</si>
  <si>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</si>
  <si>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</si>
  <si>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</si>
  <si>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</si>
  <si>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</si>
  <si>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</si>
  <si>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</si>
  <si>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</si>
  <si>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</si>
  <si>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</si>
  <si>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</si>
  <si>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</si>
  <si>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</si>
  <si>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</si>
  <si>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</si>
  <si>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</si>
  <si>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</si>
  <si>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</si>
  <si>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</si>
  <si>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</si>
  <si>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</si>
  <si>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</si>
  <si>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</si>
  <si>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</si>
  <si>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</si>
  <si>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</si>
  <si>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</si>
  <si>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</si>
  <si>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</si>
  <si>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</si>
  <si>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</si>
  <si>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</si>
  <si>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</si>
  <si>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</si>
  <si>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</si>
  <si>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</si>
  <si>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</si>
  <si>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</si>
  <si>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</si>
  <si>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</si>
  <si>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</si>
  <si>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</si>
  <si>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</si>
  <si>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</si>
  <si>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</si>
  <si>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</si>
  <si>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</si>
  <si>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</si>
  <si>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</si>
  <si>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</si>
  <si>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</si>
  <si>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</si>
  <si>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</si>
  <si>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</si>
  <si>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</si>
  <si>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</si>
  <si>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</si>
  <si>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</si>
  <si>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</si>
  <si>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</si>
  <si>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</si>
  <si>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</si>
  <si>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</si>
  <si>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</si>
  <si>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</si>
  <si>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</si>
  <si>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</si>
  <si>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</si>
  <si>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</si>
  <si>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</si>
  <si>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</si>
  <si>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</si>
  <si>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</si>
  <si>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</si>
  <si>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</si>
  <si>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</si>
  <si>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</si>
  <si>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</si>
  <si>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</si>
  <si>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</si>
  <si>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</si>
  <si>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</si>
  <si>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</si>
  <si>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</si>
  <si>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</si>
  <si>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</si>
  <si>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</si>
  <si>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</si>
  <si>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</si>
  <si>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</si>
  <si>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</si>
  <si>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</si>
  <si>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</si>
  <si>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</si>
  <si>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</si>
  <si>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</si>
  <si>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</si>
  <si>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</si>
  <si>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</si>
  <si>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</si>
  <si>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</si>
  <si>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</si>
  <si>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</si>
  <si>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</si>
  <si>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</si>
  <si>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</si>
  <si>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</si>
  <si>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</si>
  <si>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</si>
  <si>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</si>
  <si>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</si>
  <si>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</si>
  <si>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</si>
  <si>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</si>
  <si>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</si>
  <si>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</si>
  <si>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</si>
  <si>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</si>
  <si>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</si>
  <si>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</si>
  <si>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</si>
  <si>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</si>
  <si>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</si>
  <si>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</si>
  <si>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</si>
  <si>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</si>
  <si>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</si>
  <si>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</si>
  <si>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</si>
  <si>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</si>
  <si>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</si>
  <si>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</si>
  <si>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</si>
  <si>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</si>
  <si>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</si>
  <si>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</si>
  <si>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</si>
  <si>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</si>
  <si>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</si>
  <si>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</si>
  <si>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</si>
  <si>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</si>
  <si>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</si>
  <si>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</si>
  <si>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</si>
  <si>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</si>
  <si>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</si>
  <si>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</si>
  <si>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</si>
  <si>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</si>
  <si>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</si>
  <si>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</si>
  <si>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</si>
  <si>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</si>
  <si>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</si>
  <si>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</si>
  <si>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</si>
  <si>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</si>
  <si>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</si>
  <si>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</si>
  <si>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</si>
  <si>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</si>
  <si>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</si>
  <si>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</si>
  <si>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</si>
  <si>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</si>
  <si>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</si>
  <si>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</si>
  <si>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</si>
  <si>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</si>
  <si>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</si>
  <si>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</si>
  <si>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</si>
  <si>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</si>
  <si>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</si>
  <si>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</si>
  <si>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</si>
  <si>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</si>
  <si>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</si>
  <si>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</si>
  <si>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</si>
  <si>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</si>
  <si>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</si>
  <si>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</si>
  <si>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</si>
  <si>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</si>
  <si>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</si>
  <si>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</si>
  <si>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</si>
  <si>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</si>
  <si>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</si>
  <si>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</si>
  <si>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</si>
  <si>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</si>
  <si>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</si>
  <si>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</si>
  <si>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</si>
  <si>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</si>
  <si>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</si>
  <si>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</si>
  <si>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</si>
  <si>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</si>
  <si>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</si>
  <si>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</si>
  <si>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</si>
  <si>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</si>
  <si>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</si>
  <si>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</si>
  <si>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</si>
  <si>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</si>
  <si>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</si>
  <si>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</si>
  <si>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</si>
  <si>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</si>
  <si>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</si>
  <si>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</si>
  <si>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</si>
  <si>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</si>
  <si>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</si>
  <si>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</si>
  <si>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</si>
  <si>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</si>
  <si>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</si>
  <si>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</si>
  <si>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</si>
  <si>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</si>
  <si>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</si>
  <si>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</si>
  <si>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</si>
  <si>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</si>
  <si>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</si>
  <si>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</si>
  <si>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</si>
  <si>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</si>
  <si>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</si>
  <si>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</si>
  <si>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</si>
  <si>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</si>
  <si>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</si>
  <si>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</si>
  <si>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</si>
  <si>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</si>
  <si>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</si>
  <si>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</si>
  <si>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</si>
  <si>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</si>
  <si>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</si>
  <si>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</si>
  <si>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</si>
  <si>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</si>
  <si>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</si>
  <si>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</si>
  <si>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</si>
  <si>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</si>
  <si>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</si>
  <si>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</si>
  <si>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</si>
  <si>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</si>
  <si>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</si>
  <si>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</si>
  <si>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</si>
  <si>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</si>
  <si>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</si>
  <si>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</si>
  <si>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</si>
  <si>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</si>
  <si>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</si>
  <si>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</si>
  <si>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</si>
  <si>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</si>
  <si>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</si>
  <si>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</si>
  <si>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</si>
  <si>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</si>
  <si>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</si>
  <si>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</si>
  <si>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</si>
  <si>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</si>
  <si>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</si>
  <si>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</si>
  <si>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</si>
  <si>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</si>
  <si>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</si>
  <si>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</si>
  <si>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</si>
  <si>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</si>
  <si>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</si>
  <si>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</si>
  <si>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</si>
  <si>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</si>
  <si>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</si>
  <si>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</si>
  <si>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</si>
  <si>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</si>
  <si>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</si>
  <si>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</si>
  <si>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</si>
  <si>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</si>
  <si>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</si>
  <si>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</si>
  <si>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</si>
  <si>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</si>
  <si>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</si>
  <si>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</si>
  <si>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</si>
  <si>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</si>
  <si>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</si>
  <si>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</si>
  <si>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</si>
  <si>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</si>
  <si>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</si>
  <si>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</si>
  <si>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</si>
  <si>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</si>
  <si>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</si>
  <si>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</si>
  <si>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</si>
  <si>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</si>
  <si>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</si>
  <si>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</si>
  <si>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</si>
  <si>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</si>
  <si>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</si>
  <si>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</si>
  <si>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</si>
  <si>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</si>
  <si>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</si>
  <si>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</si>
  <si>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</si>
  <si>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</si>
  <si>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</si>
  <si>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</si>
  <si>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</si>
  <si>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</si>
  <si>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</si>
  <si>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</si>
  <si>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</si>
  <si>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</si>
  <si>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</si>
  <si>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</si>
  <si>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</si>
  <si>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</si>
  <si>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</si>
  <si>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</si>
  <si>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</si>
  <si>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</si>
  <si>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</si>
  <si>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</si>
  <si>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</si>
  <si>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</si>
  <si>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</si>
  <si>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</si>
  <si>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</si>
  <si>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</si>
  <si>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</si>
  <si>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</si>
  <si>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</si>
  <si>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</si>
  <si>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</si>
  <si>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</si>
  <si>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</si>
  <si>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</si>
  <si>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</si>
  <si>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</si>
  <si>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</si>
  <si>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</si>
  <si>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</si>
  <si>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</si>
  <si>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</si>
  <si>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</si>
  <si>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</si>
  <si>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</si>
  <si>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</si>
  <si>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</si>
  <si>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</si>
  <si>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</si>
  <si>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</si>
  <si>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</si>
  <si>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</si>
  <si>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</si>
  <si>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</si>
  <si>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</si>
  <si>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</si>
  <si>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</si>
  <si>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</si>
  <si>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</si>
  <si>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</si>
  <si>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</si>
  <si>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</si>
  <si>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</si>
  <si>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</si>
  <si>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</si>
  <si>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</si>
  <si>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</si>
  <si>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</si>
  <si>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</si>
  <si>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</si>
  <si>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</si>
  <si>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</si>
  <si>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</si>
  <si>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</si>
  <si>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</si>
  <si>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</si>
  <si>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</si>
  <si>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</si>
  <si>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</si>
  <si>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</si>
  <si>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</si>
  <si>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</si>
  <si>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</si>
  <si>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</si>
  <si>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</si>
  <si>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</si>
  <si>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</si>
  <si>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</si>
  <si>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</si>
  <si>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</si>
  <si>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</si>
  <si>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</si>
  <si>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</si>
  <si>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</si>
  <si>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</si>
  <si>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</si>
  <si>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</si>
  <si>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</si>
  <si>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</si>
  <si>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</si>
  <si>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</si>
  <si>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</si>
  <si>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</si>
  <si>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</si>
  <si>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</si>
  <si>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</si>
  <si>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</si>
  <si>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</si>
  <si>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</si>
  <si>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</si>
  <si>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</si>
  <si>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</si>
  <si>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</si>
  <si>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</si>
  <si>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</si>
  <si>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</si>
  <si>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</si>
  <si>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</si>
  <si>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</si>
  <si>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</si>
  <si>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</si>
  <si>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</si>
  <si>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</si>
  <si>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</si>
  <si>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</si>
  <si>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</si>
  <si>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</si>
  <si>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</si>
  <si>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</si>
  <si>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</si>
  <si>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</si>
  <si>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</si>
  <si>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</si>
  <si>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</si>
  <si>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</si>
  <si>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</si>
  <si>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</si>
  <si>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</si>
  <si>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</si>
  <si>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</si>
  <si>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</si>
  <si>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</si>
  <si>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</si>
  <si>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</si>
  <si>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</si>
  <si>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</si>
  <si>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</si>
  <si>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</si>
  <si>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</si>
  <si>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</si>
  <si>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</si>
  <si>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</si>
  <si>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</si>
  <si>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</si>
  <si>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</si>
  <si>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</si>
  <si>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</si>
  <si>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</si>
  <si>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</si>
  <si>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</si>
  <si>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</si>
  <si>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</si>
  <si>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</si>
  <si>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</si>
  <si>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</si>
  <si>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</si>
  <si>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</si>
  <si>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</si>
  <si>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</si>
  <si>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</si>
  <si>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</si>
  <si>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</si>
  <si>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</si>
  <si>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</si>
  <si>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</si>
  <si>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</si>
  <si>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</si>
  <si>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</si>
  <si>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</si>
  <si>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</si>
  <si>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</si>
  <si>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</si>
  <si>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</si>
  <si>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</si>
  <si>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</si>
  <si>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</si>
  <si>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</si>
  <si>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</si>
  <si>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</si>
  <si>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</si>
  <si>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</si>
  <si>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</si>
  <si>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</si>
  <si>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</si>
  <si>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</si>
  <si>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</si>
  <si>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</si>
  <si>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</si>
  <si>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</si>
  <si>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</si>
  <si>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</si>
  <si>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</si>
  <si>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</si>
  <si>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</si>
  <si>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</si>
  <si>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</si>
  <si>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</si>
  <si>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</si>
  <si>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</si>
  <si>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</si>
  <si>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</si>
  <si>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</si>
  <si>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</si>
  <si>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</si>
  <si>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</si>
  <si>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</si>
  <si>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</si>
  <si>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</si>
  <si>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</si>
  <si>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</si>
  <si>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</si>
  <si>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</si>
  <si>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</si>
  <si>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</si>
  <si>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</si>
  <si>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</si>
  <si>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</si>
  <si>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</si>
  <si>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</si>
  <si>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</si>
  <si>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</si>
  <si>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</si>
  <si>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</si>
  <si>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</si>
  <si>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</si>
  <si>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</si>
  <si>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</si>
  <si>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</si>
  <si>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</si>
  <si>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</si>
  <si>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</si>
  <si>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</si>
  <si>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</si>
  <si>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</si>
  <si>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</si>
  <si>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</si>
  <si>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</si>
  <si>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</si>
  <si>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</si>
  <si>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</si>
  <si>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</si>
  <si>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</si>
  <si>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</si>
  <si>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</si>
  <si>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</si>
  <si>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</si>
  <si>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</si>
  <si>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</si>
  <si>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</si>
  <si>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</si>
  <si>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</si>
  <si>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</si>
  <si>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</si>
  <si>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</si>
  <si>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</si>
  <si>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</si>
  <si>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</si>
  <si>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</si>
  <si>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</si>
  <si>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</si>
  <si>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</si>
  <si>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</si>
  <si>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</si>
  <si>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</si>
  <si>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</si>
  <si>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</si>
  <si>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</si>
  <si>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</si>
  <si>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</si>
  <si>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</si>
  <si>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</si>
  <si>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</si>
  <si>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</si>
  <si>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</si>
  <si>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</si>
  <si>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</si>
  <si>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</si>
  <si>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</si>
  <si>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</si>
  <si>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</si>
  <si>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</si>
  <si>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</si>
  <si>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</si>
  <si>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</si>
  <si>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</si>
  <si>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</si>
  <si>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</si>
  <si>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</si>
  <si>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</si>
  <si>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</si>
  <si>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</si>
  <si>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</si>
  <si>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</si>
  <si>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</si>
  <si>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</si>
  <si>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</si>
  <si>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</si>
  <si>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</si>
  <si>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</si>
  <si>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</si>
  <si>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</si>
  <si>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</si>
  <si>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</si>
  <si>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</si>
  <si>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</si>
  <si>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</si>
  <si>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</si>
  <si>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</si>
  <si>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</si>
  <si>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</si>
  <si>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</si>
  <si>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</si>
  <si>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</si>
  <si>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</si>
  <si>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</si>
  <si>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</si>
  <si>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</si>
  <si>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</si>
  <si>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</si>
  <si>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</si>
  <si>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</si>
  <si>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</si>
  <si>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</si>
  <si>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</si>
  <si>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</si>
  <si>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</si>
  <si>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</si>
  <si>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</si>
  <si>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</si>
  <si>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</si>
  <si>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</si>
  <si>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</si>
  <si>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</si>
  <si>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</si>
  <si>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</si>
  <si>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</si>
  <si>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</si>
  <si>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</si>
  <si>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</si>
  <si>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</si>
  <si>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</si>
  <si>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</si>
  <si>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</si>
  <si>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</si>
  <si>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</si>
  <si>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</si>
  <si>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</si>
  <si>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</si>
  <si>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</si>
  <si>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</si>
  <si>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</si>
  <si>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</si>
  <si>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</si>
  <si>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</si>
  <si>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</si>
  <si>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</si>
  <si>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</si>
  <si>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</si>
  <si>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</si>
  <si>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</si>
  <si>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</si>
  <si>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</si>
  <si>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</si>
  <si>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</si>
  <si>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</si>
  <si>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</si>
  <si>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</si>
  <si>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</si>
  <si>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</si>
  <si>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</si>
  <si>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</si>
  <si>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</si>
  <si>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</si>
  <si>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</si>
  <si>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</si>
  <si>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</si>
  <si>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</si>
  <si>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</si>
  <si>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</si>
  <si>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</si>
  <si>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</si>
  <si>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</si>
  <si>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</si>
  <si>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</si>
  <si>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</si>
  <si>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</si>
  <si>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</si>
  <si>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</si>
  <si>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</si>
  <si>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</si>
  <si>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</si>
  <si>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</si>
  <si>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</si>
  <si>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</si>
  <si>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</si>
  <si>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</si>
  <si>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</si>
  <si>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</si>
  <si>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</si>
  <si>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</si>
  <si>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</si>
  <si>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</si>
  <si>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</si>
  <si>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</si>
  <si>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</si>
  <si>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</si>
  <si>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</si>
  <si>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</si>
  <si>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</si>
  <si>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</si>
  <si>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</si>
  <si>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</si>
  <si>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</si>
  <si>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</si>
  <si>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</si>
  <si>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</si>
  <si>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</si>
  <si>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</si>
  <si>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</si>
  <si>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</si>
  <si>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</si>
  <si>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</si>
  <si>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</si>
  <si>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</si>
  <si>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</si>
  <si>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</si>
  <si>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</si>
  <si>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</si>
  <si>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</si>
  <si>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</si>
  <si>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</si>
  <si>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</si>
  <si>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</si>
  <si>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</si>
  <si>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</si>
  <si>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</si>
  <si>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</si>
  <si>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</si>
  <si>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</si>
  <si>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</si>
  <si>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</si>
  <si>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</si>
  <si>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</si>
  <si>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</si>
  <si>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</si>
  <si>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</si>
  <si>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</si>
  <si>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</si>
  <si>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</si>
  <si>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</si>
  <si>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ASHLAND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</si>
</sst>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A33B-8668-4917-A8E0-31FDBAE1AC9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23</v>
      </c>
      <c r="C2" s="21">
        <v>23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45941.1</v>
      </c>
      <c r="G9" s="18"/>
      <c r="H9" s="18"/>
      <c r="I9" s="18"/>
      <c r="J9" s="67">
        <f>SUM(I431)</f>
        <v>110845.81999999999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463970.46</v>
      </c>
      <c r="G12" s="18">
        <v>205181.41</v>
      </c>
      <c r="H12" s="18">
        <v>196457.73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101516.5</v>
      </c>
      <c r="G13" s="18">
        <v>9622.4599999999991</v>
      </c>
      <c r="H13" s="18">
        <v>61350.81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9519.32</v>
      </c>
      <c r="G14" s="18">
        <v>6.58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620947.38</v>
      </c>
      <c r="G19" s="41">
        <f>SUM(G9:G18)</f>
        <v>214810.44999999998</v>
      </c>
      <c r="H19" s="41">
        <f>SUM(H9:H18)</f>
        <v>257808.54</v>
      </c>
      <c r="I19" s="41">
        <f>SUM(I9:I18)</f>
        <v>0</v>
      </c>
      <c r="J19" s="41">
        <f>SUM(J9:J18)</f>
        <v>110845.81999999999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401639.14</v>
      </c>
      <c r="G23" s="18">
        <v>212631.55</v>
      </c>
      <c r="H23" s="18">
        <v>251338.91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19014.560000000001</v>
      </c>
      <c r="G25" s="18">
        <v>211.84</v>
      </c>
      <c r="H25" s="18">
        <v>2116.69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1413.04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6945.47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429012.20999999996</v>
      </c>
      <c r="G33" s="41">
        <f>SUM(G23:G32)</f>
        <v>212843.38999999998</v>
      </c>
      <c r="H33" s="41">
        <f>SUM(H23:H32)</f>
        <v>253455.6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11768.87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1967.06</v>
      </c>
      <c r="H41" s="18">
        <v>4352.9399999999996</v>
      </c>
      <c r="I41" s="18"/>
      <c r="J41" s="13">
        <f>SUM(I449)</f>
        <v>110845.82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180166.3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191935.16999999998</v>
      </c>
      <c r="G43" s="41">
        <f>SUM(G35:G42)</f>
        <v>1967.06</v>
      </c>
      <c r="H43" s="41">
        <f>SUM(H35:H42)</f>
        <v>4352.9399999999996</v>
      </c>
      <c r="I43" s="41">
        <f>SUM(I35:I42)</f>
        <v>0</v>
      </c>
      <c r="J43" s="41">
        <f>SUM(J35:J42)</f>
        <v>110845.82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620947.37999999989</v>
      </c>
      <c r="G44" s="41">
        <f>G43+G33</f>
        <v>214810.44999999998</v>
      </c>
      <c r="H44" s="41">
        <f>H43+H33</f>
        <v>257808.54</v>
      </c>
      <c r="I44" s="41">
        <f>I43+I33</f>
        <v>0</v>
      </c>
      <c r="J44" s="41">
        <f>J43+J33</f>
        <v>110845.82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1485095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1485095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7156.8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7156.8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1639.54</v>
      </c>
      <c r="G88" s="18"/>
      <c r="H88" s="18"/>
      <c r="I88" s="18"/>
      <c r="J88" s="18">
        <f>117.59+277.65</f>
        <v>395.24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28125.73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3450.23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798.33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54.99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2492.8599999999997</v>
      </c>
      <c r="G103" s="41">
        <f>SUM(G88:G102)</f>
        <v>28125.73</v>
      </c>
      <c r="H103" s="41">
        <f>SUM(H88:H102)</f>
        <v>3450.23</v>
      </c>
      <c r="I103" s="41">
        <f>SUM(I88:I102)</f>
        <v>0</v>
      </c>
      <c r="J103" s="41">
        <f>SUM(J88:J102)</f>
        <v>395.24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1494744.6600000001</v>
      </c>
      <c r="G104" s="41">
        <f>G52+G103</f>
        <v>28125.73</v>
      </c>
      <c r="H104" s="41">
        <f>H52+H71+H86+H103</f>
        <v>3450.23</v>
      </c>
      <c r="I104" s="41">
        <f>I52+I103</f>
        <v>0</v>
      </c>
      <c r="J104" s="41">
        <f>J52+J103</f>
        <v>395.24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347613.68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331307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133369.32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812290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1000.07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1000.07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812290</v>
      </c>
      <c r="G132" s="41">
        <f>G113+SUM(G128:G129)</f>
        <v>1000.07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61743.37+4958.75+28454.37</f>
        <v>95156.489999999991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9049.06+36954.36+13235.26</f>
        <v>59238.68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37065.879999999997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29100.639999999999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29100.639999999999</v>
      </c>
      <c r="G154" s="41">
        <f>SUM(G142:G153)</f>
        <v>37065.879999999997</v>
      </c>
      <c r="H154" s="41">
        <f>SUM(H142:H153)</f>
        <v>154395.16999999998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378.01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29478.649999999998</v>
      </c>
      <c r="G161" s="41">
        <f>G139+G154+SUM(G155:G160)</f>
        <v>37065.879999999997</v>
      </c>
      <c r="H161" s="41">
        <f>H139+H154+SUM(H155:H160)</f>
        <v>154395.16999999998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35000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35000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35000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2336513.31</v>
      </c>
      <c r="G185" s="47">
        <f>G104+G132+G161+G184</f>
        <v>101191.67999999999</v>
      </c>
      <c r="H185" s="47">
        <f>H104+H132+H161+H184</f>
        <v>157845.4</v>
      </c>
      <c r="I185" s="47">
        <f>I104+I132+I161+I184</f>
        <v>0</v>
      </c>
      <c r="J185" s="47">
        <f>J104+J132+J184</f>
        <v>395.24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767933.97</v>
      </c>
      <c r="G189" s="18">
        <v>316173.73</v>
      </c>
      <c r="H189" s="18">
        <v>7216.02</v>
      </c>
      <c r="I189" s="18">
        <v>35630.42</v>
      </c>
      <c r="J189" s="18">
        <v>6494.49</v>
      </c>
      <c r="K189" s="18">
        <v>529</v>
      </c>
      <c r="L189" s="19">
        <f>SUM(F189:K189)</f>
        <v>1133977.6299999999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107193.21+3355</f>
        <v>110548.21</v>
      </c>
      <c r="G190" s="18">
        <f>52268.96+481.61</f>
        <v>52750.57</v>
      </c>
      <c r="H190" s="18">
        <f>45784.61+17881.96</f>
        <v>63666.57</v>
      </c>
      <c r="I190" s="18">
        <v>2143.29</v>
      </c>
      <c r="J190" s="18">
        <f>942.73</f>
        <v>942.73</v>
      </c>
      <c r="K190" s="18">
        <v>64</v>
      </c>
      <c r="L190" s="19">
        <f>SUM(F190:K190)</f>
        <v>230115.37000000002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22850</v>
      </c>
      <c r="G192" s="18">
        <v>3538.62</v>
      </c>
      <c r="H192" s="18">
        <v>6800</v>
      </c>
      <c r="I192" s="18">
        <v>1963.73</v>
      </c>
      <c r="J192" s="18"/>
      <c r="K192" s="18"/>
      <c r="L192" s="19">
        <f>SUM(F192:K192)</f>
        <v>35152.35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61063.46+52001.04+12363.91</f>
        <v>125428.41</v>
      </c>
      <c r="G194" s="18">
        <f>21625.2+19387.37+1037.17</f>
        <v>42049.74</v>
      </c>
      <c r="H194" s="18">
        <f>944+1093+246.77+48597.82</f>
        <v>50881.59</v>
      </c>
      <c r="I194" s="18">
        <f>1494.13+870.32+200.99</f>
        <v>2565.4400000000005</v>
      </c>
      <c r="J194" s="18">
        <v>336.31</v>
      </c>
      <c r="K194" s="18">
        <v>246</v>
      </c>
      <c r="L194" s="19">
        <f t="shared" ref="L194:L200" si="0">SUM(F194:K194)</f>
        <v>221507.49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22648.24+6900+33583.68</f>
        <v>63131.92</v>
      </c>
      <c r="G195" s="18">
        <f>1849.77+1058.03+22183.95</f>
        <v>25091.75</v>
      </c>
      <c r="H195" s="18">
        <f>7144.14+18526.51+693.5</f>
        <v>26364.149999999998</v>
      </c>
      <c r="I195" s="18">
        <f>3800.19+7813.9</f>
        <v>11614.09</v>
      </c>
      <c r="J195" s="18">
        <v>9777.86</v>
      </c>
      <c r="K195" s="18">
        <v>59</v>
      </c>
      <c r="L195" s="19">
        <f t="shared" si="0"/>
        <v>136038.76999999999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3740</v>
      </c>
      <c r="G196" s="18">
        <v>372.42</v>
      </c>
      <c r="H196" s="18">
        <f>1272.7+8250+2090.56+59503</f>
        <v>71116.259999999995</v>
      </c>
      <c r="I196" s="18">
        <v>739.07</v>
      </c>
      <c r="J196" s="18"/>
      <c r="K196" s="18">
        <v>3374.71</v>
      </c>
      <c r="L196" s="19">
        <f t="shared" si="0"/>
        <v>79342.460000000006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124324.72</v>
      </c>
      <c r="G197" s="18">
        <v>31278.959999999999</v>
      </c>
      <c r="H197" s="18">
        <f>11160.22</f>
        <v>11160.22</v>
      </c>
      <c r="I197" s="18">
        <v>1000.68</v>
      </c>
      <c r="J197" s="18"/>
      <c r="K197" s="18">
        <v>979</v>
      </c>
      <c r="L197" s="19">
        <f t="shared" si="0"/>
        <v>168743.58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94229.98</v>
      </c>
      <c r="G199" s="18">
        <v>48087.92</v>
      </c>
      <c r="H199" s="18">
        <f>36882.26+22750.9+8960.16</f>
        <v>68593.320000000007</v>
      </c>
      <c r="I199" s="18">
        <f>71118.38+5912.05+2861.5</f>
        <v>79891.930000000008</v>
      </c>
      <c r="J199" s="18">
        <f>1822.43+18165+355.97</f>
        <v>20343.400000000001</v>
      </c>
      <c r="K199" s="18"/>
      <c r="L199" s="19">
        <f t="shared" si="0"/>
        <v>311146.55000000005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37660+421.6+3675+2935</f>
        <v>44691.6</v>
      </c>
      <c r="I200" s="18"/>
      <c r="J200" s="18"/>
      <c r="K200" s="18"/>
      <c r="L200" s="19">
        <f t="shared" si="0"/>
        <v>44691.6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1312187.21</v>
      </c>
      <c r="G203" s="41">
        <f t="shared" si="1"/>
        <v>519343.70999999996</v>
      </c>
      <c r="H203" s="41">
        <f t="shared" si="1"/>
        <v>350489.73</v>
      </c>
      <c r="I203" s="41">
        <f t="shared" si="1"/>
        <v>135548.65000000002</v>
      </c>
      <c r="J203" s="41">
        <f t="shared" si="1"/>
        <v>37894.79</v>
      </c>
      <c r="K203" s="41">
        <f t="shared" si="1"/>
        <v>5251.71</v>
      </c>
      <c r="L203" s="41">
        <f t="shared" si="1"/>
        <v>2360715.8000000003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1312187.21</v>
      </c>
      <c r="G249" s="41">
        <f t="shared" si="8"/>
        <v>519343.70999999996</v>
      </c>
      <c r="H249" s="41">
        <f t="shared" si="8"/>
        <v>350489.73</v>
      </c>
      <c r="I249" s="41">
        <f t="shared" si="8"/>
        <v>135548.65000000002</v>
      </c>
      <c r="J249" s="41">
        <f t="shared" si="8"/>
        <v>37894.79</v>
      </c>
      <c r="K249" s="41">
        <f t="shared" si="8"/>
        <v>5251.71</v>
      </c>
      <c r="L249" s="41">
        <f t="shared" si="8"/>
        <v>2360715.8000000003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35000</v>
      </c>
      <c r="L255" s="19">
        <f>SUM(F255:K255)</f>
        <v>35000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35000</v>
      </c>
      <c r="L262" s="41">
        <f t="shared" si="9"/>
        <v>35000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1312187.21</v>
      </c>
      <c r="G263" s="42">
        <f t="shared" si="11"/>
        <v>519343.70999999996</v>
      </c>
      <c r="H263" s="42">
        <f t="shared" si="11"/>
        <v>350489.73</v>
      </c>
      <c r="I263" s="42">
        <f t="shared" si="11"/>
        <v>135548.65000000002</v>
      </c>
      <c r="J263" s="42">
        <f t="shared" si="11"/>
        <v>37894.79</v>
      </c>
      <c r="K263" s="42">
        <f t="shared" si="11"/>
        <v>40251.71</v>
      </c>
      <c r="L263" s="42">
        <f t="shared" si="11"/>
        <v>2395715.8000000003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49631.52+15344.26</f>
        <v>64975.78</v>
      </c>
      <c r="G268" s="18">
        <f>7733.19+3629.42+1096.54+2495.42+1676.98+248.16+82.52</f>
        <v>16962.230000000003</v>
      </c>
      <c r="H268" s="18"/>
      <c r="I268" s="18">
        <f>832.02+1880+40+399.15+169.96</f>
        <v>3321.13</v>
      </c>
      <c r="J268" s="18">
        <f>29.47+3627.05</f>
        <v>3656.52</v>
      </c>
      <c r="K268" s="18"/>
      <c r="L268" s="19">
        <f>SUM(F268:K268)</f>
        <v>88915.660000000018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1990</v>
      </c>
      <c r="G271" s="18">
        <f>151.13+111.6</f>
        <v>262.73</v>
      </c>
      <c r="H271" s="18"/>
      <c r="I271" s="18"/>
      <c r="J271" s="18"/>
      <c r="K271" s="18"/>
      <c r="L271" s="19">
        <f>SUM(F271:K271)</f>
        <v>2252.73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3500+2000</f>
        <v>5500</v>
      </c>
      <c r="G273" s="18">
        <f>419.11+91.6+247.4</f>
        <v>758.11</v>
      </c>
      <c r="H273" s="18"/>
      <c r="I273" s="18">
        <v>500</v>
      </c>
      <c r="J273" s="18"/>
      <c r="K273" s="18"/>
      <c r="L273" s="19">
        <f t="shared" ref="L273:L279" si="12">SUM(F273:K273)</f>
        <v>6758.11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1981.45+382.5+1501.59+580+6217.64</f>
        <v>10663.18</v>
      </c>
      <c r="I274" s="18">
        <f>3565.34+2135.02</f>
        <v>5700.3600000000006</v>
      </c>
      <c r="J274" s="18">
        <f>3307.48+33712.24</f>
        <v>37019.72</v>
      </c>
      <c r="K274" s="18"/>
      <c r="L274" s="19">
        <f t="shared" si="12"/>
        <v>53383.26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3065.84</v>
      </c>
      <c r="G275" s="18">
        <f>234.54+229.64+15.32</f>
        <v>479.49999999999994</v>
      </c>
      <c r="H275" s="18"/>
      <c r="I275" s="18"/>
      <c r="J275" s="18"/>
      <c r="K275" s="18">
        <f>1329.11+194.79+724.6+46.59+259.51+612.52</f>
        <v>3167.1200000000003</v>
      </c>
      <c r="L275" s="19">
        <f t="shared" si="12"/>
        <v>6712.4600000000009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75531.62</v>
      </c>
      <c r="G282" s="42">
        <f t="shared" si="13"/>
        <v>18462.570000000003</v>
      </c>
      <c r="H282" s="42">
        <f t="shared" si="13"/>
        <v>10663.18</v>
      </c>
      <c r="I282" s="42">
        <f t="shared" si="13"/>
        <v>9521.4900000000016</v>
      </c>
      <c r="J282" s="42">
        <f t="shared" si="13"/>
        <v>40676.239999999998</v>
      </c>
      <c r="K282" s="42">
        <f t="shared" si="13"/>
        <v>3167.1200000000003</v>
      </c>
      <c r="L282" s="41">
        <f t="shared" si="13"/>
        <v>158022.22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75531.62</v>
      </c>
      <c r="G330" s="41">
        <f t="shared" si="20"/>
        <v>18462.570000000003</v>
      </c>
      <c r="H330" s="41">
        <f t="shared" si="20"/>
        <v>10663.18</v>
      </c>
      <c r="I330" s="41">
        <f t="shared" si="20"/>
        <v>9521.4900000000016</v>
      </c>
      <c r="J330" s="41">
        <f t="shared" si="20"/>
        <v>40676.239999999998</v>
      </c>
      <c r="K330" s="41">
        <f t="shared" si="20"/>
        <v>3167.1200000000003</v>
      </c>
      <c r="L330" s="41">
        <f t="shared" si="20"/>
        <v>158022.22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75531.62</v>
      </c>
      <c r="G344" s="41">
        <f>G330</f>
        <v>18462.570000000003</v>
      </c>
      <c r="H344" s="41">
        <f>H330</f>
        <v>10663.18</v>
      </c>
      <c r="I344" s="41">
        <f>I330</f>
        <v>9521.4900000000016</v>
      </c>
      <c r="J344" s="41">
        <f>J330</f>
        <v>40676.239999999998</v>
      </c>
      <c r="K344" s="47">
        <f>K330+K343</f>
        <v>3167.1200000000003</v>
      </c>
      <c r="L344" s="41">
        <f>L330+L343</f>
        <v>158022.22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25269.31+14421.21</f>
        <v>39690.520000000004</v>
      </c>
      <c r="G350" s="18">
        <f>5728.32+2118.38+1887.06+2314.62+120.63+647.39+1103.21</f>
        <v>13919.61</v>
      </c>
      <c r="H350" s="18"/>
      <c r="I350" s="18">
        <f>1648.38+27342.62</f>
        <v>28991</v>
      </c>
      <c r="J350" s="18"/>
      <c r="K350" s="18"/>
      <c r="L350" s="13">
        <f>SUM(F350:K350)</f>
        <v>82601.13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39690.520000000004</v>
      </c>
      <c r="G354" s="47">
        <f t="shared" si="22"/>
        <v>13919.61</v>
      </c>
      <c r="H354" s="47">
        <f t="shared" si="22"/>
        <v>0</v>
      </c>
      <c r="I354" s="47">
        <f t="shared" si="22"/>
        <v>28991</v>
      </c>
      <c r="J354" s="47">
        <f t="shared" si="22"/>
        <v>0</v>
      </c>
      <c r="K354" s="47">
        <f t="shared" si="22"/>
        <v>0</v>
      </c>
      <c r="L354" s="47">
        <f t="shared" si="22"/>
        <v>82601.13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27342.62</v>
      </c>
      <c r="G359" s="18"/>
      <c r="H359" s="18"/>
      <c r="I359" s="56">
        <f>SUM(F359:H359)</f>
        <v>27342.62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1648.38</v>
      </c>
      <c r="G360" s="63"/>
      <c r="H360" s="63"/>
      <c r="I360" s="56">
        <f>SUM(F360:H360)</f>
        <v>1648.38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28991</v>
      </c>
      <c r="G361" s="47">
        <f>SUM(G359:G360)</f>
        <v>0</v>
      </c>
      <c r="H361" s="47">
        <f>SUM(H359:H360)</f>
        <v>0</v>
      </c>
      <c r="I361" s="47">
        <f>SUM(I359:I360)</f>
        <v>28991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117.59</v>
      </c>
      <c r="I387" s="18"/>
      <c r="J387" s="24" t="s">
        <v>312</v>
      </c>
      <c r="K387" s="24" t="s">
        <v>312</v>
      </c>
      <c r="L387" s="56">
        <f t="shared" ref="L387:L392" si="26">SUM(F387:K387)</f>
        <v>117.59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277.64999999999998</v>
      </c>
      <c r="I389" s="18"/>
      <c r="J389" s="24" t="s">
        <v>312</v>
      </c>
      <c r="K389" s="24" t="s">
        <v>312</v>
      </c>
      <c r="L389" s="56">
        <f t="shared" si="26"/>
        <v>277.64999999999998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395.24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395.24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395.24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395.24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f>44852.09+65993.73</f>
        <v>110845.81999999999</v>
      </c>
      <c r="H431" s="18"/>
      <c r="I431" s="56">
        <f t="shared" ref="I431:I437" si="33">SUM(F431:H431)</f>
        <v>110845.81999999999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110845.81999999999</v>
      </c>
      <c r="H438" s="13">
        <f>SUM(H431:H437)</f>
        <v>0</v>
      </c>
      <c r="I438" s="13">
        <f>SUM(I431:I437)</f>
        <v>110845.81999999999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110845.82</v>
      </c>
      <c r="H449" s="18"/>
      <c r="I449" s="56">
        <f>SUM(F449:H449)</f>
        <v>110845.82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110845.82</v>
      </c>
      <c r="H450" s="83">
        <f>SUM(H446:H449)</f>
        <v>0</v>
      </c>
      <c r="I450" s="83">
        <f>SUM(I446:I449)</f>
        <v>110845.82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110845.82</v>
      </c>
      <c r="H451" s="42">
        <f>H444+H450</f>
        <v>0</v>
      </c>
      <c r="I451" s="42">
        <f>I444+I450</f>
        <v>110845.82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251137.66</v>
      </c>
      <c r="G455" s="18">
        <v>-16623.490000000002</v>
      </c>
      <c r="H455" s="18">
        <v>4529.76</v>
      </c>
      <c r="I455" s="18">
        <v>0</v>
      </c>
      <c r="J455" s="18">
        <v>110450.58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2336513.31</v>
      </c>
      <c r="G458" s="18">
        <f>G185</f>
        <v>101191.67999999999</v>
      </c>
      <c r="H458" s="18">
        <f>H185</f>
        <v>157845.4</v>
      </c>
      <c r="I458" s="18"/>
      <c r="J458" s="18">
        <f>117.59+277.65</f>
        <v>395.24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2336513.31</v>
      </c>
      <c r="G460" s="53">
        <f>SUM(G458:G459)</f>
        <v>101191.67999999999</v>
      </c>
      <c r="H460" s="53">
        <f>SUM(H458:H459)</f>
        <v>157845.4</v>
      </c>
      <c r="I460" s="53">
        <f>SUM(I458:I459)</f>
        <v>0</v>
      </c>
      <c r="J460" s="53">
        <f>SUM(J458:J459)</f>
        <v>395.24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2395715.8000000003</v>
      </c>
      <c r="G462" s="18">
        <f>L354</f>
        <v>82601.13</v>
      </c>
      <c r="H462" s="18">
        <f>L344</f>
        <v>158022.22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2395715.8000000003</v>
      </c>
      <c r="G464" s="53">
        <f>SUM(G462:G463)</f>
        <v>82601.13</v>
      </c>
      <c r="H464" s="53">
        <f>SUM(H462:H463)</f>
        <v>158022.22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191935.16999999993</v>
      </c>
      <c r="G466" s="53">
        <f>(G455+G460)- G464</f>
        <v>1967.0599999999831</v>
      </c>
      <c r="H466" s="53">
        <f>(H455+H460)- H464</f>
        <v>4352.9400000000023</v>
      </c>
      <c r="I466" s="53">
        <f>(I455+I460)- I464</f>
        <v>0</v>
      </c>
      <c r="J466" s="53">
        <f>(J455+J460)- J464</f>
        <v>110845.82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F190</f>
        <v>110548.21</v>
      </c>
      <c r="G511" s="18">
        <f t="shared" si="35"/>
        <v>52750.57</v>
      </c>
      <c r="H511" s="18">
        <f t="shared" si="35"/>
        <v>63666.57</v>
      </c>
      <c r="I511" s="18">
        <f t="shared" si="35"/>
        <v>2143.29</v>
      </c>
      <c r="J511" s="18">
        <f t="shared" si="35"/>
        <v>942.73</v>
      </c>
      <c r="K511" s="18">
        <f t="shared" si="35"/>
        <v>64</v>
      </c>
      <c r="L511" s="88">
        <f>SUM(F511:K511)</f>
        <v>230115.37000000002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110548.21</v>
      </c>
      <c r="G514" s="108">
        <f t="shared" ref="G514:L514" si="36">SUM(G511:G513)</f>
        <v>52750.57</v>
      </c>
      <c r="H514" s="108">
        <f t="shared" si="36"/>
        <v>63666.57</v>
      </c>
      <c r="I514" s="108">
        <f t="shared" si="36"/>
        <v>2143.29</v>
      </c>
      <c r="J514" s="108">
        <f t="shared" si="36"/>
        <v>942.73</v>
      </c>
      <c r="K514" s="108">
        <f t="shared" si="36"/>
        <v>64</v>
      </c>
      <c r="L514" s="89">
        <f t="shared" si="36"/>
        <v>230115.37000000002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34976.81</v>
      </c>
      <c r="G516" s="18">
        <v>9239.68</v>
      </c>
      <c r="H516" s="18">
        <v>49251.99</v>
      </c>
      <c r="I516" s="18">
        <v>673.88</v>
      </c>
      <c r="J516" s="18">
        <v>394.82</v>
      </c>
      <c r="K516" s="18">
        <v>49.2</v>
      </c>
      <c r="L516" s="88">
        <f>SUM(F516:K516)</f>
        <v>94586.38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34976.81</v>
      </c>
      <c r="G519" s="89">
        <f t="shared" ref="G519:L519" si="37">SUM(G516:G518)</f>
        <v>9239.68</v>
      </c>
      <c r="H519" s="89">
        <f t="shared" si="37"/>
        <v>49251.99</v>
      </c>
      <c r="I519" s="89">
        <f t="shared" si="37"/>
        <v>673.88</v>
      </c>
      <c r="J519" s="89">
        <f t="shared" si="37"/>
        <v>394.82</v>
      </c>
      <c r="K519" s="89">
        <f t="shared" si="37"/>
        <v>49.2</v>
      </c>
      <c r="L519" s="89">
        <f t="shared" si="37"/>
        <v>94586.38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10620.92</v>
      </c>
      <c r="I521" s="18"/>
      <c r="J521" s="18"/>
      <c r="K521" s="18"/>
      <c r="L521" s="88">
        <f>SUM(F521:K521)</f>
        <v>10620.92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8">SUM(G521:G523)</f>
        <v>0</v>
      </c>
      <c r="H524" s="89">
        <f t="shared" si="38"/>
        <v>10620.92</v>
      </c>
      <c r="I524" s="89">
        <f t="shared" si="38"/>
        <v>0</v>
      </c>
      <c r="J524" s="89">
        <f t="shared" si="38"/>
        <v>0</v>
      </c>
      <c r="K524" s="89">
        <f t="shared" si="38"/>
        <v>0</v>
      </c>
      <c r="L524" s="89">
        <f t="shared" si="38"/>
        <v>10620.92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9">SUM(G526:G528)</f>
        <v>0</v>
      </c>
      <c r="H529" s="89">
        <f t="shared" si="39"/>
        <v>0</v>
      </c>
      <c r="I529" s="89">
        <f t="shared" si="39"/>
        <v>0</v>
      </c>
      <c r="J529" s="89">
        <f t="shared" si="39"/>
        <v>0</v>
      </c>
      <c r="K529" s="89">
        <f t="shared" si="39"/>
        <v>0</v>
      </c>
      <c r="L529" s="89">
        <f t="shared" si="39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421.6</v>
      </c>
      <c r="I531" s="18"/>
      <c r="J531" s="18"/>
      <c r="K531" s="18"/>
      <c r="L531" s="88">
        <f>SUM(F531:K531)</f>
        <v>421.6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0">SUM(G531:G533)</f>
        <v>0</v>
      </c>
      <c r="H534" s="194">
        <f t="shared" si="40"/>
        <v>421.6</v>
      </c>
      <c r="I534" s="194">
        <f t="shared" si="40"/>
        <v>0</v>
      </c>
      <c r="J534" s="194">
        <f t="shared" si="40"/>
        <v>0</v>
      </c>
      <c r="K534" s="194">
        <f t="shared" si="40"/>
        <v>0</v>
      </c>
      <c r="L534" s="194">
        <f t="shared" si="40"/>
        <v>421.6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145525.02000000002</v>
      </c>
      <c r="G535" s="89">
        <f t="shared" ref="G535:L535" si="41">G514+G519+G524+G529+G534</f>
        <v>61990.25</v>
      </c>
      <c r="H535" s="89">
        <f t="shared" si="41"/>
        <v>123961.08</v>
      </c>
      <c r="I535" s="89">
        <f t="shared" si="41"/>
        <v>2817.17</v>
      </c>
      <c r="J535" s="89">
        <f t="shared" si="41"/>
        <v>1337.55</v>
      </c>
      <c r="K535" s="89">
        <f t="shared" si="41"/>
        <v>113.2</v>
      </c>
      <c r="L535" s="89">
        <f t="shared" si="41"/>
        <v>335744.26999999996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230115.37000000002</v>
      </c>
      <c r="G539" s="87">
        <f>L516</f>
        <v>94586.38</v>
      </c>
      <c r="H539" s="87">
        <f>L521</f>
        <v>10620.92</v>
      </c>
      <c r="I539" s="87">
        <f>L526</f>
        <v>0</v>
      </c>
      <c r="J539" s="87">
        <f>L531</f>
        <v>421.6</v>
      </c>
      <c r="K539" s="87">
        <f>SUM(F539:J539)</f>
        <v>335744.26999999996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2">SUM(F539:F541)</f>
        <v>230115.37000000002</v>
      </c>
      <c r="G542" s="89">
        <f t="shared" si="42"/>
        <v>94586.38</v>
      </c>
      <c r="H542" s="89">
        <f t="shared" si="42"/>
        <v>10620.92</v>
      </c>
      <c r="I542" s="89">
        <f t="shared" si="42"/>
        <v>0</v>
      </c>
      <c r="J542" s="89">
        <f t="shared" si="42"/>
        <v>421.6</v>
      </c>
      <c r="K542" s="89">
        <f t="shared" si="42"/>
        <v>335744.26999999996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3">SUM(F547:F549)</f>
        <v>0</v>
      </c>
      <c r="G550" s="108">
        <f t="shared" si="43"/>
        <v>0</v>
      </c>
      <c r="H550" s="108">
        <f t="shared" si="43"/>
        <v>0</v>
      </c>
      <c r="I550" s="108">
        <f t="shared" si="43"/>
        <v>0</v>
      </c>
      <c r="J550" s="108">
        <f t="shared" si="43"/>
        <v>0</v>
      </c>
      <c r="K550" s="108">
        <f t="shared" si="43"/>
        <v>0</v>
      </c>
      <c r="L550" s="89">
        <f t="shared" si="43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17881.96</v>
      </c>
      <c r="I552" s="18"/>
      <c r="J552" s="18"/>
      <c r="K552" s="18"/>
      <c r="L552" s="88">
        <f>SUM(F552:K552)</f>
        <v>17881.96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4">SUM(F552:F554)</f>
        <v>0</v>
      </c>
      <c r="G555" s="89">
        <f t="shared" si="44"/>
        <v>0</v>
      </c>
      <c r="H555" s="89">
        <f t="shared" si="44"/>
        <v>17881.96</v>
      </c>
      <c r="I555" s="89">
        <f t="shared" si="44"/>
        <v>0</v>
      </c>
      <c r="J555" s="89">
        <f t="shared" si="44"/>
        <v>0</v>
      </c>
      <c r="K555" s="89">
        <f t="shared" si="44"/>
        <v>0</v>
      </c>
      <c r="L555" s="89">
        <f t="shared" si="44"/>
        <v>17881.96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5">SUM(G557:G559)</f>
        <v>0</v>
      </c>
      <c r="H560" s="194">
        <f t="shared" si="45"/>
        <v>0</v>
      </c>
      <c r="I560" s="194">
        <f t="shared" si="45"/>
        <v>0</v>
      </c>
      <c r="J560" s="194">
        <f t="shared" si="45"/>
        <v>0</v>
      </c>
      <c r="K560" s="194">
        <f t="shared" si="45"/>
        <v>0</v>
      </c>
      <c r="L560" s="194">
        <f t="shared" si="45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6">G550+G555+G560</f>
        <v>0</v>
      </c>
      <c r="H561" s="89">
        <f t="shared" si="46"/>
        <v>17881.96</v>
      </c>
      <c r="I561" s="89">
        <f t="shared" si="46"/>
        <v>0</v>
      </c>
      <c r="J561" s="89">
        <f t="shared" si="46"/>
        <v>0</v>
      </c>
      <c r="K561" s="89">
        <f t="shared" si="46"/>
        <v>0</v>
      </c>
      <c r="L561" s="89">
        <f t="shared" si="46"/>
        <v>17881.96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7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7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7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7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7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7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7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7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7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7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7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37660</v>
      </c>
      <c r="I581" s="18"/>
      <c r="J581" s="18"/>
      <c r="K581" s="104">
        <f t="shared" ref="K581:K587" si="48">SUM(H581:J581)</f>
        <v>37660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421.6</v>
      </c>
      <c r="I582" s="18"/>
      <c r="J582" s="18"/>
      <c r="K582" s="104">
        <f t="shared" si="48"/>
        <v>421.6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8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3675</v>
      </c>
      <c r="I584" s="18"/>
      <c r="J584" s="18"/>
      <c r="K584" s="104">
        <f t="shared" si="48"/>
        <v>3675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2935</v>
      </c>
      <c r="I585" s="18"/>
      <c r="J585" s="18"/>
      <c r="K585" s="104">
        <f t="shared" si="48"/>
        <v>2935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8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8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44691.6</v>
      </c>
      <c r="I588" s="108">
        <f>SUM(I581:I587)</f>
        <v>0</v>
      </c>
      <c r="J588" s="108">
        <f>SUM(J581:J587)</f>
        <v>0</v>
      </c>
      <c r="K588" s="108">
        <f>SUM(K581:K587)</f>
        <v>44691.6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78571.03</v>
      </c>
      <c r="I594" s="18"/>
      <c r="J594" s="18"/>
      <c r="K594" s="104">
        <f>SUM(H594:J594)</f>
        <v>78571.03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78571.03</v>
      </c>
      <c r="I595" s="108">
        <f>SUM(I592:I594)</f>
        <v>0</v>
      </c>
      <c r="J595" s="108">
        <f>SUM(J592:J594)</f>
        <v>0</v>
      </c>
      <c r="K595" s="108">
        <f>SUM(K592:K594)</f>
        <v>78571.03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1990</v>
      </c>
      <c r="G601" s="18">
        <f>151.13+111.6</f>
        <v>262.73</v>
      </c>
      <c r="H601" s="18"/>
      <c r="I601" s="18"/>
      <c r="J601" s="18"/>
      <c r="K601" s="18"/>
      <c r="L601" s="88">
        <f>SUM(F601:K601)</f>
        <v>2252.73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9">SUM(F601:F603)</f>
        <v>1990</v>
      </c>
      <c r="G604" s="108">
        <f t="shared" si="49"/>
        <v>262.73</v>
      </c>
      <c r="H604" s="108">
        <f t="shared" si="49"/>
        <v>0</v>
      </c>
      <c r="I604" s="108">
        <f t="shared" si="49"/>
        <v>0</v>
      </c>
      <c r="J604" s="108">
        <f t="shared" si="49"/>
        <v>0</v>
      </c>
      <c r="K604" s="108">
        <f t="shared" si="49"/>
        <v>0</v>
      </c>
      <c r="L604" s="89">
        <f t="shared" si="49"/>
        <v>2252.73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620947.38</v>
      </c>
      <c r="H607" s="109">
        <f>SUM(F44)</f>
        <v>620947.37999999989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214810.44999999998</v>
      </c>
      <c r="H608" s="109">
        <f>SUM(G44)</f>
        <v>214810.44999999998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257808.54</v>
      </c>
      <c r="H609" s="109">
        <f>SUM(H44)</f>
        <v>257808.54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110845.81999999999</v>
      </c>
      <c r="H611" s="109">
        <f>SUM(J44)</f>
        <v>110845.82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191935.16999999998</v>
      </c>
      <c r="H612" s="109">
        <f>F466</f>
        <v>191935.16999999993</v>
      </c>
      <c r="I612" s="121" t="s">
        <v>106</v>
      </c>
      <c r="J612" s="109">
        <f t="shared" ref="J612:J645" si="50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1967.06</v>
      </c>
      <c r="H613" s="109">
        <f>G466</f>
        <v>1967.0599999999831</v>
      </c>
      <c r="I613" s="121" t="s">
        <v>108</v>
      </c>
      <c r="J613" s="109">
        <f t="shared" si="50"/>
        <v>1.6825651982799172E-11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4352.9399999999996</v>
      </c>
      <c r="H614" s="109">
        <f>H466</f>
        <v>4352.9400000000023</v>
      </c>
      <c r="I614" s="121" t="s">
        <v>110</v>
      </c>
      <c r="J614" s="109">
        <f t="shared" si="50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50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110845.82</v>
      </c>
      <c r="H616" s="109">
        <f>J466</f>
        <v>110845.82</v>
      </c>
      <c r="I616" s="140" t="s">
        <v>114</v>
      </c>
      <c r="J616" s="109">
        <f t="shared" si="50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2336513.31</v>
      </c>
      <c r="H617" s="104">
        <f>SUM(F458)</f>
        <v>2336513.31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101191.67999999999</v>
      </c>
      <c r="H618" s="104">
        <f>SUM(G458)</f>
        <v>101191.67999999999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157845.4</v>
      </c>
      <c r="H619" s="104">
        <f>SUM(H458)</f>
        <v>157845.4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395.24</v>
      </c>
      <c r="H621" s="104">
        <f>SUM(J458)</f>
        <v>395.24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2395715.8000000003</v>
      </c>
      <c r="H622" s="104">
        <f>SUM(F462)</f>
        <v>2395715.8000000003</v>
      </c>
      <c r="I622" s="140" t="s">
        <v>120</v>
      </c>
      <c r="J622" s="109">
        <f t="shared" si="50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158022.22</v>
      </c>
      <c r="H623" s="104">
        <f>SUM(H462)</f>
        <v>158022.22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28991</v>
      </c>
      <c r="H624" s="104">
        <f>I361</f>
        <v>28991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82601.13</v>
      </c>
      <c r="H625" s="104">
        <f>SUM(G462)</f>
        <v>82601.13</v>
      </c>
      <c r="I625" s="140" t="s">
        <v>123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50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395.24</v>
      </c>
      <c r="H627" s="164">
        <f>SUM(J458)</f>
        <v>395.24</v>
      </c>
      <c r="I627" s="165" t="s">
        <v>119</v>
      </c>
      <c r="J627" s="151">
        <f t="shared" si="50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50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50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110845.81999999999</v>
      </c>
      <c r="H630" s="104">
        <f>SUM(G451)</f>
        <v>110845.82</v>
      </c>
      <c r="I630" s="140" t="s">
        <v>130</v>
      </c>
      <c r="J630" s="109">
        <f t="shared" si="50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110845.81999999999</v>
      </c>
      <c r="H632" s="104">
        <f>SUM(I451)</f>
        <v>110845.82</v>
      </c>
      <c r="I632" s="140" t="s">
        <v>134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0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395.24</v>
      </c>
      <c r="H634" s="104">
        <f>H400</f>
        <v>395.24</v>
      </c>
      <c r="I634" s="140" t="s">
        <v>504</v>
      </c>
      <c r="J634" s="109">
        <f t="shared" si="50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50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395.24</v>
      </c>
      <c r="H636" s="104">
        <f>L400</f>
        <v>395.24</v>
      </c>
      <c r="I636" s="140" t="s">
        <v>501</v>
      </c>
      <c r="J636" s="109">
        <f t="shared" si="50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44691.6</v>
      </c>
      <c r="H637" s="104">
        <f>L200+L218+L236</f>
        <v>44691.6</v>
      </c>
      <c r="I637" s="140" t="s">
        <v>420</v>
      </c>
      <c r="J637" s="109">
        <f t="shared" si="50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78571.03</v>
      </c>
      <c r="H638" s="104">
        <f>(J249+J330)-(J247+J328)</f>
        <v>78571.03</v>
      </c>
      <c r="I638" s="140" t="s">
        <v>734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44691.6</v>
      </c>
      <c r="H639" s="104">
        <f>H588</f>
        <v>44691.6</v>
      </c>
      <c r="I639" s="140" t="s">
        <v>412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35000</v>
      </c>
      <c r="H642" s="104">
        <f>K255+K337</f>
        <v>35000</v>
      </c>
      <c r="I642" s="140" t="s">
        <v>421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2601339.1500000004</v>
      </c>
      <c r="G650" s="19">
        <f>(L221+L301+L351)</f>
        <v>0</v>
      </c>
      <c r="H650" s="19">
        <f>(L239+L320+L352)</f>
        <v>0</v>
      </c>
      <c r="I650" s="19">
        <f>SUM(F650:H650)</f>
        <v>2601339.1500000004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28125.73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28125.73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44691.6</v>
      </c>
      <c r="G652" s="19">
        <f>(L218+L298)-(J218+J298)</f>
        <v>0</v>
      </c>
      <c r="H652" s="19">
        <f>(L236+L317)-(J236+J317)</f>
        <v>0</v>
      </c>
      <c r="I652" s="19">
        <f>SUM(F652:H652)</f>
        <v>44691.6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80823.759999999995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80823.759999999995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2447698.0600000005</v>
      </c>
      <c r="G654" s="19">
        <f>G650-SUM(G651:G653)</f>
        <v>0</v>
      </c>
      <c r="H654" s="19">
        <f>H650-SUM(H651:H653)</f>
        <v>0</v>
      </c>
      <c r="I654" s="19">
        <f>I650-SUM(I651:I653)</f>
        <v>2447698.0600000005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151.63</v>
      </c>
      <c r="G655" s="249"/>
      <c r="H655" s="249"/>
      <c r="I655" s="19">
        <f>SUM(F655:H655)</f>
        <v>151.63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16142.57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16142.57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16142.57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16142.57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8C2E-9AE7-4BC6-9F3E-6D967EEF270B}">
  <sheetPr>
    <tabColor indexed="20"/>
  </sheetPr>
  <dimension ref="A1:C52"/>
  <sheetViews>
    <sheetView topLeftCell="A4" workbookViewId="0">
      <selection activeCell="F36" sqref="F3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ASHLAND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832909.75</v>
      </c>
      <c r="C9" s="230">
        <f>'DOE25'!G189+'DOE25'!G207+'DOE25'!G225+'DOE25'!G268+'DOE25'!G287+'DOE25'!G306</f>
        <v>333135.95999999996</v>
      </c>
    </row>
    <row r="10" spans="1:3" x14ac:dyDescent="0.2">
      <c r="A10" t="s">
        <v>813</v>
      </c>
      <c r="B10" s="241">
        <v>794633.7</v>
      </c>
      <c r="C10" s="241">
        <v>313243</v>
      </c>
    </row>
    <row r="11" spans="1:3" x14ac:dyDescent="0.2">
      <c r="A11" t="s">
        <v>814</v>
      </c>
      <c r="B11" s="241">
        <v>30102.05</v>
      </c>
      <c r="C11" s="241">
        <v>19177.740000000002</v>
      </c>
    </row>
    <row r="12" spans="1:3" x14ac:dyDescent="0.2">
      <c r="A12" t="s">
        <v>815</v>
      </c>
      <c r="B12" s="241">
        <v>8174</v>
      </c>
      <c r="C12" s="241">
        <v>715.22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832909.75</v>
      </c>
      <c r="C13" s="232">
        <f>SUM(C10:C12)</f>
        <v>333135.95999999996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110548.21</v>
      </c>
      <c r="C18" s="230">
        <f>'DOE25'!G190+'DOE25'!G208+'DOE25'!G226+'DOE25'!G269+'DOE25'!G288+'DOE25'!G307</f>
        <v>52750.57</v>
      </c>
    </row>
    <row r="19" spans="1:3" x14ac:dyDescent="0.2">
      <c r="A19" t="s">
        <v>813</v>
      </c>
      <c r="B19" s="241">
        <v>47767</v>
      </c>
      <c r="C19" s="241">
        <v>32162.400000000001</v>
      </c>
    </row>
    <row r="20" spans="1:3" x14ac:dyDescent="0.2">
      <c r="A20" t="s">
        <v>814</v>
      </c>
      <c r="B20" s="241">
        <v>62134.33</v>
      </c>
      <c r="C20" s="241">
        <v>20531.57</v>
      </c>
    </row>
    <row r="21" spans="1:3" x14ac:dyDescent="0.2">
      <c r="A21" t="s">
        <v>815</v>
      </c>
      <c r="B21" s="241">
        <v>646.88</v>
      </c>
      <c r="C21" s="241">
        <v>56.6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110548.21</v>
      </c>
      <c r="C22" s="232">
        <f>SUM(C19:C21)</f>
        <v>52750.57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24840</v>
      </c>
      <c r="C36" s="236">
        <f>'DOE25'!G192+'DOE25'!G210+'DOE25'!G228+'DOE25'!G271+'DOE25'!G290+'DOE25'!G309</f>
        <v>3801.35</v>
      </c>
    </row>
    <row r="37" spans="1:3" x14ac:dyDescent="0.2">
      <c r="A37" t="s">
        <v>813</v>
      </c>
      <c r="B37" s="241">
        <v>1990</v>
      </c>
      <c r="C37" s="241">
        <v>313.23</v>
      </c>
    </row>
    <row r="38" spans="1:3" x14ac:dyDescent="0.2">
      <c r="A38" t="s">
        <v>814</v>
      </c>
      <c r="B38" s="241">
        <v>0</v>
      </c>
      <c r="C38" s="241">
        <v>0</v>
      </c>
    </row>
    <row r="39" spans="1:3" x14ac:dyDescent="0.2">
      <c r="A39" t="s">
        <v>815</v>
      </c>
      <c r="B39" s="241">
        <v>22850</v>
      </c>
      <c r="C39" s="241">
        <v>3488.12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24840</v>
      </c>
      <c r="C40" s="232">
        <f>SUM(C37:C39)</f>
        <v>3801.35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AAB1-82D9-4188-8E40-CE62693C5AE7}">
  <sheetPr>
    <tabColor indexed="11"/>
  </sheetPr>
  <dimension ref="A1:I51"/>
  <sheetViews>
    <sheetView workbookViewId="0">
      <pane ySplit="4" topLeftCell="A5" activePane="bottomLeft" state="frozen"/>
      <selection pane="bottomLeft" activeCell="D35" sqref="D3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ASHLAND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1399245.35</v>
      </c>
      <c r="D5" s="20">
        <f>SUM('DOE25'!L189:L192)+SUM('DOE25'!L207:L210)+SUM('DOE25'!L225:L228)-F5-G5</f>
        <v>1391215.1300000001</v>
      </c>
      <c r="E5" s="244"/>
      <c r="F5" s="256">
        <f>SUM('DOE25'!J189:J192)+SUM('DOE25'!J207:J210)+SUM('DOE25'!J225:J228)</f>
        <v>7437.2199999999993</v>
      </c>
      <c r="G5" s="53">
        <f>SUM('DOE25'!K189:K192)+SUM('DOE25'!K207:K210)+SUM('DOE25'!K225:K228)</f>
        <v>593</v>
      </c>
      <c r="H5" s="260"/>
    </row>
    <row r="6" spans="1:9" x14ac:dyDescent="0.2">
      <c r="A6" s="32">
        <v>2100</v>
      </c>
      <c r="B6" t="s">
        <v>835</v>
      </c>
      <c r="C6" s="246">
        <f t="shared" si="0"/>
        <v>221507.49</v>
      </c>
      <c r="D6" s="20">
        <f>'DOE25'!L194+'DOE25'!L212+'DOE25'!L230-F6-G6</f>
        <v>220925.18</v>
      </c>
      <c r="E6" s="244"/>
      <c r="F6" s="256">
        <f>'DOE25'!J194+'DOE25'!J212+'DOE25'!J230</f>
        <v>336.31</v>
      </c>
      <c r="G6" s="53">
        <f>'DOE25'!K194+'DOE25'!K212+'DOE25'!K230</f>
        <v>246</v>
      </c>
      <c r="H6" s="260"/>
    </row>
    <row r="7" spans="1:9" x14ac:dyDescent="0.2">
      <c r="A7" s="32">
        <v>2200</v>
      </c>
      <c r="B7" t="s">
        <v>868</v>
      </c>
      <c r="C7" s="246">
        <f t="shared" si="0"/>
        <v>136038.76999999999</v>
      </c>
      <c r="D7" s="20">
        <f>'DOE25'!L195+'DOE25'!L213+'DOE25'!L231-F7-G7</f>
        <v>126201.90999999999</v>
      </c>
      <c r="E7" s="244"/>
      <c r="F7" s="256">
        <f>'DOE25'!J195+'DOE25'!J213+'DOE25'!J231</f>
        <v>9777.86</v>
      </c>
      <c r="G7" s="53">
        <f>'DOE25'!K195+'DOE25'!K213+'DOE25'!K231</f>
        <v>59</v>
      </c>
      <c r="H7" s="260"/>
    </row>
    <row r="8" spans="1:9" x14ac:dyDescent="0.2">
      <c r="A8" s="32">
        <v>2300</v>
      </c>
      <c r="B8" t="s">
        <v>836</v>
      </c>
      <c r="C8" s="246">
        <f t="shared" si="0"/>
        <v>44769.54</v>
      </c>
      <c r="D8" s="244"/>
      <c r="E8" s="20">
        <f>'DOE25'!L196+'DOE25'!L214+'DOE25'!L232-F8-G8-D9-D11</f>
        <v>41394.83</v>
      </c>
      <c r="F8" s="256">
        <f>'DOE25'!J196+'DOE25'!J214+'DOE25'!J232</f>
        <v>0</v>
      </c>
      <c r="G8" s="53">
        <f>'DOE25'!K196+'DOE25'!K214+'DOE25'!K232</f>
        <v>3374.71</v>
      </c>
      <c r="H8" s="260"/>
    </row>
    <row r="9" spans="1:9" x14ac:dyDescent="0.2">
      <c r="A9" s="32">
        <v>2310</v>
      </c>
      <c r="B9" t="s">
        <v>852</v>
      </c>
      <c r="C9" s="246">
        <f t="shared" si="0"/>
        <v>6124.19</v>
      </c>
      <c r="D9" s="245">
        <v>6124.19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8250</v>
      </c>
      <c r="D10" s="244"/>
      <c r="E10" s="245">
        <v>8250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28448.73</v>
      </c>
      <c r="D11" s="245">
        <v>28448.73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168743.58</v>
      </c>
      <c r="D12" s="20">
        <f>'DOE25'!L197+'DOE25'!L215+'DOE25'!L233-F12-G12</f>
        <v>167764.57999999999</v>
      </c>
      <c r="E12" s="244"/>
      <c r="F12" s="256">
        <f>'DOE25'!J197+'DOE25'!J215+'DOE25'!J233</f>
        <v>0</v>
      </c>
      <c r="G12" s="53">
        <f>'DOE25'!K197+'DOE25'!K215+'DOE25'!K233</f>
        <v>979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311146.55000000005</v>
      </c>
      <c r="D14" s="20">
        <f>'DOE25'!L199+'DOE25'!L217+'DOE25'!L235-F14-G14</f>
        <v>290803.15000000002</v>
      </c>
      <c r="E14" s="244"/>
      <c r="F14" s="256">
        <f>'DOE25'!J199+'DOE25'!J217+'DOE25'!J235</f>
        <v>20343.400000000001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44691.6</v>
      </c>
      <c r="D15" s="20">
        <f>'DOE25'!L200+'DOE25'!L218+'DOE25'!L236-F15-G15</f>
        <v>44691.6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55258.510000000009</v>
      </c>
      <c r="D29" s="20">
        <f>'DOE25'!L350+'DOE25'!L351+'DOE25'!L352-'DOE25'!I359-F29-G29</f>
        <v>55258.510000000009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158022.22</v>
      </c>
      <c r="D31" s="20">
        <f>'DOE25'!L282+'DOE25'!L301+'DOE25'!L320+'DOE25'!L325+'DOE25'!L326+'DOE25'!L327-F31-G31</f>
        <v>114178.86000000002</v>
      </c>
      <c r="E31" s="244"/>
      <c r="F31" s="256">
        <f>'DOE25'!J282+'DOE25'!J301+'DOE25'!J320+'DOE25'!J325+'DOE25'!J326+'DOE25'!J327</f>
        <v>40676.239999999998</v>
      </c>
      <c r="G31" s="53">
        <f>'DOE25'!K282+'DOE25'!K301+'DOE25'!K320+'DOE25'!K325+'DOE25'!K326+'DOE25'!K327</f>
        <v>3167.1200000000003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2445611.8400000003</v>
      </c>
      <c r="E33" s="247">
        <f>SUM(E5:E31)</f>
        <v>49644.83</v>
      </c>
      <c r="F33" s="247">
        <f>SUM(F5:F31)</f>
        <v>78571.03</v>
      </c>
      <c r="G33" s="247">
        <f>SUM(G5:G31)</f>
        <v>8418.83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49644.83</v>
      </c>
      <c r="E35" s="250"/>
    </row>
    <row r="36" spans="2:8" ht="12" thickTop="1" x14ac:dyDescent="0.2">
      <c r="B36" t="s">
        <v>849</v>
      </c>
      <c r="D36" s="20">
        <f>D33</f>
        <v>2445611.8400000003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14E8-BB31-478D-A1DD-FF31471F500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D48" sqref="D48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ASHLAND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45941.1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110845.81999999999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463970.46</v>
      </c>
      <c r="D12" s="95">
        <f>'DOE25'!G12</f>
        <v>205181.41</v>
      </c>
      <c r="E12" s="95">
        <f>'DOE25'!H12</f>
        <v>196457.73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101516.5</v>
      </c>
      <c r="D13" s="95">
        <f>'DOE25'!G13</f>
        <v>9622.4599999999991</v>
      </c>
      <c r="E13" s="95">
        <f>'DOE25'!H13</f>
        <v>61350.81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9519.32</v>
      </c>
      <c r="D14" s="95">
        <f>'DOE25'!G14</f>
        <v>6.58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620947.38</v>
      </c>
      <c r="D19" s="41">
        <f>SUM(D9:D18)</f>
        <v>214810.44999999998</v>
      </c>
      <c r="E19" s="41">
        <f>SUM(E9:E18)</f>
        <v>257808.54</v>
      </c>
      <c r="F19" s="41">
        <f>SUM(F9:F18)</f>
        <v>0</v>
      </c>
      <c r="G19" s="41">
        <f>SUM(G9:G18)</f>
        <v>110845.81999999999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401639.14</v>
      </c>
      <c r="D22" s="95">
        <f>'DOE25'!G23</f>
        <v>212631.55</v>
      </c>
      <c r="E22" s="95">
        <f>'DOE25'!H23</f>
        <v>251338.91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19014.560000000001</v>
      </c>
      <c r="D24" s="95">
        <f>'DOE25'!G25</f>
        <v>211.84</v>
      </c>
      <c r="E24" s="95">
        <f>'DOE25'!H25</f>
        <v>2116.69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1413.04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6945.47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429012.20999999996</v>
      </c>
      <c r="D32" s="41">
        <f>SUM(D22:D31)</f>
        <v>212843.38999999998</v>
      </c>
      <c r="E32" s="41">
        <f>SUM(E22:E31)</f>
        <v>253455.6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11768.87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1967.06</v>
      </c>
      <c r="E40" s="95">
        <f>'DOE25'!H41</f>
        <v>4352.9399999999996</v>
      </c>
      <c r="F40" s="95">
        <f>'DOE25'!I41</f>
        <v>0</v>
      </c>
      <c r="G40" s="95">
        <f>'DOE25'!J41</f>
        <v>110845.82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180166.3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191935.16999999998</v>
      </c>
      <c r="D42" s="41">
        <f>SUM(D34:D41)</f>
        <v>1967.06</v>
      </c>
      <c r="E42" s="41">
        <f>SUM(E34:E41)</f>
        <v>4352.9399999999996</v>
      </c>
      <c r="F42" s="41">
        <f>SUM(F34:F41)</f>
        <v>0</v>
      </c>
      <c r="G42" s="41">
        <f>SUM(G34:G41)</f>
        <v>110845.82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620947.37999999989</v>
      </c>
      <c r="D43" s="41">
        <f>D42+D32</f>
        <v>214810.44999999998</v>
      </c>
      <c r="E43" s="41">
        <f>E42+E32</f>
        <v>257808.54</v>
      </c>
      <c r="F43" s="41">
        <f>F42+F32</f>
        <v>0</v>
      </c>
      <c r="G43" s="41">
        <f>G42+G32</f>
        <v>110845.82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1485095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7156.8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1639.54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395.24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28125.73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853.32</v>
      </c>
      <c r="D53" s="95">
        <f>SUM('DOE25'!G90:G102)</f>
        <v>0</v>
      </c>
      <c r="E53" s="95">
        <f>SUM('DOE25'!H90:H102)</f>
        <v>3450.23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9649.66</v>
      </c>
      <c r="D54" s="130">
        <f>SUM(D49:D53)</f>
        <v>28125.73</v>
      </c>
      <c r="E54" s="130">
        <f>SUM(E49:E53)</f>
        <v>3450.23</v>
      </c>
      <c r="F54" s="130">
        <f>SUM(F49:F53)</f>
        <v>0</v>
      </c>
      <c r="G54" s="130">
        <f>SUM(G49:G53)</f>
        <v>395.24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1494744.66</v>
      </c>
      <c r="D55" s="22">
        <f>D48+D54</f>
        <v>28125.73</v>
      </c>
      <c r="E55" s="22">
        <f>E48+E54</f>
        <v>3450.23</v>
      </c>
      <c r="F55" s="22">
        <f>F48+F54</f>
        <v>0</v>
      </c>
      <c r="G55" s="22">
        <f>G48+G54</f>
        <v>395.24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347613.68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331307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133369.32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812290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1000.07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1000.07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812290</v>
      </c>
      <c r="D73" s="130">
        <f>SUM(D71:D72)+D70+D62</f>
        <v>1000.07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29100.639999999999</v>
      </c>
      <c r="D80" s="95">
        <f>SUM('DOE25'!G145:G153)</f>
        <v>37065.879999999997</v>
      </c>
      <c r="E80" s="95">
        <f>SUM('DOE25'!H145:H153)</f>
        <v>154395.16999999998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378.01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29478.649999999998</v>
      </c>
      <c r="D83" s="131">
        <f>SUM(D77:D82)</f>
        <v>37065.879999999997</v>
      </c>
      <c r="E83" s="131">
        <f>SUM(E77:E82)</f>
        <v>154395.16999999998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35000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35000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2336513.31</v>
      </c>
      <c r="D96" s="86">
        <f>D55+D73+D83+D95</f>
        <v>101191.67999999999</v>
      </c>
      <c r="E96" s="86">
        <f>E55+E73+E83+E95</f>
        <v>157845.4</v>
      </c>
      <c r="F96" s="86">
        <f>F55+F73+F83+F95</f>
        <v>0</v>
      </c>
      <c r="G96" s="86">
        <f>G55+G73+G95</f>
        <v>395.24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1133977.6299999999</v>
      </c>
      <c r="D101" s="24" t="s">
        <v>312</v>
      </c>
      <c r="E101" s="95">
        <f>('DOE25'!L268)+('DOE25'!L287)+('DOE25'!L306)</f>
        <v>88915.660000000018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230115.37000000002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35152.35</v>
      </c>
      <c r="D104" s="24" t="s">
        <v>312</v>
      </c>
      <c r="E104" s="95">
        <f>+('DOE25'!L271)+('DOE25'!L290)+('DOE25'!L309)</f>
        <v>2252.73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1399245.35</v>
      </c>
      <c r="D107" s="86">
        <f>SUM(D101:D106)</f>
        <v>0</v>
      </c>
      <c r="E107" s="86">
        <f>SUM(E101:E106)</f>
        <v>91168.390000000014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221507.49</v>
      </c>
      <c r="D110" s="24" t="s">
        <v>312</v>
      </c>
      <c r="E110" s="95">
        <f>+('DOE25'!L273)+('DOE25'!L292)+('DOE25'!L311)</f>
        <v>6758.11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136038.76999999999</v>
      </c>
      <c r="D111" s="24" t="s">
        <v>312</v>
      </c>
      <c r="E111" s="95">
        <f>+('DOE25'!L274)+('DOE25'!L293)+('DOE25'!L312)</f>
        <v>53383.26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79342.460000000006</v>
      </c>
      <c r="D112" s="24" t="s">
        <v>312</v>
      </c>
      <c r="E112" s="95">
        <f>+('DOE25'!L275)+('DOE25'!L294)+('DOE25'!L313)</f>
        <v>6712.4600000000009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168743.58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311146.55000000005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44691.6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82601.13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961470.45000000007</v>
      </c>
      <c r="D120" s="86">
        <f>SUM(D110:D119)</f>
        <v>82601.13</v>
      </c>
      <c r="E120" s="86">
        <f>SUM(E110:E119)</f>
        <v>66853.83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35000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395.24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-395.24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35000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2395715.8000000003</v>
      </c>
      <c r="D137" s="86">
        <f>(D107+D120+D136)</f>
        <v>82601.13</v>
      </c>
      <c r="E137" s="86">
        <f>(E107+E120+E136)</f>
        <v>158022.22000000003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AB6F-F17B-492B-8CEF-2ABF64291893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ASHLAND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16143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16143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1222893</v>
      </c>
      <c r="D10" s="182">
        <f>ROUND((C10/$C$28)*100,1)</f>
        <v>47.5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230115</v>
      </c>
      <c r="D11" s="182">
        <f>ROUND((C11/$C$28)*100,1)</f>
        <v>8.9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37405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228266</v>
      </c>
      <c r="D15" s="182">
        <f t="shared" ref="D15:D27" si="0">ROUND((C15/$C$28)*100,1)</f>
        <v>8.9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189422</v>
      </c>
      <c r="D16" s="182">
        <f t="shared" si="0"/>
        <v>7.4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86055</v>
      </c>
      <c r="D17" s="182">
        <f t="shared" si="0"/>
        <v>3.3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168744</v>
      </c>
      <c r="D18" s="182">
        <f t="shared" si="0"/>
        <v>6.6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311147</v>
      </c>
      <c r="D20" s="182">
        <f t="shared" si="0"/>
        <v>12.1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44692</v>
      </c>
      <c r="D21" s="182">
        <f t="shared" si="0"/>
        <v>1.7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54475.270000000004</v>
      </c>
      <c r="D27" s="182">
        <f t="shared" si="0"/>
        <v>2.1</v>
      </c>
    </row>
    <row r="28" spans="1:4" x14ac:dyDescent="0.2">
      <c r="B28" s="187" t="s">
        <v>754</v>
      </c>
      <c r="C28" s="180">
        <f>SUM(C10:C27)</f>
        <v>2573214.27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2573214.27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1485095</v>
      </c>
      <c r="D35" s="182">
        <f t="shared" ref="D35:D40" si="1">ROUND((C35/$C$41)*100,1)</f>
        <v>58.6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13495.130000000121</v>
      </c>
      <c r="D36" s="182">
        <f t="shared" si="1"/>
        <v>0.5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678921</v>
      </c>
      <c r="D37" s="182">
        <f t="shared" si="1"/>
        <v>26.8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134369</v>
      </c>
      <c r="D38" s="182">
        <f t="shared" si="1"/>
        <v>5.3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220940</v>
      </c>
      <c r="D39" s="182">
        <f t="shared" si="1"/>
        <v>8.6999999999999993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2532820.13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65D1-72C1-4258-850F-A17857141E09}">
  <sheetPr>
    <tabColor indexed="17"/>
  </sheetPr>
  <dimension ref="A1:IV90"/>
  <sheetViews>
    <sheetView workbookViewId="0">
      <pane ySplit="3" topLeftCell="A4" activePane="bottomLeft" state="frozen"/>
      <selection pane="bottomLeft" activeCell="C23" sqref="C23:M2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ASHLAND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2010-09-16T13:04:53Z</cp:lastPrinted>
  <dcterms:created xsi:type="dcterms:W3CDTF">1997-12-04T19:04:30Z</dcterms:created>
  <dcterms:modified xsi:type="dcterms:W3CDTF">2025-01-02T14:40:19Z</dcterms:modified>
</cp:coreProperties>
</file>