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BFA9776-3D70-482D-AF6D-F76304E920F8}" xr6:coauthVersionLast="47" xr6:coauthVersionMax="47" xr10:uidLastSave="{00000000-0000-0000-0000-000000000000}"/>
  <workbookProtection workbookPassword="B70A" lockStructure="1"/>
  <bookViews>
    <workbookView xWindow="1770" yWindow="1770" windowWidth="21600" windowHeight="11505" tabRatio="855" xr2:uid="{05921816-442F-4FC3-9E52-AC4C2FCD4FB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F601" i="1"/>
  <c r="I557" i="1"/>
  <c r="I511" i="1"/>
  <c r="G511" i="1"/>
  <c r="F511" i="1"/>
  <c r="H513" i="1"/>
  <c r="H511" i="1"/>
  <c r="H516" i="1"/>
  <c r="I516" i="1"/>
  <c r="G516" i="1"/>
  <c r="G519" i="1" s="1"/>
  <c r="G535" i="1" s="1"/>
  <c r="F516" i="1"/>
  <c r="L516" i="1" s="1"/>
  <c r="K516" i="1"/>
  <c r="F521" i="1"/>
  <c r="H190" i="1"/>
  <c r="F359" i="1"/>
  <c r="K277" i="1"/>
  <c r="H274" i="1"/>
  <c r="L274" i="1" s="1"/>
  <c r="E111" i="2" s="1"/>
  <c r="H273" i="1"/>
  <c r="I274" i="1"/>
  <c r="G273" i="1"/>
  <c r="F273" i="1"/>
  <c r="F282" i="1" s="1"/>
  <c r="F330" i="1" s="1"/>
  <c r="F344" i="1" s="1"/>
  <c r="I273" i="1"/>
  <c r="H269" i="1"/>
  <c r="L269" i="1" s="1"/>
  <c r="E102" i="2" s="1"/>
  <c r="G269" i="1"/>
  <c r="F269" i="1"/>
  <c r="G268" i="1"/>
  <c r="F268" i="1"/>
  <c r="B9" i="12" s="1"/>
  <c r="A13" i="12" s="1"/>
  <c r="H328" i="1"/>
  <c r="L328" i="1" s="1"/>
  <c r="J268" i="1"/>
  <c r="J282" i="1" s="1"/>
  <c r="H268" i="1"/>
  <c r="G274" i="1"/>
  <c r="F274" i="1"/>
  <c r="I268" i="1"/>
  <c r="L268" i="1" s="1"/>
  <c r="I350" i="1"/>
  <c r="I354" i="1" s="1"/>
  <c r="G624" i="1" s="1"/>
  <c r="J624" i="1" s="1"/>
  <c r="H350" i="1"/>
  <c r="H354" i="1" s="1"/>
  <c r="G350" i="1"/>
  <c r="H200" i="1"/>
  <c r="H236" i="1"/>
  <c r="H201" i="1"/>
  <c r="H199" i="1"/>
  <c r="H197" i="1"/>
  <c r="L197" i="1" s="1"/>
  <c r="H196" i="1"/>
  <c r="L196" i="1" s="1"/>
  <c r="J195" i="1"/>
  <c r="I195" i="1"/>
  <c r="H195" i="1"/>
  <c r="H203" i="1" s="1"/>
  <c r="H249" i="1" s="1"/>
  <c r="H263" i="1" s="1"/>
  <c r="K195" i="1"/>
  <c r="G7" i="13" s="1"/>
  <c r="G195" i="1"/>
  <c r="L195" i="1" s="1"/>
  <c r="F195" i="1"/>
  <c r="K194" i="1"/>
  <c r="J194" i="1"/>
  <c r="I194" i="1"/>
  <c r="H194" i="1"/>
  <c r="G194" i="1"/>
  <c r="F194" i="1"/>
  <c r="L194" i="1" s="1"/>
  <c r="I192" i="1"/>
  <c r="G192" i="1"/>
  <c r="F192" i="1"/>
  <c r="B36" i="12" s="1"/>
  <c r="A40" i="12" s="1"/>
  <c r="I190" i="1"/>
  <c r="I203" i="1" s="1"/>
  <c r="I249" i="1" s="1"/>
  <c r="I263" i="1" s="1"/>
  <c r="G190" i="1"/>
  <c r="C18" i="12" s="1"/>
  <c r="A22" i="12" s="1"/>
  <c r="F190" i="1"/>
  <c r="H226" i="1"/>
  <c r="H189" i="1"/>
  <c r="G150" i="1"/>
  <c r="G154" i="1" s="1"/>
  <c r="G161" i="1" s="1"/>
  <c r="C60" i="2"/>
  <c r="B2" i="13"/>
  <c r="F8" i="13"/>
  <c r="G8" i="13"/>
  <c r="L214" i="1"/>
  <c r="L232" i="1"/>
  <c r="D39" i="13"/>
  <c r="F13" i="13"/>
  <c r="G13" i="13"/>
  <c r="L198" i="1"/>
  <c r="L216" i="1"/>
  <c r="L234" i="1"/>
  <c r="E13" i="13"/>
  <c r="F16" i="13"/>
  <c r="G16" i="13"/>
  <c r="L201" i="1"/>
  <c r="E16" i="13" s="1"/>
  <c r="C16" i="13" s="1"/>
  <c r="L219" i="1"/>
  <c r="L237" i="1"/>
  <c r="F5" i="13"/>
  <c r="G5" i="13"/>
  <c r="G33" i="13" s="1"/>
  <c r="L189" i="1"/>
  <c r="L191" i="1"/>
  <c r="L207" i="1"/>
  <c r="C101" i="2" s="1"/>
  <c r="L208" i="1"/>
  <c r="L209" i="1"/>
  <c r="C103" i="2" s="1"/>
  <c r="L210" i="1"/>
  <c r="L225" i="1"/>
  <c r="L226" i="1"/>
  <c r="L227" i="1"/>
  <c r="L228" i="1"/>
  <c r="F6" i="13"/>
  <c r="G6" i="13"/>
  <c r="L212" i="1"/>
  <c r="L230" i="1"/>
  <c r="L239" i="1" s="1"/>
  <c r="F7" i="13"/>
  <c r="L213" i="1"/>
  <c r="L231" i="1"/>
  <c r="F12" i="13"/>
  <c r="G12" i="13"/>
  <c r="L215" i="1"/>
  <c r="L233" i="1"/>
  <c r="F14" i="13"/>
  <c r="G14" i="13"/>
  <c r="L199" i="1"/>
  <c r="L217" i="1"/>
  <c r="L235" i="1"/>
  <c r="C20" i="10" s="1"/>
  <c r="F15" i="13"/>
  <c r="G15" i="13"/>
  <c r="L200" i="1"/>
  <c r="L218" i="1"/>
  <c r="G652" i="1" s="1"/>
  <c r="L236" i="1"/>
  <c r="H652" i="1" s="1"/>
  <c r="D15" i="13"/>
  <c r="C15" i="13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C24" i="10" s="1"/>
  <c r="D19" i="13"/>
  <c r="C19" i="13" s="1"/>
  <c r="F29" i="13"/>
  <c r="G29" i="13"/>
  <c r="L351" i="1"/>
  <c r="L352" i="1"/>
  <c r="I359" i="1"/>
  <c r="J301" i="1"/>
  <c r="J320" i="1"/>
  <c r="K282" i="1"/>
  <c r="G31" i="13" s="1"/>
  <c r="K301" i="1"/>
  <c r="K320" i="1"/>
  <c r="L270" i="1"/>
  <c r="L271" i="1"/>
  <c r="E104" i="2" s="1"/>
  <c r="L275" i="1"/>
  <c r="L276" i="1"/>
  <c r="E113" i="2" s="1"/>
  <c r="L277" i="1"/>
  <c r="C19" i="10" s="1"/>
  <c r="L278" i="1"/>
  <c r="L279" i="1"/>
  <c r="L280" i="1"/>
  <c r="L287" i="1"/>
  <c r="L288" i="1"/>
  <c r="L289" i="1"/>
  <c r="L290" i="1"/>
  <c r="L292" i="1"/>
  <c r="L293" i="1"/>
  <c r="L301" i="1" s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E112" i="2" s="1"/>
  <c r="L314" i="1"/>
  <c r="L315" i="1"/>
  <c r="L316" i="1"/>
  <c r="L317" i="1"/>
  <c r="L318" i="1"/>
  <c r="E117" i="2" s="1"/>
  <c r="L325" i="1"/>
  <c r="L326" i="1"/>
  <c r="L327" i="1"/>
  <c r="L252" i="1"/>
  <c r="L253" i="1"/>
  <c r="H25" i="13" s="1"/>
  <c r="L333" i="1"/>
  <c r="C32" i="10" s="1"/>
  <c r="L334" i="1"/>
  <c r="E124" i="2" s="1"/>
  <c r="L247" i="1"/>
  <c r="C13" i="13"/>
  <c r="C11" i="13"/>
  <c r="C10" i="13"/>
  <c r="C9" i="13"/>
  <c r="L353" i="1"/>
  <c r="B4" i="12"/>
  <c r="C36" i="12"/>
  <c r="B40" i="12"/>
  <c r="C40" i="12"/>
  <c r="B27" i="12"/>
  <c r="A31" i="12" s="1"/>
  <c r="C27" i="12"/>
  <c r="B31" i="12"/>
  <c r="C31" i="12"/>
  <c r="B13" i="12"/>
  <c r="C9" i="12"/>
  <c r="C13" i="12"/>
  <c r="B18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F653" i="1"/>
  <c r="I653" i="1" s="1"/>
  <c r="C40" i="10"/>
  <c r="F52" i="1"/>
  <c r="G52" i="1"/>
  <c r="C35" i="10" s="1"/>
  <c r="H52" i="1"/>
  <c r="E48" i="2" s="1"/>
  <c r="E55" i="2" s="1"/>
  <c r="I52" i="1"/>
  <c r="I104" i="1" s="1"/>
  <c r="F71" i="1"/>
  <c r="F86" i="1"/>
  <c r="F103" i="1"/>
  <c r="F104" i="1"/>
  <c r="G103" i="1"/>
  <c r="H71" i="1"/>
  <c r="H86" i="1"/>
  <c r="H103" i="1"/>
  <c r="H104" i="1"/>
  <c r="I103" i="1"/>
  <c r="J103" i="1"/>
  <c r="J104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85" i="1" s="1"/>
  <c r="J128" i="1"/>
  <c r="F139" i="1"/>
  <c r="F154" i="1"/>
  <c r="F161" i="1"/>
  <c r="G139" i="1"/>
  <c r="H139" i="1"/>
  <c r="H161" i="1" s="1"/>
  <c r="H154" i="1"/>
  <c r="I139" i="1"/>
  <c r="I161" i="1" s="1"/>
  <c r="I154" i="1"/>
  <c r="L242" i="1"/>
  <c r="C23" i="10" s="1"/>
  <c r="L324" i="1"/>
  <c r="L246" i="1"/>
  <c r="C25" i="10"/>
  <c r="L260" i="1"/>
  <c r="C26" i="10" s="1"/>
  <c r="L261" i="1"/>
  <c r="L341" i="1"/>
  <c r="L342" i="1"/>
  <c r="E135" i="2" s="1"/>
  <c r="I655" i="1"/>
  <c r="I660" i="1"/>
  <c r="F652" i="1"/>
  <c r="I659" i="1"/>
  <c r="C6" i="10"/>
  <c r="C5" i="10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F540" i="1" s="1"/>
  <c r="L513" i="1"/>
  <c r="L514" i="1" s="1"/>
  <c r="F541" i="1"/>
  <c r="L517" i="1"/>
  <c r="G540" i="1" s="1"/>
  <c r="L518" i="1"/>
  <c r="G541" i="1" s="1"/>
  <c r="L521" i="1"/>
  <c r="H539" i="1" s="1"/>
  <c r="H542" i="1" s="1"/>
  <c r="L522" i="1"/>
  <c r="L524" i="1" s="1"/>
  <c r="H540" i="1"/>
  <c r="L523" i="1"/>
  <c r="H541" i="1" s="1"/>
  <c r="L526" i="1"/>
  <c r="I539" i="1" s="1"/>
  <c r="L527" i="1"/>
  <c r="I540" i="1" s="1"/>
  <c r="L528" i="1"/>
  <c r="I541" i="1" s="1"/>
  <c r="L531" i="1"/>
  <c r="J539" i="1"/>
  <c r="J542" i="1" s="1"/>
  <c r="L532" i="1"/>
  <c r="J540" i="1" s="1"/>
  <c r="L533" i="1"/>
  <c r="J541" i="1"/>
  <c r="E123" i="2"/>
  <c r="K262" i="1"/>
  <c r="J262" i="1"/>
  <c r="L262" i="1" s="1"/>
  <c r="I262" i="1"/>
  <c r="H262" i="1"/>
  <c r="G262" i="1"/>
  <c r="F262" i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/>
  <c r="G12" i="2" s="1"/>
  <c r="C13" i="2"/>
  <c r="D13" i="2"/>
  <c r="E13" i="2"/>
  <c r="F13" i="2"/>
  <c r="I434" i="1"/>
  <c r="I438" i="1" s="1"/>
  <c r="G632" i="1" s="1"/>
  <c r="J632" i="1" s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D32" i="2" s="1"/>
  <c r="E22" i="2"/>
  <c r="F22" i="2"/>
  <c r="I440" i="1"/>
  <c r="J23" i="1" s="1"/>
  <c r="C23" i="2"/>
  <c r="C32" i="2" s="1"/>
  <c r="D23" i="2"/>
  <c r="E23" i="2"/>
  <c r="F23" i="2"/>
  <c r="I441" i="1"/>
  <c r="J24" i="1"/>
  <c r="G23" i="2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/>
  <c r="G31" i="2" s="1"/>
  <c r="F32" i="2"/>
  <c r="C34" i="2"/>
  <c r="D34" i="2"/>
  <c r="D42" i="2" s="1"/>
  <c r="D43" i="2" s="1"/>
  <c r="E34" i="2"/>
  <c r="E42" i="2" s="1"/>
  <c r="F34" i="2"/>
  <c r="F42" i="2" s="1"/>
  <c r="F43" i="2" s="1"/>
  <c r="C35" i="2"/>
  <c r="D35" i="2"/>
  <c r="E35" i="2"/>
  <c r="F35" i="2"/>
  <c r="C36" i="2"/>
  <c r="C42" i="2" s="1"/>
  <c r="D36" i="2"/>
  <c r="E36" i="2"/>
  <c r="F36" i="2"/>
  <c r="I446" i="1"/>
  <c r="J37" i="1"/>
  <c r="G36" i="2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I450" i="1" s="1"/>
  <c r="J41" i="1"/>
  <c r="G40" i="2" s="1"/>
  <c r="C41" i="2"/>
  <c r="D41" i="2"/>
  <c r="E41" i="2"/>
  <c r="F41" i="2"/>
  <c r="C48" i="2"/>
  <c r="C55" i="2" s="1"/>
  <c r="C49" i="2"/>
  <c r="E49" i="2"/>
  <c r="C50" i="2"/>
  <c r="C54" i="2" s="1"/>
  <c r="E50" i="2"/>
  <c r="C51" i="2"/>
  <c r="D51" i="2"/>
  <c r="E51" i="2"/>
  <c r="F51" i="2"/>
  <c r="D52" i="2"/>
  <c r="C53" i="2"/>
  <c r="D53" i="2"/>
  <c r="E53" i="2"/>
  <c r="F53" i="2"/>
  <c r="D54" i="2"/>
  <c r="E54" i="2"/>
  <c r="F54" i="2"/>
  <c r="C58" i="2"/>
  <c r="C59" i="2"/>
  <c r="C61" i="2"/>
  <c r="D61" i="2"/>
  <c r="E61" i="2"/>
  <c r="E62" i="2" s="1"/>
  <c r="F61" i="2"/>
  <c r="F62" i="2" s="1"/>
  <c r="G61" i="2"/>
  <c r="G62" i="2" s="1"/>
  <c r="C62" i="2"/>
  <c r="D62" i="2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F70" i="2"/>
  <c r="G70" i="2"/>
  <c r="C71" i="2"/>
  <c r="D71" i="2"/>
  <c r="E71" i="2"/>
  <c r="C72" i="2"/>
  <c r="E72" i="2"/>
  <c r="C77" i="2"/>
  <c r="C83" i="2" s="1"/>
  <c r="D77" i="2"/>
  <c r="D83" i="2" s="1"/>
  <c r="E77" i="2"/>
  <c r="E83" i="2" s="1"/>
  <c r="F77" i="2"/>
  <c r="C79" i="2"/>
  <c r="E79" i="2"/>
  <c r="F79" i="2"/>
  <c r="C80" i="2"/>
  <c r="D80" i="2"/>
  <c r="E80" i="2"/>
  <c r="F80" i="2"/>
  <c r="C81" i="2"/>
  <c r="D81" i="2"/>
  <c r="E81" i="2"/>
  <c r="F81" i="2"/>
  <c r="F83" i="2" s="1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C105" i="2"/>
  <c r="E105" i="2"/>
  <c r="C106" i="2"/>
  <c r="E106" i="2"/>
  <c r="D107" i="2"/>
  <c r="F107" i="2"/>
  <c r="G107" i="2"/>
  <c r="C114" i="2"/>
  <c r="C115" i="2"/>
  <c r="E115" i="2"/>
  <c r="E116" i="2"/>
  <c r="F120" i="2"/>
  <c r="G120" i="2"/>
  <c r="C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G149" i="2" s="1"/>
  <c r="E149" i="2"/>
  <c r="F149" i="2"/>
  <c r="B150" i="2"/>
  <c r="C150" i="2"/>
  <c r="G150" i="2" s="1"/>
  <c r="D150" i="2"/>
  <c r="E150" i="2"/>
  <c r="F150" i="2"/>
  <c r="B151" i="2"/>
  <c r="C151" i="2"/>
  <c r="D151" i="2"/>
  <c r="G151" i="2" s="1"/>
  <c r="E151" i="2"/>
  <c r="F151" i="2"/>
  <c r="B152" i="2"/>
  <c r="C152" i="2"/>
  <c r="G152" i="2" s="1"/>
  <c r="D152" i="2"/>
  <c r="E152" i="2"/>
  <c r="F152" i="2"/>
  <c r="F490" i="1"/>
  <c r="B153" i="2" s="1"/>
  <c r="G153" i="2" s="1"/>
  <c r="G490" i="1"/>
  <c r="K490" i="1" s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G155" i="2" s="1"/>
  <c r="E155" i="2"/>
  <c r="F155" i="2"/>
  <c r="F493" i="1"/>
  <c r="B156" i="2" s="1"/>
  <c r="G493" i="1"/>
  <c r="C156" i="2"/>
  <c r="H493" i="1"/>
  <c r="K493" i="1" s="1"/>
  <c r="D156" i="2"/>
  <c r="I493" i="1"/>
  <c r="E156" i="2" s="1"/>
  <c r="J493" i="1"/>
  <c r="F156" i="2" s="1"/>
  <c r="F19" i="1"/>
  <c r="G607" i="1" s="1"/>
  <c r="G19" i="1"/>
  <c r="H19" i="1"/>
  <c r="I19" i="1"/>
  <c r="F33" i="1"/>
  <c r="G33" i="1"/>
  <c r="G44" i="1" s="1"/>
  <c r="H608" i="1" s="1"/>
  <c r="H33" i="1"/>
  <c r="I33" i="1"/>
  <c r="F43" i="1"/>
  <c r="F44" i="1" s="1"/>
  <c r="H607" i="1" s="1"/>
  <c r="G43" i="1"/>
  <c r="H43" i="1"/>
  <c r="I43" i="1"/>
  <c r="G615" i="1" s="1"/>
  <c r="H44" i="1"/>
  <c r="H609" i="1" s="1"/>
  <c r="J609" i="1" s="1"/>
  <c r="I44" i="1"/>
  <c r="H610" i="1" s="1"/>
  <c r="F169" i="1"/>
  <c r="I169" i="1"/>
  <c r="I184" i="1" s="1"/>
  <c r="F175" i="1"/>
  <c r="F184" i="1" s="1"/>
  <c r="G175" i="1"/>
  <c r="G184" i="1" s="1"/>
  <c r="H175" i="1"/>
  <c r="I175" i="1"/>
  <c r="J175" i="1"/>
  <c r="F180" i="1"/>
  <c r="G180" i="1"/>
  <c r="H180" i="1"/>
  <c r="H184" i="1" s="1"/>
  <c r="I180" i="1"/>
  <c r="J184" i="1"/>
  <c r="F203" i="1"/>
  <c r="J203" i="1"/>
  <c r="J249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G282" i="1"/>
  <c r="F301" i="1"/>
  <c r="G301" i="1"/>
  <c r="H301" i="1"/>
  <c r="I301" i="1"/>
  <c r="F320" i="1"/>
  <c r="G320" i="1"/>
  <c r="G330" i="1" s="1"/>
  <c r="G344" i="1" s="1"/>
  <c r="H320" i="1"/>
  <c r="I320" i="1"/>
  <c r="F329" i="1"/>
  <c r="L329" i="1" s="1"/>
  <c r="G329" i="1"/>
  <c r="H329" i="1"/>
  <c r="I329" i="1"/>
  <c r="J329" i="1"/>
  <c r="K329" i="1"/>
  <c r="F354" i="1"/>
  <c r="G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F426" i="1"/>
  <c r="G426" i="1"/>
  <c r="H426" i="1"/>
  <c r="F438" i="1"/>
  <c r="G438" i="1"/>
  <c r="G630" i="1" s="1"/>
  <c r="H438" i="1"/>
  <c r="G631" i="1" s="1"/>
  <c r="J631" i="1" s="1"/>
  <c r="F444" i="1"/>
  <c r="G444" i="1"/>
  <c r="H444" i="1"/>
  <c r="H451" i="1" s="1"/>
  <c r="H631" i="1" s="1"/>
  <c r="I444" i="1"/>
  <c r="I451" i="1" s="1"/>
  <c r="H632" i="1" s="1"/>
  <c r="F450" i="1"/>
  <c r="F451" i="1" s="1"/>
  <c r="H629" i="1" s="1"/>
  <c r="J629" i="1" s="1"/>
  <c r="G450" i="1"/>
  <c r="H450" i="1"/>
  <c r="G451" i="1"/>
  <c r="H630" i="1" s="1"/>
  <c r="F460" i="1"/>
  <c r="G460" i="1"/>
  <c r="H460" i="1"/>
  <c r="H466" i="1" s="1"/>
  <c r="H614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F466" i="1"/>
  <c r="H612" i="1" s="1"/>
  <c r="G466" i="1"/>
  <c r="H613" i="1" s="1"/>
  <c r="J613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K535" i="1" s="1"/>
  <c r="H519" i="1"/>
  <c r="I519" i="1"/>
  <c r="J519" i="1"/>
  <c r="J535" i="1" s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G561" i="1" s="1"/>
  <c r="H550" i="1"/>
  <c r="H561" i="1" s="1"/>
  <c r="I550" i="1"/>
  <c r="I561" i="1" s="1"/>
  <c r="J550" i="1"/>
  <c r="K550" i="1"/>
  <c r="L550" i="1"/>
  <c r="L561" i="1" s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09" i="1"/>
  <c r="G610" i="1"/>
  <c r="J610" i="1" s="1"/>
  <c r="G612" i="1"/>
  <c r="G613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J634" i="1" s="1"/>
  <c r="G635" i="1"/>
  <c r="G639" i="1"/>
  <c r="H639" i="1"/>
  <c r="J639" i="1"/>
  <c r="G640" i="1"/>
  <c r="J640" i="1" s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L519" i="1" l="1"/>
  <c r="G539" i="1"/>
  <c r="H185" i="1"/>
  <c r="G619" i="1" s="1"/>
  <c r="J619" i="1" s="1"/>
  <c r="G96" i="2"/>
  <c r="E101" i="2"/>
  <c r="E107" i="2" s="1"/>
  <c r="L282" i="1"/>
  <c r="E96" i="2"/>
  <c r="C43" i="2"/>
  <c r="G22" i="2"/>
  <c r="G32" i="2" s="1"/>
  <c r="J33" i="1"/>
  <c r="J630" i="1"/>
  <c r="G73" i="2"/>
  <c r="I652" i="1"/>
  <c r="C133" i="2"/>
  <c r="J612" i="1"/>
  <c r="F73" i="2"/>
  <c r="K541" i="1"/>
  <c r="G156" i="2"/>
  <c r="D6" i="13"/>
  <c r="C6" i="13" s="1"/>
  <c r="C110" i="2"/>
  <c r="C120" i="2" s="1"/>
  <c r="C15" i="10"/>
  <c r="C17" i="10"/>
  <c r="E8" i="13"/>
  <c r="C112" i="2"/>
  <c r="F535" i="1"/>
  <c r="K540" i="1"/>
  <c r="F542" i="1"/>
  <c r="C18" i="10"/>
  <c r="D12" i="13"/>
  <c r="C12" i="13" s="1"/>
  <c r="C113" i="2"/>
  <c r="J330" i="1"/>
  <c r="J344" i="1" s="1"/>
  <c r="F31" i="13"/>
  <c r="J263" i="1"/>
  <c r="H638" i="1"/>
  <c r="J638" i="1" s="1"/>
  <c r="E43" i="2"/>
  <c r="C39" i="10"/>
  <c r="C130" i="2"/>
  <c r="C136" i="2" s="1"/>
  <c r="L400" i="1"/>
  <c r="C25" i="13"/>
  <c r="H33" i="13"/>
  <c r="C29" i="10"/>
  <c r="E122" i="2"/>
  <c r="E136" i="2" s="1"/>
  <c r="F22" i="13"/>
  <c r="C96" i="2"/>
  <c r="G42" i="2"/>
  <c r="G43" i="2" s="1"/>
  <c r="I542" i="1"/>
  <c r="F185" i="1"/>
  <c r="G617" i="1" s="1"/>
  <c r="J617" i="1" s="1"/>
  <c r="C38" i="10"/>
  <c r="D7" i="13"/>
  <c r="C7" i="13" s="1"/>
  <c r="C111" i="2"/>
  <c r="C16" i="10"/>
  <c r="J607" i="1"/>
  <c r="G9" i="2"/>
  <c r="G19" i="2" s="1"/>
  <c r="J19" i="1"/>
  <c r="G611" i="1" s="1"/>
  <c r="H650" i="1"/>
  <c r="J615" i="1"/>
  <c r="G621" i="1"/>
  <c r="J621" i="1" s="1"/>
  <c r="G636" i="1"/>
  <c r="I185" i="1"/>
  <c r="G620" i="1" s="1"/>
  <c r="J620" i="1" s="1"/>
  <c r="G203" i="1"/>
  <c r="G249" i="1" s="1"/>
  <c r="G263" i="1" s="1"/>
  <c r="C134" i="2"/>
  <c r="L534" i="1"/>
  <c r="L535" i="1" s="1"/>
  <c r="C12" i="10"/>
  <c r="L192" i="1"/>
  <c r="J43" i="1"/>
  <c r="C117" i="2"/>
  <c r="L273" i="1"/>
  <c r="E110" i="2" s="1"/>
  <c r="F519" i="1"/>
  <c r="F48" i="2"/>
  <c r="F55" i="2" s="1"/>
  <c r="F96" i="2" s="1"/>
  <c r="C10" i="10"/>
  <c r="G104" i="1"/>
  <c r="G185" i="1" s="1"/>
  <c r="G618" i="1" s="1"/>
  <c r="J618" i="1" s="1"/>
  <c r="L190" i="1"/>
  <c r="L374" i="1"/>
  <c r="G626" i="1" s="1"/>
  <c r="J626" i="1" s="1"/>
  <c r="I282" i="1"/>
  <c r="I330" i="1" s="1"/>
  <c r="I344" i="1" s="1"/>
  <c r="C116" i="2"/>
  <c r="D14" i="13"/>
  <c r="C14" i="13" s="1"/>
  <c r="H282" i="1"/>
  <c r="H330" i="1" s="1"/>
  <c r="H344" i="1" s="1"/>
  <c r="D48" i="2"/>
  <c r="D55" i="2" s="1"/>
  <c r="D96" i="2" s="1"/>
  <c r="C21" i="10"/>
  <c r="H637" i="1"/>
  <c r="J637" i="1" s="1"/>
  <c r="K203" i="1"/>
  <c r="K249" i="1" s="1"/>
  <c r="K263" i="1" s="1"/>
  <c r="G641" i="1"/>
  <c r="J641" i="1" s="1"/>
  <c r="K330" i="1"/>
  <c r="K344" i="1" s="1"/>
  <c r="E114" i="2"/>
  <c r="L221" i="1"/>
  <c r="G650" i="1" s="1"/>
  <c r="L350" i="1"/>
  <c r="L203" i="1" l="1"/>
  <c r="C102" i="2"/>
  <c r="C107" i="2" s="1"/>
  <c r="C137" i="2" s="1"/>
  <c r="C11" i="10"/>
  <c r="J636" i="1"/>
  <c r="C36" i="10"/>
  <c r="D5" i="13"/>
  <c r="J44" i="1"/>
  <c r="H611" i="1" s="1"/>
  <c r="G616" i="1"/>
  <c r="H636" i="1"/>
  <c r="G627" i="1"/>
  <c r="J627" i="1" s="1"/>
  <c r="C104" i="2"/>
  <c r="C13" i="10"/>
  <c r="C22" i="13"/>
  <c r="F33" i="13"/>
  <c r="D29" i="13"/>
  <c r="C29" i="13" s="1"/>
  <c r="L354" i="1"/>
  <c r="F651" i="1"/>
  <c r="H651" i="1"/>
  <c r="H654" i="1" s="1"/>
  <c r="D119" i="2"/>
  <c r="D120" i="2" s="1"/>
  <c r="D137" i="2" s="1"/>
  <c r="G654" i="1"/>
  <c r="J611" i="1"/>
  <c r="E33" i="13"/>
  <c r="D35" i="13" s="1"/>
  <c r="C8" i="13"/>
  <c r="G651" i="1"/>
  <c r="L330" i="1"/>
  <c r="L344" i="1" s="1"/>
  <c r="G623" i="1" s="1"/>
  <c r="J623" i="1" s="1"/>
  <c r="D31" i="13"/>
  <c r="C31" i="13" s="1"/>
  <c r="K539" i="1"/>
  <c r="K542" i="1" s="1"/>
  <c r="G542" i="1"/>
  <c r="E120" i="2"/>
  <c r="E137" i="2" s="1"/>
  <c r="H657" i="1" l="1"/>
  <c r="H662" i="1"/>
  <c r="I651" i="1"/>
  <c r="J616" i="1"/>
  <c r="H646" i="1"/>
  <c r="G625" i="1"/>
  <c r="J625" i="1" s="1"/>
  <c r="C27" i="10"/>
  <c r="C28" i="10" s="1"/>
  <c r="C5" i="13"/>
  <c r="D33" i="13"/>
  <c r="D36" i="13" s="1"/>
  <c r="C41" i="10"/>
  <c r="G662" i="1"/>
  <c r="G657" i="1"/>
  <c r="F650" i="1"/>
  <c r="L249" i="1"/>
  <c r="L263" i="1" s="1"/>
  <c r="G622" i="1" s="1"/>
  <c r="J622" i="1" s="1"/>
  <c r="C30" i="10" l="1"/>
  <c r="D22" i="10"/>
  <c r="D23" i="10"/>
  <c r="D24" i="10"/>
  <c r="D25" i="10"/>
  <c r="D19" i="10"/>
  <c r="D26" i="10"/>
  <c r="D20" i="10"/>
  <c r="D17" i="10"/>
  <c r="D12" i="10"/>
  <c r="D16" i="10"/>
  <c r="D10" i="10"/>
  <c r="D15" i="10"/>
  <c r="D18" i="10"/>
  <c r="D21" i="10"/>
  <c r="D13" i="10"/>
  <c r="D11" i="10"/>
  <c r="D40" i="10"/>
  <c r="D35" i="10"/>
  <c r="D37" i="10"/>
  <c r="D39" i="10"/>
  <c r="D38" i="10"/>
  <c r="D36" i="10"/>
  <c r="D27" i="10"/>
  <c r="F654" i="1"/>
  <c r="I650" i="1"/>
  <c r="I654" i="1" s="1"/>
  <c r="D28" i="10" l="1"/>
  <c r="D41" i="10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589AED1-1200-4DC5-9F56-2F2EA20E9F7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D3062EE-E317-4EEB-A978-D1E79FCE3BD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E10F63A-8A3D-4FC9-A26E-0BC3B209B48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728529D-3948-4FE5-B223-88B03E8274D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371DE9A-BF8B-4912-98F7-E55BC542678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93CC1F3-228A-48B1-AEA4-990C510D52A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C8C97BD-CC02-4B24-B4A4-C2A9EAFEF22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394C593-B12E-4DE0-9726-4C7C46F04A5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81FC7EF-B98E-4DAF-BCD4-A9676F573CB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ABDB1B9-D048-4C74-8E2D-849EE46119E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AA05F8E-9A1A-4CBC-8F52-F6EB5A2A0FF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EFCD3E4-F224-4865-AEA3-AE7F29977FF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<sst xmlns="http://schemas.openxmlformats.org/spreadsheetml/2006/main" count="3858" uniqueCount="895">
  <si>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</si>
  <si>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</si>
  <si>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</si>
  <si>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</si>
  <si>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</si>
  <si>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</si>
  <si>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</si>
  <si>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</si>
  <si>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</si>
  <si>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</si>
  <si>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</si>
  <si>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</si>
  <si>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</si>
  <si>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</si>
  <si>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</si>
  <si>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</si>
  <si>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</si>
  <si>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</si>
  <si>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</si>
  <si>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</si>
  <si>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</si>
  <si>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</si>
  <si>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</si>
  <si>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</si>
  <si>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</si>
  <si>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</si>
  <si>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</si>
  <si>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</si>
  <si>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</si>
  <si>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</si>
  <si>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</si>
  <si>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</si>
  <si>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</si>
  <si>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</si>
  <si>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</si>
  <si>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</si>
  <si>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</si>
  <si>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</si>
  <si>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</si>
  <si>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</si>
  <si>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</si>
  <si>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</si>
  <si>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</si>
  <si>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</si>
  <si>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</si>
  <si>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</si>
  <si>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</si>
  <si>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</si>
  <si>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</si>
  <si>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</si>
  <si>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</si>
  <si>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</si>
  <si>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</si>
  <si>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</si>
  <si>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</si>
  <si>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</si>
  <si>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</si>
  <si>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</si>
  <si>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</si>
  <si>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</si>
  <si>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</si>
  <si>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</si>
  <si>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</si>
  <si>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</si>
  <si>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</si>
  <si>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</si>
  <si>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</si>
  <si>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</si>
  <si>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</si>
  <si>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</si>
  <si>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</si>
  <si>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</si>
  <si>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</si>
  <si>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</si>
  <si>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</si>
  <si>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</si>
  <si>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</si>
  <si>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</si>
  <si>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</si>
  <si>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</si>
  <si>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</si>
  <si>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</si>
  <si>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</si>
  <si>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</si>
  <si>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</si>
  <si>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</si>
  <si>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</si>
  <si>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</si>
  <si>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</si>
  <si>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</si>
  <si>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</si>
  <si>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</si>
  <si>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</si>
  <si>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</si>
  <si>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</si>
  <si>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</si>
  <si>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</si>
  <si>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</si>
  <si>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</si>
  <si>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</si>
  <si>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</si>
  <si>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</si>
  <si>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</si>
  <si>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</si>
  <si>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</si>
  <si>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</si>
  <si>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</si>
  <si>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</si>
  <si>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</si>
  <si>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</si>
  <si>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</si>
  <si>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</si>
  <si>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</si>
  <si>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</si>
  <si>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</si>
  <si>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</si>
  <si>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</si>
  <si>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</si>
  <si>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</si>
  <si>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</si>
  <si>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</si>
  <si>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</si>
  <si>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</si>
  <si>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</si>
  <si>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</si>
  <si>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</si>
  <si>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</si>
  <si>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</si>
  <si>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</si>
  <si>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</si>
  <si>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</si>
  <si>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</si>
  <si>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</si>
  <si>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</si>
  <si>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</si>
  <si>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</si>
  <si>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</si>
  <si>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</si>
  <si>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</si>
  <si>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</si>
  <si>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</si>
  <si>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</si>
  <si>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</si>
  <si>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</si>
  <si>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</si>
  <si>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</si>
  <si>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</si>
  <si>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</si>
  <si>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</si>
  <si>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</si>
  <si>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</si>
  <si>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</si>
  <si>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</si>
  <si>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</si>
  <si>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</si>
  <si>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</si>
  <si>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</si>
  <si>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</si>
  <si>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</si>
  <si>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</si>
  <si>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</si>
  <si>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</si>
  <si>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</si>
  <si>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</si>
  <si>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</si>
  <si>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</si>
  <si>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</si>
  <si>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</si>
  <si>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</si>
  <si>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</si>
  <si>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</si>
  <si>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</si>
  <si>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</si>
  <si>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</si>
  <si>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</si>
  <si>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</si>
  <si>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</si>
  <si>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</si>
  <si>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</si>
  <si>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</si>
  <si>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</si>
  <si>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</si>
  <si>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</si>
  <si>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</si>
  <si>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</si>
  <si>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</si>
  <si>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</si>
  <si>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</si>
  <si>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</si>
  <si>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</si>
  <si>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</si>
  <si>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</si>
  <si>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</si>
  <si>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</si>
  <si>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</si>
  <si>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</si>
  <si>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</si>
  <si>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</si>
  <si>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</si>
  <si>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</si>
  <si>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</si>
  <si>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</si>
  <si>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</si>
  <si>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</si>
  <si>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</si>
  <si>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</si>
  <si>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</si>
  <si>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</si>
  <si>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</si>
  <si>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</si>
  <si>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</si>
  <si>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</si>
  <si>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</si>
  <si>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</si>
  <si>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</si>
  <si>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</si>
  <si>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</si>
  <si>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</si>
  <si>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</si>
  <si>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</si>
  <si>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</si>
  <si>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</si>
  <si>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</si>
  <si>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</si>
  <si>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</si>
  <si>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</si>
  <si>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</si>
  <si>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</si>
  <si>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</si>
  <si>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</si>
  <si>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</si>
  <si>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</si>
  <si>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</si>
  <si>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</si>
  <si>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</si>
  <si>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</si>
  <si>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</si>
  <si>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</si>
  <si>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</si>
  <si>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</si>
  <si>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</si>
  <si>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</si>
  <si>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</si>
  <si>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</si>
  <si>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</si>
  <si>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</si>
  <si>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</si>
  <si>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</si>
  <si>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</si>
  <si>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</si>
  <si>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</si>
  <si>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</si>
  <si>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</si>
  <si>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</si>
  <si>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</si>
  <si>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</si>
  <si>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</si>
  <si>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</si>
  <si>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</si>
  <si>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</si>
  <si>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</si>
  <si>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</si>
  <si>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</si>
  <si>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</si>
  <si>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</si>
  <si>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</si>
  <si>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</si>
  <si>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</si>
  <si>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</si>
  <si>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</si>
  <si>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</si>
  <si>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</si>
  <si>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</si>
  <si>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</si>
  <si>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</si>
  <si>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</si>
  <si>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</si>
  <si>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</si>
  <si>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</si>
  <si>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</si>
  <si>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</si>
  <si>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</si>
  <si>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</si>
  <si>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</si>
  <si>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</si>
  <si>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</si>
  <si>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</si>
  <si>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</si>
  <si>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</si>
  <si>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</si>
  <si>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</si>
  <si>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</si>
  <si>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</si>
  <si>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</si>
  <si>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</si>
  <si>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</si>
  <si>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</si>
  <si>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</si>
  <si>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</si>
  <si>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</si>
  <si>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</si>
  <si>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</si>
  <si>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</si>
  <si>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</si>
  <si>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</si>
  <si>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</si>
  <si>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</si>
  <si>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</si>
  <si>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</si>
  <si>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</si>
  <si>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</si>
  <si>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</si>
  <si>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</si>
  <si>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</si>
  <si>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</si>
  <si>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</si>
  <si>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</si>
  <si>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</si>
  <si>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</si>
  <si>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</si>
  <si>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</si>
  <si>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</si>
  <si>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</si>
  <si>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</si>
  <si>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</si>
  <si>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</si>
  <si>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</si>
  <si>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</si>
  <si>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</si>
  <si>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</si>
  <si>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</si>
  <si>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</si>
  <si>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</si>
  <si>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</si>
  <si>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</si>
  <si>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</si>
  <si>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</si>
  <si>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</si>
  <si>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</si>
  <si>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</si>
  <si>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</si>
  <si>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</si>
  <si>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</si>
  <si>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</si>
  <si>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</si>
  <si>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</si>
  <si>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</si>
  <si>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</si>
  <si>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</si>
  <si>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</si>
  <si>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</si>
  <si>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</si>
  <si>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</si>
  <si>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</si>
  <si>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</si>
  <si>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</si>
  <si>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</si>
  <si>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</si>
  <si>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</si>
  <si>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</si>
  <si>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</si>
  <si>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</si>
  <si>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</si>
  <si>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</si>
  <si>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</si>
  <si>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</si>
  <si>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</si>
  <si>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</si>
  <si>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</si>
  <si>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</si>
  <si>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</si>
  <si>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</si>
  <si>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</si>
  <si>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</si>
  <si>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</si>
  <si>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</si>
  <si>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</si>
  <si>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</si>
  <si>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</si>
  <si>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</si>
  <si>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</si>
  <si>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</si>
  <si>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</si>
  <si>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</si>
  <si>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</si>
  <si>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</si>
  <si>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</si>
  <si>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</si>
  <si>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</si>
  <si>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</si>
  <si>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</si>
  <si>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</si>
  <si>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</si>
  <si>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</si>
  <si>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</si>
  <si>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</si>
  <si>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</si>
  <si>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</si>
  <si>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</si>
  <si>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</si>
  <si>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</si>
  <si>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</si>
  <si>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</si>
  <si>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</si>
  <si>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</si>
  <si>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</si>
  <si>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</si>
  <si>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</si>
  <si>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</si>
  <si>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</si>
  <si>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</si>
  <si>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</si>
  <si>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</si>
  <si>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</si>
  <si>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</si>
  <si>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</si>
  <si>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</si>
  <si>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</si>
  <si>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</si>
  <si>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</si>
  <si>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</si>
  <si>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</si>
  <si>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</si>
  <si>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</si>
  <si>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</si>
  <si>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</si>
  <si>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</si>
  <si>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</si>
  <si>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</si>
  <si>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</si>
  <si>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</si>
  <si>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</si>
  <si>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</si>
  <si>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</si>
  <si>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</si>
  <si>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</si>
  <si>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</si>
  <si>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</si>
  <si>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</si>
  <si>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</si>
  <si>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</si>
  <si>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</si>
  <si>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</si>
  <si>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</si>
  <si>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</si>
  <si>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</si>
  <si>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</si>
  <si>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</si>
  <si>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</si>
  <si>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</si>
  <si>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</si>
  <si>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</si>
  <si>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</si>
  <si>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</si>
  <si>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</si>
  <si>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</si>
  <si>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</si>
  <si>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</si>
  <si>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</si>
  <si>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</si>
  <si>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</si>
  <si>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</si>
  <si>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</si>
  <si>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</si>
  <si>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</si>
  <si>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</si>
  <si>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</si>
  <si>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</si>
  <si>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</si>
  <si>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</si>
  <si>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</si>
  <si>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</si>
  <si>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</si>
  <si>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</si>
  <si>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</si>
  <si>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</si>
  <si>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</si>
  <si>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</si>
  <si>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</si>
  <si>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</si>
  <si>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</si>
  <si>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</si>
  <si>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</si>
  <si>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</si>
  <si>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</si>
  <si>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</si>
  <si>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</si>
  <si>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</si>
  <si>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</si>
  <si>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</si>
  <si>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</si>
  <si>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</si>
  <si>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</si>
  <si>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</si>
  <si>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</si>
  <si>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</si>
  <si>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</si>
  <si>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</si>
  <si>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</si>
  <si>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</si>
  <si>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</si>
  <si>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</si>
  <si>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</si>
  <si>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</si>
  <si>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</si>
  <si>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</si>
  <si>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</si>
  <si>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</si>
  <si>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</si>
  <si>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</si>
  <si>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</si>
  <si>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</si>
  <si>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</si>
  <si>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</si>
  <si>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</si>
  <si>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</si>
  <si>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</si>
  <si>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</si>
  <si>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</si>
  <si>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</si>
  <si>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</si>
  <si>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</si>
  <si>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</si>
  <si>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</si>
  <si>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</si>
  <si>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</si>
  <si>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</si>
  <si>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</si>
  <si>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</si>
  <si>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</si>
  <si>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</si>
  <si>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</si>
  <si>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</si>
  <si>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</si>
  <si>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</si>
  <si>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</si>
  <si>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</si>
  <si>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</si>
  <si>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</si>
  <si>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</si>
  <si>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</si>
  <si>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</si>
  <si>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</si>
  <si>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</si>
  <si>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</si>
  <si>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</si>
  <si>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</si>
  <si>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</si>
  <si>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</si>
  <si>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</si>
  <si>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</si>
  <si>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</si>
  <si>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</si>
  <si>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</si>
  <si>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</si>
  <si>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</si>
  <si>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</si>
  <si>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</si>
  <si>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</si>
  <si>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</si>
  <si>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</si>
  <si>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</si>
  <si>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</si>
  <si>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</si>
  <si>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</si>
  <si>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</si>
  <si>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</si>
  <si>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</si>
  <si>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</si>
  <si>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</si>
  <si>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</si>
  <si>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</si>
  <si>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</si>
  <si>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</si>
  <si>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</si>
  <si>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</si>
  <si>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</si>
  <si>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</si>
  <si>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</si>
  <si>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</si>
  <si>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</si>
  <si>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</si>
  <si>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</si>
  <si>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</si>
  <si>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</si>
  <si>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</si>
  <si>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</si>
  <si>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</si>
  <si>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</si>
  <si>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</si>
  <si>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</si>
  <si>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</si>
  <si>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</si>
  <si>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</si>
  <si>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</si>
  <si>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</si>
  <si>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</si>
  <si>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</si>
  <si>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</si>
  <si>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</si>
  <si>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</si>
  <si>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</si>
  <si>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</si>
  <si>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</si>
  <si>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</si>
  <si>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</si>
  <si>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</si>
  <si>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</si>
  <si>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</si>
  <si>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</si>
  <si>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</si>
  <si>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</si>
  <si>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</si>
  <si>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</si>
  <si>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</si>
  <si>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</si>
  <si>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</si>
  <si>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</si>
  <si>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</si>
  <si>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</si>
  <si>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</si>
  <si>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</si>
  <si>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</si>
  <si>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</si>
  <si>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</si>
  <si>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</si>
  <si>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</si>
  <si>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</si>
  <si>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</si>
  <si>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</si>
  <si>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</si>
  <si>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</si>
  <si>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</si>
  <si>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</si>
  <si>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</si>
  <si>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</si>
  <si>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</si>
  <si>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</si>
  <si>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</si>
  <si>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</si>
  <si>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</si>
  <si>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</si>
  <si>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</si>
  <si>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</si>
  <si>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</si>
  <si>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</si>
  <si>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</si>
  <si>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</si>
  <si>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</si>
  <si>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</si>
  <si>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</si>
  <si>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</si>
  <si>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</si>
  <si>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</si>
  <si>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</si>
  <si>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</si>
  <si>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</si>
  <si>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</si>
  <si>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</si>
  <si>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</si>
  <si>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</si>
  <si>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</si>
  <si>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</si>
  <si>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</si>
  <si>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</si>
  <si>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</si>
  <si>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</si>
  <si>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</si>
  <si>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</si>
  <si>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</si>
  <si>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</si>
  <si>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</si>
  <si>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</si>
  <si>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</si>
  <si>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</si>
  <si>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</si>
  <si>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</si>
  <si>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</si>
  <si>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</si>
  <si>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</si>
  <si>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</si>
  <si>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</si>
  <si>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</si>
  <si>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</si>
  <si>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</si>
  <si>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</si>
  <si>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</si>
  <si>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</si>
  <si>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</si>
  <si>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</si>
  <si>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</si>
  <si>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</si>
  <si>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</si>
  <si>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</si>
  <si>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</si>
  <si>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</si>
  <si>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</si>
  <si>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</si>
  <si>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</si>
  <si>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</si>
  <si>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</si>
  <si>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</si>
  <si>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</si>
  <si>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</si>
  <si>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</si>
  <si>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</si>
  <si>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</si>
  <si>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</si>
  <si>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</si>
  <si>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</si>
  <si>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</si>
  <si>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</si>
  <si>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</si>
  <si>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</si>
  <si>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</si>
  <si>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</si>
  <si>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</si>
  <si>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</si>
  <si>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</si>
  <si>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</si>
  <si>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</si>
  <si>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</si>
  <si>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</si>
  <si>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</si>
  <si>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</si>
  <si>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</si>
  <si>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</si>
  <si>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</si>
  <si>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</si>
  <si>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</si>
  <si>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</si>
  <si>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</si>
  <si>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</si>
  <si>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</si>
  <si>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</si>
  <si>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</si>
  <si>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</si>
  <si>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</si>
  <si>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</si>
  <si>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</si>
  <si>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</si>
  <si>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</si>
  <si>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</si>
  <si>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</si>
  <si>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</si>
  <si>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</si>
  <si>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</si>
  <si>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</si>
  <si>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</si>
  <si>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</si>
  <si>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</si>
  <si>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</si>
  <si>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</si>
  <si>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</si>
  <si>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</si>
  <si>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</si>
  <si>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</si>
  <si>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</si>
  <si>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</si>
  <si>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</si>
  <si>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</si>
  <si>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</si>
  <si>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</si>
  <si>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</si>
  <si>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</si>
  <si>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</si>
  <si>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</si>
  <si>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</si>
  <si>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</si>
  <si>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</si>
  <si>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</si>
  <si>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</si>
  <si>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</si>
  <si>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</si>
  <si>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</si>
  <si>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</si>
  <si>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</si>
  <si>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</si>
  <si>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</si>
  <si>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</si>
  <si>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</si>
  <si>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</si>
  <si>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</si>
  <si>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</si>
  <si>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</si>
  <si>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</si>
  <si>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</si>
  <si>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</si>
  <si>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</si>
  <si>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</si>
  <si>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</si>
  <si>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</si>
  <si>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</si>
  <si>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</si>
  <si>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</si>
  <si>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</si>
  <si>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</si>
  <si>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</si>
  <si>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</si>
  <si>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</si>
  <si>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</si>
  <si>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</si>
  <si>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</si>
  <si>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</si>
  <si>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</si>
  <si>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</si>
  <si>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</si>
  <si>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</si>
  <si>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</si>
  <si>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</si>
  <si>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</si>
  <si>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</si>
  <si>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</si>
  <si>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</si>
  <si>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</si>
  <si>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</si>
  <si>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</si>
  <si>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</si>
  <si>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</si>
  <si>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</si>
  <si>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</si>
  <si>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</si>
  <si>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</si>
  <si>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</si>
  <si>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</si>
  <si>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</si>
  <si>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</si>
  <si>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</si>
  <si>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</si>
  <si>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</si>
  <si>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</si>
  <si>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</si>
  <si>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</si>
  <si>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</si>
  <si>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</si>
  <si>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</si>
  <si>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</si>
  <si>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</si>
  <si>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</si>
  <si>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</si>
  <si>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</si>
  <si>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</si>
  <si>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</si>
  <si>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</si>
  <si>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</si>
  <si>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</si>
  <si>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</si>
  <si>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</si>
  <si>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</si>
  <si>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</si>
  <si>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</si>
  <si>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</si>
  <si>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</si>
  <si>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</si>
  <si>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</si>
  <si>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</si>
  <si>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</si>
  <si>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</si>
  <si>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</si>
  <si>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</si>
  <si>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</si>
  <si>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</si>
  <si>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</si>
  <si>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</si>
  <si>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</si>
  <si>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</si>
  <si>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</si>
  <si>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</si>
  <si>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</si>
  <si>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</si>
  <si>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</si>
  <si>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</si>
  <si>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</si>
  <si>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</si>
  <si>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</si>
  <si>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</si>
  <si>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</si>
  <si>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</si>
  <si>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</si>
  <si>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</si>
  <si>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</si>
  <si>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</si>
  <si>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</si>
  <si>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</si>
  <si>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</si>
  <si>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</si>
  <si>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</si>
  <si>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</si>
  <si>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</si>
  <si>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</si>
  <si>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</si>
  <si>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</si>
  <si>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</si>
  <si>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</si>
  <si>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Auburn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</si>
</sst>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BCAA-9BD5-491F-909E-C899E3F0DED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29</v>
      </c>
      <c r="C2" s="21">
        <v>29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497849.55</v>
      </c>
      <c r="G9" s="18">
        <v>62895.83</v>
      </c>
      <c r="H9" s="18"/>
      <c r="I9" s="18"/>
      <c r="J9" s="67">
        <f>SUM(I431)</f>
        <v>134075.51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42195.3</v>
      </c>
      <c r="G12" s="18"/>
      <c r="H12" s="18">
        <v>264498.33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15540.28</v>
      </c>
      <c r="G13" s="18">
        <v>3406.84</v>
      </c>
      <c r="H13" s="18">
        <v>46280.29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11284.11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566869.24</v>
      </c>
      <c r="G19" s="41">
        <f>SUM(G9:G18)</f>
        <v>66302.67</v>
      </c>
      <c r="H19" s="41">
        <f>SUM(H9:H18)</f>
        <v>310778.62</v>
      </c>
      <c r="I19" s="41">
        <f>SUM(I9:I18)</f>
        <v>0</v>
      </c>
      <c r="J19" s="41">
        <f>SUM(J9:J18)</f>
        <v>134075.51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306693.63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46750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40442.04</v>
      </c>
      <c r="G25" s="18">
        <v>1890.26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11297.04</v>
      </c>
      <c r="G29" s="18">
        <v>384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3105.15</v>
      </c>
      <c r="H31" s="18">
        <v>4084.99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98489.080000000016</v>
      </c>
      <c r="G33" s="41">
        <f>SUM(G23:G32)</f>
        <v>5379.41</v>
      </c>
      <c r="H33" s="41">
        <f>SUM(H23:H32)</f>
        <v>310778.62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71746.559999999998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75000</v>
      </c>
      <c r="G41" s="18">
        <v>60923.26</v>
      </c>
      <c r="H41" s="18"/>
      <c r="I41" s="18"/>
      <c r="J41" s="13">
        <f>SUM(I449)</f>
        <v>134075.51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321633.59999999998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468380.15999999997</v>
      </c>
      <c r="G43" s="41">
        <f>SUM(G35:G42)</f>
        <v>60923.26</v>
      </c>
      <c r="H43" s="41">
        <f>SUM(H35:H42)</f>
        <v>0</v>
      </c>
      <c r="I43" s="41">
        <f>SUM(I35:I42)</f>
        <v>0</v>
      </c>
      <c r="J43" s="41">
        <f>SUM(J35:J42)</f>
        <v>134075.51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566869.24</v>
      </c>
      <c r="G44" s="41">
        <f>G43+G33</f>
        <v>66302.67</v>
      </c>
      <c r="H44" s="41">
        <f>H43+H33</f>
        <v>310778.62</v>
      </c>
      <c r="I44" s="41">
        <f>I43+I33</f>
        <v>0</v>
      </c>
      <c r="J44" s="41">
        <f>J43+J33</f>
        <v>134075.51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6151148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6151148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5888.01</v>
      </c>
      <c r="G88" s="18"/>
      <c r="H88" s="18"/>
      <c r="I88" s="18"/>
      <c r="J88" s="18">
        <v>322.63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144933.75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60247.66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39002.17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12479.33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5018.8500000000004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64188.36</v>
      </c>
      <c r="G103" s="41">
        <f>SUM(G88:G102)</f>
        <v>144933.75</v>
      </c>
      <c r="H103" s="41">
        <f>SUM(H88:H102)</f>
        <v>60247.66</v>
      </c>
      <c r="I103" s="41">
        <f>SUM(I88:I102)</f>
        <v>0</v>
      </c>
      <c r="J103" s="41">
        <f>SUM(J88:J102)</f>
        <v>322.63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6215336.3600000003</v>
      </c>
      <c r="G104" s="41">
        <f>G52+G103</f>
        <v>144933.75</v>
      </c>
      <c r="H104" s="41">
        <f>H52+H71+H86+H103</f>
        <v>60247.66</v>
      </c>
      <c r="I104" s="41">
        <f>I52+I103</f>
        <v>0</v>
      </c>
      <c r="J104" s="41">
        <f>J52+J103</f>
        <v>322.63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1349295.78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1556908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517683.22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3423887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87975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89843.95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2667.78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6000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183818.95</v>
      </c>
      <c r="G128" s="41">
        <f>SUM(G115:G127)</f>
        <v>2667.78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3607705.95</v>
      </c>
      <c r="G132" s="41">
        <f>G113+SUM(G128:G129)</f>
        <v>2667.78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49417.26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19715.009999999998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38390.98+14437.67</f>
        <v>52828.65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163224.53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63755.9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63755.9</v>
      </c>
      <c r="G154" s="41">
        <f>SUM(G142:G153)</f>
        <v>52828.65</v>
      </c>
      <c r="H154" s="41">
        <f>SUM(H142:H153)</f>
        <v>232356.8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63755.9</v>
      </c>
      <c r="G161" s="41">
        <f>G139+G154+SUM(G155:G160)</f>
        <v>52828.65</v>
      </c>
      <c r="H161" s="41">
        <f>H139+H154+SUM(H155:H160)</f>
        <v>232356.8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81000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81000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81000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9886798.2100000009</v>
      </c>
      <c r="G185" s="47">
        <f>G104+G132+G161+G184</f>
        <v>200430.18</v>
      </c>
      <c r="H185" s="47">
        <f>H104+H132+H161+H184</f>
        <v>292604.45999999996</v>
      </c>
      <c r="I185" s="47">
        <f>I104+I132+I161+I184</f>
        <v>0</v>
      </c>
      <c r="J185" s="47">
        <f>J104+J132+J184</f>
        <v>81322.63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2164651.7799999998</v>
      </c>
      <c r="G189" s="18">
        <v>809752.34</v>
      </c>
      <c r="H189" s="18">
        <f>2200+359.4</f>
        <v>2559.4</v>
      </c>
      <c r="I189" s="18">
        <v>106401.02</v>
      </c>
      <c r="J189" s="18">
        <v>6213.42</v>
      </c>
      <c r="K189" s="18"/>
      <c r="L189" s="19">
        <f>SUM(F189:K189)</f>
        <v>3089577.9599999995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533570.55+14590.29+10352.53+65150</f>
        <v>623663.37000000011</v>
      </c>
      <c r="G190" s="18">
        <f>194513.66+1813+868.94+17625.92</f>
        <v>214821.52000000002</v>
      </c>
      <c r="H190" s="18">
        <f>5618.06+37126.67+239.4+2142.46+1765.59+6528.3</f>
        <v>53420.479999999996</v>
      </c>
      <c r="I190" s="18">
        <f>3791.69+172.65+634.19</f>
        <v>4598.5300000000007</v>
      </c>
      <c r="J190" s="18">
        <v>1423.31</v>
      </c>
      <c r="K190" s="18">
        <v>1144</v>
      </c>
      <c r="L190" s="19">
        <f>SUM(F190:K190)</f>
        <v>899071.2100000002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12980+13400</f>
        <v>26380</v>
      </c>
      <c r="G192" s="18">
        <f>1703.06+1259.38</f>
        <v>2962.44</v>
      </c>
      <c r="H192" s="18">
        <v>3972.5</v>
      </c>
      <c r="I192" s="18">
        <f>3958.77+1688.16</f>
        <v>5646.93</v>
      </c>
      <c r="J192" s="18"/>
      <c r="K192" s="18">
        <v>975</v>
      </c>
      <c r="L192" s="19">
        <f>SUM(F192:K192)</f>
        <v>39936.870000000003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93985+70458.22+56503.13+105445+46296.37</f>
        <v>372687.72</v>
      </c>
      <c r="G194" s="18">
        <f>31143.4+34921.45+24601.64+33140.41+14651.77</f>
        <v>138458.67000000001</v>
      </c>
      <c r="H194" s="18">
        <f>2000+49376+99+4092+12642.73+22756.25</f>
        <v>90965.98</v>
      </c>
      <c r="I194" s="18">
        <f>5911.5+2224.23+1667.96+794.33+740.84+1650.63</f>
        <v>12989.489999999998</v>
      </c>
      <c r="J194" s="18">
        <f>464.61</f>
        <v>464.61</v>
      </c>
      <c r="K194" s="18">
        <f>360+2217.6</f>
        <v>2577.6</v>
      </c>
      <c r="L194" s="19">
        <f t="shared" ref="L194:L200" si="0">SUM(F194:K194)</f>
        <v>618144.06999999995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1200+77751.08</f>
        <v>78951.08</v>
      </c>
      <c r="G195" s="18">
        <f>1583.79+18637.08</f>
        <v>20220.870000000003</v>
      </c>
      <c r="H195" s="18">
        <f>480</f>
        <v>480</v>
      </c>
      <c r="I195" s="18">
        <f>197.67+4065.05</f>
        <v>4262.72</v>
      </c>
      <c r="J195" s="18">
        <f>401.3</f>
        <v>401.3</v>
      </c>
      <c r="K195" s="18">
        <f>80</f>
        <v>80</v>
      </c>
      <c r="L195" s="19">
        <f t="shared" si="0"/>
        <v>104395.97000000002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10025</v>
      </c>
      <c r="G196" s="18">
        <v>915.76</v>
      </c>
      <c r="H196" s="18">
        <f>29199.14+238935</f>
        <v>268134.14</v>
      </c>
      <c r="I196" s="18">
        <v>3629.41</v>
      </c>
      <c r="J196" s="18"/>
      <c r="K196" s="18">
        <v>4118.63</v>
      </c>
      <c r="L196" s="19">
        <f t="shared" si="0"/>
        <v>286822.94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231264.75</v>
      </c>
      <c r="G197" s="18">
        <v>100883.6</v>
      </c>
      <c r="H197" s="18">
        <f>24220.47+27738.17</f>
        <v>51958.64</v>
      </c>
      <c r="I197" s="18">
        <v>701.72</v>
      </c>
      <c r="J197" s="18"/>
      <c r="K197" s="18">
        <v>690</v>
      </c>
      <c r="L197" s="19">
        <f t="shared" si="0"/>
        <v>385498.70999999996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177751.59</v>
      </c>
      <c r="G199" s="18">
        <v>76904.259999999995</v>
      </c>
      <c r="H199" s="18">
        <f>51434+110621.42+17162.87</f>
        <v>179218.28999999998</v>
      </c>
      <c r="I199" s="18">
        <v>138901.29</v>
      </c>
      <c r="J199" s="18"/>
      <c r="K199" s="18"/>
      <c r="L199" s="19">
        <f t="shared" si="0"/>
        <v>572775.42999999993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250403.24+157992.57+6543.25+6080.63</f>
        <v>421019.69</v>
      </c>
      <c r="I200" s="18"/>
      <c r="J200" s="18"/>
      <c r="K200" s="18"/>
      <c r="L200" s="19">
        <f t="shared" si="0"/>
        <v>421019.69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65043.64</v>
      </c>
      <c r="G201" s="18">
        <v>9817.51</v>
      </c>
      <c r="H201" s="18">
        <f>750+825+34581.19+568.01</f>
        <v>36724.200000000004</v>
      </c>
      <c r="I201" s="18">
        <v>17211.32</v>
      </c>
      <c r="J201" s="18">
        <v>17299.93</v>
      </c>
      <c r="K201" s="18"/>
      <c r="L201" s="19">
        <f>SUM(F201:K201)</f>
        <v>146096.6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3750418.93</v>
      </c>
      <c r="G203" s="41">
        <f t="shared" si="1"/>
        <v>1374736.9700000002</v>
      </c>
      <c r="H203" s="41">
        <f t="shared" si="1"/>
        <v>1108453.3199999998</v>
      </c>
      <c r="I203" s="41">
        <f t="shared" si="1"/>
        <v>294342.43</v>
      </c>
      <c r="J203" s="41">
        <f t="shared" si="1"/>
        <v>25802.57</v>
      </c>
      <c r="K203" s="41">
        <f t="shared" si="1"/>
        <v>9585.23</v>
      </c>
      <c r="L203" s="41">
        <f t="shared" si="1"/>
        <v>6563339.4500000002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12983.93</v>
      </c>
      <c r="I208" s="18"/>
      <c r="J208" s="18"/>
      <c r="K208" s="18"/>
      <c r="L208" s="19">
        <f>SUM(F208:K208)</f>
        <v>12983.93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12983.93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12983.93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2497609.4900000002</v>
      </c>
      <c r="I225" s="18"/>
      <c r="J225" s="18"/>
      <c r="K225" s="18"/>
      <c r="L225" s="19">
        <f>SUM(F225:K225)</f>
        <v>2497609.4900000002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10943.13+609067.84+118566.56+126084.31</f>
        <v>864661.84000000008</v>
      </c>
      <c r="I226" s="18"/>
      <c r="J226" s="18"/>
      <c r="K226" s="18"/>
      <c r="L226" s="19">
        <f>SUM(F226:K226)</f>
        <v>864661.84000000008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6750</v>
      </c>
      <c r="I227" s="18"/>
      <c r="J227" s="18"/>
      <c r="K227" s="18"/>
      <c r="L227" s="19">
        <f>SUM(F227:K227)</f>
        <v>6750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87219.11+58787.93</f>
        <v>146007.04000000001</v>
      </c>
      <c r="I236" s="18"/>
      <c r="J236" s="18"/>
      <c r="K236" s="18"/>
      <c r="L236" s="19">
        <f t="shared" si="4"/>
        <v>146007.04000000001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3515028.37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3515028.37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3750418.93</v>
      </c>
      <c r="G249" s="41">
        <f t="shared" si="8"/>
        <v>1374736.9700000002</v>
      </c>
      <c r="H249" s="41">
        <f t="shared" si="8"/>
        <v>4636465.62</v>
      </c>
      <c r="I249" s="41">
        <f t="shared" si="8"/>
        <v>294342.43</v>
      </c>
      <c r="J249" s="41">
        <f t="shared" si="8"/>
        <v>25802.57</v>
      </c>
      <c r="K249" s="41">
        <f t="shared" si="8"/>
        <v>9585.23</v>
      </c>
      <c r="L249" s="41">
        <f t="shared" si="8"/>
        <v>10091351.75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81000</v>
      </c>
      <c r="L258" s="19">
        <f t="shared" si="9"/>
        <v>81000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81000</v>
      </c>
      <c r="L262" s="41">
        <f t="shared" si="9"/>
        <v>81000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3750418.93</v>
      </c>
      <c r="G263" s="42">
        <f t="shared" si="11"/>
        <v>1374736.9700000002</v>
      </c>
      <c r="H263" s="42">
        <f t="shared" si="11"/>
        <v>4636465.62</v>
      </c>
      <c r="I263" s="42">
        <f t="shared" si="11"/>
        <v>294342.43</v>
      </c>
      <c r="J263" s="42">
        <f t="shared" si="11"/>
        <v>25802.57</v>
      </c>
      <c r="K263" s="42">
        <f t="shared" si="11"/>
        <v>90585.23</v>
      </c>
      <c r="L263" s="42">
        <f t="shared" si="11"/>
        <v>10172351.75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29430.97+16919.5</f>
        <v>46350.47</v>
      </c>
      <c r="G268" s="18">
        <f>1294.37</f>
        <v>1294.3699999999999</v>
      </c>
      <c r="H268" s="18">
        <f>1500</f>
        <v>1500</v>
      </c>
      <c r="I268" s="18">
        <f>384.31</f>
        <v>384.31</v>
      </c>
      <c r="J268" s="18">
        <f>2248.68+7813.66</f>
        <v>10062.34</v>
      </c>
      <c r="K268" s="18"/>
      <c r="L268" s="19">
        <f>SUM(F268:K268)</f>
        <v>59591.490000000005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27713.74+5060.11+37192+20964.29</f>
        <v>90930.140000000014</v>
      </c>
      <c r="G269" s="18">
        <f>3102.87+219.2+28.77+43.61+2011.4+387.09+2075.4+4133.16+2801.92</f>
        <v>14803.42</v>
      </c>
      <c r="H269" s="18">
        <f>5150.7</f>
        <v>5150.7</v>
      </c>
      <c r="I269" s="18"/>
      <c r="J269" s="18"/>
      <c r="K269" s="18">
        <v>625.59</v>
      </c>
      <c r="L269" s="19">
        <f>SUM(F269:K269)</f>
        <v>111509.85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1020+15131.6</f>
        <v>16151.6</v>
      </c>
      <c r="G273" s="18">
        <f>74.49+76.34+1157.6</f>
        <v>1308.4299999999998</v>
      </c>
      <c r="H273" s="18">
        <f>13999.5+9100+3000+400+750</f>
        <v>27249.5</v>
      </c>
      <c r="I273" s="18">
        <f>995+375.24</f>
        <v>1370.24</v>
      </c>
      <c r="J273" s="18"/>
      <c r="K273" s="18"/>
      <c r="L273" s="19">
        <f t="shared" ref="L273:L279" si="12">SUM(F273:K273)</f>
        <v>46079.77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4401.94</f>
        <v>4401.9399999999996</v>
      </c>
      <c r="G274" s="18">
        <f>329.37+290.23</f>
        <v>619.6</v>
      </c>
      <c r="H274" s="18">
        <f>3590+2125+950+1382+500+789</f>
        <v>9336</v>
      </c>
      <c r="I274" s="18">
        <f>2442.96+215.57</f>
        <v>2658.53</v>
      </c>
      <c r="J274" s="18"/>
      <c r="K274" s="18"/>
      <c r="L274" s="19">
        <f t="shared" si="12"/>
        <v>17016.07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21+887.79+142.83+500.32+2266.16+23+2627.18</f>
        <v>6468.2799999999988</v>
      </c>
      <c r="L277" s="19">
        <f t="shared" si="12"/>
        <v>6468.2799999999988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2000</v>
      </c>
      <c r="I280" s="18"/>
      <c r="J280" s="18"/>
      <c r="K280" s="18"/>
      <c r="L280" s="19">
        <f>SUM(F280:K280)</f>
        <v>2000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157834.15000000002</v>
      </c>
      <c r="G282" s="42">
        <f t="shared" si="13"/>
        <v>18025.82</v>
      </c>
      <c r="H282" s="42">
        <f t="shared" si="13"/>
        <v>45236.2</v>
      </c>
      <c r="I282" s="42">
        <f t="shared" si="13"/>
        <v>4413.08</v>
      </c>
      <c r="J282" s="42">
        <f t="shared" si="13"/>
        <v>10062.34</v>
      </c>
      <c r="K282" s="42">
        <f t="shared" si="13"/>
        <v>7093.869999999999</v>
      </c>
      <c r="L282" s="41">
        <f t="shared" si="13"/>
        <v>242665.46000000002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f>49939</f>
        <v>49939</v>
      </c>
      <c r="I328" s="18"/>
      <c r="J328" s="18"/>
      <c r="K328" s="18"/>
      <c r="L328" s="19">
        <f t="shared" si="18"/>
        <v>49939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49939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49939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157834.15000000002</v>
      </c>
      <c r="G330" s="41">
        <f t="shared" si="20"/>
        <v>18025.82</v>
      </c>
      <c r="H330" s="41">
        <f t="shared" si="20"/>
        <v>95175.2</v>
      </c>
      <c r="I330" s="41">
        <f t="shared" si="20"/>
        <v>4413.08</v>
      </c>
      <c r="J330" s="41">
        <f t="shared" si="20"/>
        <v>10062.34</v>
      </c>
      <c r="K330" s="41">
        <f t="shared" si="20"/>
        <v>7093.869999999999</v>
      </c>
      <c r="L330" s="41">
        <f t="shared" si="20"/>
        <v>292604.46000000002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157834.15000000002</v>
      </c>
      <c r="G344" s="41">
        <f>G330</f>
        <v>18025.82</v>
      </c>
      <c r="H344" s="41">
        <f>H330</f>
        <v>95175.2</v>
      </c>
      <c r="I344" s="41">
        <f>I330</f>
        <v>4413.08</v>
      </c>
      <c r="J344" s="41">
        <f>J330</f>
        <v>10062.34</v>
      </c>
      <c r="K344" s="47">
        <f>K330+K343</f>
        <v>7093.869999999999</v>
      </c>
      <c r="L344" s="41">
        <f>L330+L343</f>
        <v>292604.46000000002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65910.720000000001</v>
      </c>
      <c r="G350" s="18">
        <f>15368.16+491.28+67.49+4426.04+2621.67+228.1+959.81</f>
        <v>24162.55</v>
      </c>
      <c r="H350" s="18">
        <f>3118.52+1212.25</f>
        <v>4330.7700000000004</v>
      </c>
      <c r="I350" s="18">
        <f>8852.82+74147.87+14437.67</f>
        <v>97438.36</v>
      </c>
      <c r="J350" s="18">
        <v>1762.08</v>
      </c>
      <c r="K350" s="18"/>
      <c r="L350" s="13">
        <f>SUM(F350:K350)</f>
        <v>193604.48000000001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65910.720000000001</v>
      </c>
      <c r="G354" s="47">
        <f t="shared" si="22"/>
        <v>24162.55</v>
      </c>
      <c r="H354" s="47">
        <f t="shared" si="22"/>
        <v>4330.7700000000004</v>
      </c>
      <c r="I354" s="47">
        <f t="shared" si="22"/>
        <v>97438.36</v>
      </c>
      <c r="J354" s="47">
        <f t="shared" si="22"/>
        <v>1762.08</v>
      </c>
      <c r="K354" s="47">
        <f t="shared" si="22"/>
        <v>0</v>
      </c>
      <c r="L354" s="47">
        <f t="shared" si="22"/>
        <v>193604.48000000001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74147.87+14437.67</f>
        <v>88585.54</v>
      </c>
      <c r="G359" s="18"/>
      <c r="H359" s="18"/>
      <c r="I359" s="56">
        <f>SUM(F359:H359)</f>
        <v>88585.54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8852.82</v>
      </c>
      <c r="G360" s="63"/>
      <c r="H360" s="63"/>
      <c r="I360" s="56">
        <f>SUM(F360:H360)</f>
        <v>8852.82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97438.359999999986</v>
      </c>
      <c r="G361" s="47">
        <f>SUM(G359:G360)</f>
        <v>0</v>
      </c>
      <c r="H361" s="47">
        <f>SUM(H359:H360)</f>
        <v>0</v>
      </c>
      <c r="I361" s="47">
        <f>SUM(I359:I360)</f>
        <v>97438.359999999986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31000</v>
      </c>
      <c r="H380" s="18">
        <v>57.71</v>
      </c>
      <c r="I380" s="18"/>
      <c r="J380" s="24" t="s">
        <v>312</v>
      </c>
      <c r="K380" s="24" t="s">
        <v>312</v>
      </c>
      <c r="L380" s="56">
        <f t="shared" si="25"/>
        <v>31057.71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31000</v>
      </c>
      <c r="H385" s="139">
        <f>SUM(H379:H384)</f>
        <v>57.71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31057.71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264.92</v>
      </c>
      <c r="I389" s="18"/>
      <c r="J389" s="24" t="s">
        <v>312</v>
      </c>
      <c r="K389" s="24" t="s">
        <v>312</v>
      </c>
      <c r="L389" s="56">
        <f t="shared" si="26"/>
        <v>50264.92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264.92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50264.92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81000</v>
      </c>
      <c r="H400" s="47">
        <f>H385+H393+H399</f>
        <v>322.63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81322.63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32572.080000000002</v>
      </c>
      <c r="G431" s="18">
        <v>101503.43</v>
      </c>
      <c r="H431" s="18"/>
      <c r="I431" s="56">
        <f t="shared" ref="I431:I437" si="33">SUM(F431:H431)</f>
        <v>134075.51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32572.080000000002</v>
      </c>
      <c r="G438" s="13">
        <f>SUM(G431:G437)</f>
        <v>101503.43</v>
      </c>
      <c r="H438" s="13">
        <f>SUM(H431:H437)</f>
        <v>0</v>
      </c>
      <c r="I438" s="13">
        <f>SUM(I431:I437)</f>
        <v>134075.51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32572.080000000002</v>
      </c>
      <c r="G449" s="18">
        <v>101503.43</v>
      </c>
      <c r="H449" s="18"/>
      <c r="I449" s="56">
        <f>SUM(F449:H449)</f>
        <v>134075.51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32572.080000000002</v>
      </c>
      <c r="G450" s="83">
        <f>SUM(G446:G449)</f>
        <v>101503.43</v>
      </c>
      <c r="H450" s="83">
        <f>SUM(H446:H449)</f>
        <v>0</v>
      </c>
      <c r="I450" s="83">
        <f>SUM(I446:I449)</f>
        <v>134075.51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32572.080000000002</v>
      </c>
      <c r="G451" s="42">
        <f>G444+G450</f>
        <v>101503.43</v>
      </c>
      <c r="H451" s="42">
        <f>H444+H450</f>
        <v>0</v>
      </c>
      <c r="I451" s="42">
        <f>I444+I450</f>
        <v>134075.51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753933.7</v>
      </c>
      <c r="G455" s="18">
        <v>54097.56</v>
      </c>
      <c r="H455" s="18"/>
      <c r="I455" s="18"/>
      <c r="J455" s="18">
        <v>52752.88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9886798.2100000009</v>
      </c>
      <c r="G458" s="18">
        <v>200430.18</v>
      </c>
      <c r="H458" s="18">
        <v>292604.46000000002</v>
      </c>
      <c r="I458" s="18"/>
      <c r="J458" s="18">
        <v>81322.63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9886798.2100000009</v>
      </c>
      <c r="G460" s="53">
        <f>SUM(G458:G459)</f>
        <v>200430.18</v>
      </c>
      <c r="H460" s="53">
        <f>SUM(H458:H459)</f>
        <v>292604.46000000002</v>
      </c>
      <c r="I460" s="53">
        <f>SUM(I458:I459)</f>
        <v>0</v>
      </c>
      <c r="J460" s="53">
        <f>SUM(J458:J459)</f>
        <v>81322.63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10172351.75</v>
      </c>
      <c r="G462" s="18">
        <v>193604.48000000001</v>
      </c>
      <c r="H462" s="18">
        <v>292604.46000000002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10172351.75</v>
      </c>
      <c r="G464" s="53">
        <f>SUM(G462:G463)</f>
        <v>193604.48000000001</v>
      </c>
      <c r="H464" s="53">
        <f>SUM(H462:H463)</f>
        <v>292604.46000000002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468380.16000000015</v>
      </c>
      <c r="G466" s="53">
        <f>(G455+G460)- G464</f>
        <v>60923.25999999998</v>
      </c>
      <c r="H466" s="53">
        <f>(H455+H460)- H464</f>
        <v>0</v>
      </c>
      <c r="I466" s="53">
        <f>(I455+I460)- I464</f>
        <v>0</v>
      </c>
      <c r="J466" s="53">
        <f>(J455+J460)- J464</f>
        <v>134075.51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37192+20964.29+220340.97+210600.09+208.31+9945+4645.29+10352.53+65150</f>
        <v>579398.48</v>
      </c>
      <c r="G511" s="18">
        <f>4133.16+2801.92+145015.94+1813+868.94+17625.92</f>
        <v>172258.88</v>
      </c>
      <c r="H511" s="18">
        <f>2142.46+1765.59</f>
        <v>3908.05</v>
      </c>
      <c r="I511" s="18">
        <f>3791.69+172.65+521.09+113.1</f>
        <v>4598.5300000000007</v>
      </c>
      <c r="J511" s="18">
        <v>1423.31</v>
      </c>
      <c r="K511" s="18"/>
      <c r="L511" s="88">
        <f>SUM(F511:K511)</f>
        <v>761587.25000000012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12983.93</v>
      </c>
      <c r="I512" s="18"/>
      <c r="J512" s="18"/>
      <c r="K512" s="18"/>
      <c r="L512" s="88">
        <f>SUM(F512:K512)</f>
        <v>12983.93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609067.84+118566.56+126084.31</f>
        <v>853718.71</v>
      </c>
      <c r="I513" s="18"/>
      <c r="J513" s="18"/>
      <c r="K513" s="18"/>
      <c r="L513" s="88">
        <f>SUM(F513:K513)</f>
        <v>853718.71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579398.48</v>
      </c>
      <c r="G514" s="108">
        <f t="shared" ref="G514:L514" si="35">SUM(G511:G513)</f>
        <v>172258.88</v>
      </c>
      <c r="H514" s="108">
        <f t="shared" si="35"/>
        <v>870610.69</v>
      </c>
      <c r="I514" s="108">
        <f t="shared" si="35"/>
        <v>4598.5300000000007</v>
      </c>
      <c r="J514" s="108">
        <f t="shared" si="35"/>
        <v>1423.31</v>
      </c>
      <c r="K514" s="108">
        <f t="shared" si="35"/>
        <v>0</v>
      </c>
      <c r="L514" s="89">
        <f t="shared" si="35"/>
        <v>1628289.8900000001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56503.13+105445+46296.37+27713.74+5060.11+1020+15131.6</f>
        <v>257169.94999999998</v>
      </c>
      <c r="G516" s="18">
        <f>24601.64+33140.41+14651.77+3102.87+219.2+28.77+43.61+2011.4+387.09+2075.4+74.49+76.34+1157.6</f>
        <v>81570.59</v>
      </c>
      <c r="H516" s="18">
        <f>5618.06+37126.67+10943.13+6528.3+4092+12642.73+22756.25+5150.7+13999.5+9100+3000+1382+500</f>
        <v>132839.34</v>
      </c>
      <c r="I516" s="18">
        <f>1667.96+794.33+740.84+375.24+215.57</f>
        <v>3793.94</v>
      </c>
      <c r="J516" s="18">
        <v>464.61</v>
      </c>
      <c r="K516" s="18">
        <f>1144+360</f>
        <v>1504</v>
      </c>
      <c r="L516" s="88">
        <f>SUM(F516:K516)</f>
        <v>477342.43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257169.94999999998</v>
      </c>
      <c r="G519" s="89">
        <f t="shared" ref="G519:L519" si="36">SUM(G516:G518)</f>
        <v>81570.59</v>
      </c>
      <c r="H519" s="89">
        <f t="shared" si="36"/>
        <v>132839.34</v>
      </c>
      <c r="I519" s="89">
        <f t="shared" si="36"/>
        <v>3793.94</v>
      </c>
      <c r="J519" s="89">
        <f t="shared" si="36"/>
        <v>464.61</v>
      </c>
      <c r="K519" s="89">
        <f t="shared" si="36"/>
        <v>1504</v>
      </c>
      <c r="L519" s="89">
        <f t="shared" si="36"/>
        <v>477342.43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76357.38+26063.8</f>
        <v>102421.18000000001</v>
      </c>
      <c r="G521" s="18">
        <v>49497.72</v>
      </c>
      <c r="H521" s="18"/>
      <c r="I521" s="18"/>
      <c r="J521" s="18"/>
      <c r="K521" s="18"/>
      <c r="L521" s="88">
        <f>SUM(F521:K521)</f>
        <v>151918.90000000002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102421.18000000001</v>
      </c>
      <c r="G524" s="89">
        <f t="shared" ref="G524:L524" si="37">SUM(G521:G523)</f>
        <v>49497.72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151918.90000000002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157992.57</v>
      </c>
      <c r="I531" s="18"/>
      <c r="J531" s="18"/>
      <c r="K531" s="18"/>
      <c r="L531" s="88">
        <f>SUM(F531:K531)</f>
        <v>157992.57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58787.93</v>
      </c>
      <c r="I533" s="18"/>
      <c r="J533" s="18"/>
      <c r="K533" s="18"/>
      <c r="L533" s="88">
        <f>SUM(F533:K533)</f>
        <v>58787.93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216780.5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216780.5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938989.61</v>
      </c>
      <c r="G535" s="89">
        <f t="shared" ref="G535:L535" si="40">G514+G519+G524+G529+G534</f>
        <v>303327.19</v>
      </c>
      <c r="H535" s="89">
        <f t="shared" si="40"/>
        <v>1220230.5299999998</v>
      </c>
      <c r="I535" s="89">
        <f t="shared" si="40"/>
        <v>8392.4700000000012</v>
      </c>
      <c r="J535" s="89">
        <f t="shared" si="40"/>
        <v>1887.92</v>
      </c>
      <c r="K535" s="89">
        <f t="shared" si="40"/>
        <v>1504</v>
      </c>
      <c r="L535" s="89">
        <f t="shared" si="40"/>
        <v>2474331.7200000002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761587.25000000012</v>
      </c>
      <c r="G539" s="87">
        <f>L516</f>
        <v>477342.43</v>
      </c>
      <c r="H539" s="87">
        <f>L521</f>
        <v>151918.90000000002</v>
      </c>
      <c r="I539" s="87">
        <f>L526</f>
        <v>0</v>
      </c>
      <c r="J539" s="87">
        <f>L531</f>
        <v>157992.57</v>
      </c>
      <c r="K539" s="87">
        <f>SUM(F539:J539)</f>
        <v>1548841.1500000001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12983.93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12983.93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853718.71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58787.93</v>
      </c>
      <c r="K541" s="87">
        <f>SUM(F541:J541)</f>
        <v>912506.64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1628289.8900000001</v>
      </c>
      <c r="G542" s="89">
        <f t="shared" si="41"/>
        <v>477342.43</v>
      </c>
      <c r="H542" s="89">
        <f t="shared" si="41"/>
        <v>151918.90000000002</v>
      </c>
      <c r="I542" s="89">
        <f t="shared" si="41"/>
        <v>0</v>
      </c>
      <c r="J542" s="89">
        <f t="shared" si="41"/>
        <v>216780.5</v>
      </c>
      <c r="K542" s="89">
        <f t="shared" si="41"/>
        <v>2474331.7200000002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10352.530000000001</v>
      </c>
      <c r="G552" s="18">
        <v>868.94</v>
      </c>
      <c r="H552" s="18"/>
      <c r="I552" s="18">
        <v>172.65</v>
      </c>
      <c r="J552" s="18"/>
      <c r="K552" s="18"/>
      <c r="L552" s="88">
        <f>SUM(F552:K552)</f>
        <v>11394.12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10352.530000000001</v>
      </c>
      <c r="G555" s="89">
        <f t="shared" si="43"/>
        <v>868.94</v>
      </c>
      <c r="H555" s="89">
        <f t="shared" si="43"/>
        <v>0</v>
      </c>
      <c r="I555" s="89">
        <f t="shared" si="43"/>
        <v>172.65</v>
      </c>
      <c r="J555" s="89">
        <f t="shared" si="43"/>
        <v>0</v>
      </c>
      <c r="K555" s="89">
        <f t="shared" si="43"/>
        <v>0</v>
      </c>
      <c r="L555" s="89">
        <f t="shared" si="43"/>
        <v>11394.12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65150</v>
      </c>
      <c r="G557" s="18">
        <v>17625.919999999998</v>
      </c>
      <c r="H557" s="18"/>
      <c r="I557" s="18">
        <f>521.09+113.1</f>
        <v>634.19000000000005</v>
      </c>
      <c r="J557" s="18"/>
      <c r="K557" s="18"/>
      <c r="L557" s="88">
        <f>SUM(F557:K557)</f>
        <v>83410.11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65150</v>
      </c>
      <c r="G560" s="194">
        <f t="shared" ref="G560:L560" si="44">SUM(G557:G559)</f>
        <v>17625.919999999998</v>
      </c>
      <c r="H560" s="194">
        <f t="shared" si="44"/>
        <v>0</v>
      </c>
      <c r="I560" s="194">
        <f t="shared" si="44"/>
        <v>634.19000000000005</v>
      </c>
      <c r="J560" s="194">
        <f t="shared" si="44"/>
        <v>0</v>
      </c>
      <c r="K560" s="194">
        <f t="shared" si="44"/>
        <v>0</v>
      </c>
      <c r="L560" s="194">
        <f t="shared" si="44"/>
        <v>83410.11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75502.53</v>
      </c>
      <c r="G561" s="89">
        <f t="shared" ref="G561:L561" si="45">G550+G555+G560</f>
        <v>18494.859999999997</v>
      </c>
      <c r="H561" s="89">
        <f t="shared" si="45"/>
        <v>0</v>
      </c>
      <c r="I561" s="89">
        <f t="shared" si="45"/>
        <v>806.84</v>
      </c>
      <c r="J561" s="89">
        <f t="shared" si="45"/>
        <v>0</v>
      </c>
      <c r="K561" s="89">
        <f t="shared" si="45"/>
        <v>0</v>
      </c>
      <c r="L561" s="89">
        <f t="shared" si="45"/>
        <v>94804.23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1833722.03</v>
      </c>
      <c r="I565" s="87">
        <f>SUM(F565:H565)</f>
        <v>1833722.03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663887.46</v>
      </c>
      <c r="I567" s="87">
        <f t="shared" si="46"/>
        <v>663887.46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609067.84</v>
      </c>
      <c r="I569" s="87">
        <f t="shared" si="46"/>
        <v>609067.84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118566.56</v>
      </c>
      <c r="I571" s="87">
        <f t="shared" si="46"/>
        <v>118566.56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12983.93</v>
      </c>
      <c r="H572" s="18">
        <v>126084.31</v>
      </c>
      <c r="I572" s="87">
        <f t="shared" si="46"/>
        <v>139068.24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250403.24</v>
      </c>
      <c r="I581" s="18"/>
      <c r="J581" s="18">
        <v>87219.11</v>
      </c>
      <c r="K581" s="104">
        <f t="shared" ref="K581:K587" si="47">SUM(H581:J581)</f>
        <v>337622.35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157992.57</v>
      </c>
      <c r="I582" s="18"/>
      <c r="J582" s="18">
        <v>58787.93</v>
      </c>
      <c r="K582" s="104">
        <f t="shared" si="47"/>
        <v>216780.5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6080.63</v>
      </c>
      <c r="I584" s="18"/>
      <c r="J584" s="18"/>
      <c r="K584" s="104">
        <f t="shared" si="47"/>
        <v>6080.63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6543.25</v>
      </c>
      <c r="I585" s="18"/>
      <c r="J585" s="18"/>
      <c r="K585" s="104">
        <f t="shared" si="47"/>
        <v>6543.25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421019.69</v>
      </c>
      <c r="I588" s="108">
        <f>SUM(I581:I587)</f>
        <v>0</v>
      </c>
      <c r="J588" s="108">
        <f>SUM(J581:J587)</f>
        <v>146007.04000000001</v>
      </c>
      <c r="K588" s="108">
        <f>SUM(K581:K587)</f>
        <v>567026.73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35864.910000000003</v>
      </c>
      <c r="I594" s="18"/>
      <c r="J594" s="18"/>
      <c r="K594" s="104">
        <f>SUM(H594:J594)</f>
        <v>35864.910000000003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35864.910000000003</v>
      </c>
      <c r="I595" s="108">
        <f>SUM(I592:I594)</f>
        <v>0</v>
      </c>
      <c r="J595" s="108">
        <f>SUM(J592:J594)</f>
        <v>0</v>
      </c>
      <c r="K595" s="108">
        <f>SUM(K592:K594)</f>
        <v>35864.910000000003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9945+4645.29</f>
        <v>14590.29</v>
      </c>
      <c r="G601" s="18">
        <f>1813</f>
        <v>1813</v>
      </c>
      <c r="H601" s="18">
        <v>6528.3</v>
      </c>
      <c r="I601" s="18"/>
      <c r="J601" s="18"/>
      <c r="K601" s="18"/>
      <c r="L601" s="88">
        <f>SUM(F601:K601)</f>
        <v>22931.59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14590.29</v>
      </c>
      <c r="G604" s="108">
        <f t="shared" si="48"/>
        <v>1813</v>
      </c>
      <c r="H604" s="108">
        <f t="shared" si="48"/>
        <v>6528.3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22931.59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566869.24</v>
      </c>
      <c r="H607" s="109">
        <f>SUM(F44)</f>
        <v>566869.24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66302.67</v>
      </c>
      <c r="H608" s="109">
        <f>SUM(G44)</f>
        <v>66302.67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310778.62</v>
      </c>
      <c r="H609" s="109">
        <f>SUM(H44)</f>
        <v>310778.62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134075.51</v>
      </c>
      <c r="H611" s="109">
        <f>SUM(J44)</f>
        <v>134075.51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468380.15999999997</v>
      </c>
      <c r="H612" s="109">
        <f>F466</f>
        <v>468380.16000000015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60923.26</v>
      </c>
      <c r="H613" s="109">
        <f>G466</f>
        <v>60923.25999999998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134075.51</v>
      </c>
      <c r="H616" s="109">
        <f>J466</f>
        <v>134075.51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9886798.2100000009</v>
      </c>
      <c r="H617" s="104">
        <f>SUM(F458)</f>
        <v>9886798.2100000009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200430.18</v>
      </c>
      <c r="H618" s="104">
        <f>SUM(G458)</f>
        <v>200430.18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292604.45999999996</v>
      </c>
      <c r="H619" s="104">
        <f>SUM(H458)</f>
        <v>292604.46000000002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81322.63</v>
      </c>
      <c r="H621" s="104">
        <f>SUM(J458)</f>
        <v>81322.63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10172351.75</v>
      </c>
      <c r="H622" s="104">
        <f>SUM(F462)</f>
        <v>10172351.75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292604.46000000002</v>
      </c>
      <c r="H623" s="104">
        <f>SUM(H462)</f>
        <v>292604.46000000002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97438.36</v>
      </c>
      <c r="H624" s="104">
        <f>I361</f>
        <v>97438.359999999986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193604.48000000001</v>
      </c>
      <c r="H625" s="104">
        <f>SUM(G462)</f>
        <v>193604.48000000001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81322.63</v>
      </c>
      <c r="H627" s="164">
        <f>SUM(J458)</f>
        <v>81322.63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32572.080000000002</v>
      </c>
      <c r="H629" s="104">
        <f>SUM(F451)</f>
        <v>32572.080000000002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101503.43</v>
      </c>
      <c r="H630" s="104">
        <f>SUM(G451)</f>
        <v>101503.43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134075.51</v>
      </c>
      <c r="H632" s="104">
        <f>SUM(I451)</f>
        <v>134075.51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322.63</v>
      </c>
      <c r="H634" s="104">
        <f>H400</f>
        <v>322.63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81000</v>
      </c>
      <c r="H635" s="104">
        <f>G400</f>
        <v>81000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81322.63</v>
      </c>
      <c r="H636" s="104">
        <f>L400</f>
        <v>81322.63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567026.73</v>
      </c>
      <c r="H637" s="104">
        <f>L200+L218+L236</f>
        <v>567026.73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35864.910000000003</v>
      </c>
      <c r="H638" s="104">
        <f>(J249+J330)-(J247+J328)</f>
        <v>35864.910000000003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421019.69</v>
      </c>
      <c r="H639" s="104">
        <f>H588</f>
        <v>421019.69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146007.04000000001</v>
      </c>
      <c r="H641" s="104">
        <f>J588</f>
        <v>146007.04000000001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81000</v>
      </c>
      <c r="H645" s="104">
        <f>K258+K339</f>
        <v>81000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6999609.3900000006</v>
      </c>
      <c r="G650" s="19">
        <f>(L221+L301+L351)</f>
        <v>12983.93</v>
      </c>
      <c r="H650" s="19">
        <f>(L239+L320+L352)</f>
        <v>3515028.37</v>
      </c>
      <c r="I650" s="19">
        <f>SUM(F650:H650)</f>
        <v>10527621.690000001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144933.75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144933.75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421019.69</v>
      </c>
      <c r="G652" s="19">
        <f>(L218+L298)-(J218+J298)</f>
        <v>0</v>
      </c>
      <c r="H652" s="19">
        <f>(L236+L317)-(J236+J317)</f>
        <v>146007.04000000001</v>
      </c>
      <c r="I652" s="19">
        <f>SUM(F652:H652)</f>
        <v>567026.73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58796.5</v>
      </c>
      <c r="G653" s="200">
        <f>SUM(G565:G577)+SUM(I592:I594)+L602</f>
        <v>12983.93</v>
      </c>
      <c r="H653" s="200">
        <f>SUM(H565:H577)+SUM(J592:J594)+L603</f>
        <v>3351328.2</v>
      </c>
      <c r="I653" s="19">
        <f>SUM(F653:H653)</f>
        <v>3423108.6300000004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6374859.4500000011</v>
      </c>
      <c r="G654" s="19">
        <f>G650-SUM(G651:G653)</f>
        <v>0</v>
      </c>
      <c r="H654" s="19">
        <f>H650-SUM(H651:H653)</f>
        <v>17693.129999999888</v>
      </c>
      <c r="I654" s="19">
        <f>I650-SUM(I651:I653)</f>
        <v>6392552.580000001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593.87</v>
      </c>
      <c r="G655" s="249"/>
      <c r="H655" s="249"/>
      <c r="I655" s="19">
        <f>SUM(F655:H655)</f>
        <v>593.87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10734.44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10764.23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-17693.13</v>
      </c>
      <c r="I659" s="19">
        <f>SUM(F659:H659)</f>
        <v>-17693.13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10734.44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10734.44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B3EA-BAAD-4B3A-917D-C8DD0311078A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Auburn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2211002.25</v>
      </c>
      <c r="C9" s="230">
        <f>'DOE25'!G189+'DOE25'!G207+'DOE25'!G225+'DOE25'!G268+'DOE25'!G287+'DOE25'!G306</f>
        <v>811046.71</v>
      </c>
    </row>
    <row r="10" spans="1:3" x14ac:dyDescent="0.2">
      <c r="A10" t="s">
        <v>813</v>
      </c>
      <c r="B10" s="241">
        <v>2070298.98</v>
      </c>
      <c r="C10" s="241">
        <v>799330.77</v>
      </c>
    </row>
    <row r="11" spans="1:3" x14ac:dyDescent="0.2">
      <c r="A11" t="s">
        <v>814</v>
      </c>
      <c r="B11" s="241">
        <v>52489.2</v>
      </c>
      <c r="C11" s="241">
        <v>4476.4399999999996</v>
      </c>
    </row>
    <row r="12" spans="1:3" x14ac:dyDescent="0.2">
      <c r="A12" t="s">
        <v>815</v>
      </c>
      <c r="B12" s="241">
        <v>88214.07</v>
      </c>
      <c r="C12" s="241">
        <v>7239.5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2211002.25</v>
      </c>
      <c r="C13" s="232">
        <f>SUM(C10:C12)</f>
        <v>811046.71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714593.51000000013</v>
      </c>
      <c r="C18" s="230">
        <f>'DOE25'!G190+'DOE25'!G208+'DOE25'!G226+'DOE25'!G269+'DOE25'!G288+'DOE25'!G307</f>
        <v>229624.94000000003</v>
      </c>
    </row>
    <row r="19" spans="1:3" x14ac:dyDescent="0.2">
      <c r="A19" t="s">
        <v>813</v>
      </c>
      <c r="B19" s="241">
        <v>332627.96999999997</v>
      </c>
      <c r="C19" s="241">
        <v>126117.14</v>
      </c>
    </row>
    <row r="20" spans="1:3" x14ac:dyDescent="0.2">
      <c r="A20" t="s">
        <v>814</v>
      </c>
      <c r="B20" s="241">
        <v>236209.67</v>
      </c>
      <c r="C20" s="241">
        <v>53415.57</v>
      </c>
    </row>
    <row r="21" spans="1:3" x14ac:dyDescent="0.2">
      <c r="A21" t="s">
        <v>815</v>
      </c>
      <c r="B21" s="241">
        <v>145755.87</v>
      </c>
      <c r="C21" s="241">
        <v>50092.23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714593.51</v>
      </c>
      <c r="C22" s="232">
        <f>SUM(C19:C21)</f>
        <v>229624.94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26380</v>
      </c>
      <c r="C36" s="236">
        <f>'DOE25'!G192+'DOE25'!G210+'DOE25'!G228+'DOE25'!G271+'DOE25'!G290+'DOE25'!G309</f>
        <v>2962.44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26380</v>
      </c>
      <c r="C39" s="241">
        <v>2962.44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26380</v>
      </c>
      <c r="C40" s="232">
        <f>SUM(C37:C39)</f>
        <v>2962.44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A3DB-28D7-462E-A491-30B58DFD609F}">
  <sheetPr>
    <tabColor indexed="11"/>
  </sheetPr>
  <dimension ref="A1:I51"/>
  <sheetViews>
    <sheetView workbookViewId="0">
      <pane ySplit="4" topLeftCell="A11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Auburn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7410591.3000000007</v>
      </c>
      <c r="D5" s="20">
        <f>SUM('DOE25'!L189:L192)+SUM('DOE25'!L207:L210)+SUM('DOE25'!L225:L228)-F5-G5</f>
        <v>7400835.5700000003</v>
      </c>
      <c r="E5" s="244"/>
      <c r="F5" s="256">
        <f>SUM('DOE25'!J189:J192)+SUM('DOE25'!J207:J210)+SUM('DOE25'!J225:J228)</f>
        <v>7636.73</v>
      </c>
      <c r="G5" s="53">
        <f>SUM('DOE25'!K189:K192)+SUM('DOE25'!K207:K210)+SUM('DOE25'!K225:K228)</f>
        <v>2119</v>
      </c>
      <c r="H5" s="260"/>
    </row>
    <row r="6" spans="1:9" x14ac:dyDescent="0.2">
      <c r="A6" s="32">
        <v>2100</v>
      </c>
      <c r="B6" t="s">
        <v>835</v>
      </c>
      <c r="C6" s="246">
        <f t="shared" si="0"/>
        <v>618144.06999999995</v>
      </c>
      <c r="D6" s="20">
        <f>'DOE25'!L194+'DOE25'!L212+'DOE25'!L230-F6-G6</f>
        <v>615101.86</v>
      </c>
      <c r="E6" s="244"/>
      <c r="F6" s="256">
        <f>'DOE25'!J194+'DOE25'!J212+'DOE25'!J230</f>
        <v>464.61</v>
      </c>
      <c r="G6" s="53">
        <f>'DOE25'!K194+'DOE25'!K212+'DOE25'!K230</f>
        <v>2577.6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104395.97000000002</v>
      </c>
      <c r="D7" s="20">
        <f>'DOE25'!L195+'DOE25'!L213+'DOE25'!L231-F7-G7</f>
        <v>103914.67000000001</v>
      </c>
      <c r="E7" s="244"/>
      <c r="F7" s="256">
        <f>'DOE25'!J195+'DOE25'!J213+'DOE25'!J231</f>
        <v>401.3</v>
      </c>
      <c r="G7" s="53">
        <f>'DOE25'!K195+'DOE25'!K213+'DOE25'!K231</f>
        <v>80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191396.38</v>
      </c>
      <c r="D8" s="244"/>
      <c r="E8" s="20">
        <f>'DOE25'!L196+'DOE25'!L214+'DOE25'!L232-F8-G8-D9-D11</f>
        <v>187277.75</v>
      </c>
      <c r="F8" s="256">
        <f>'DOE25'!J196+'DOE25'!J214+'DOE25'!J232</f>
        <v>0</v>
      </c>
      <c r="G8" s="53">
        <f>'DOE25'!K196+'DOE25'!K214+'DOE25'!K232</f>
        <v>4118.63</v>
      </c>
      <c r="H8" s="260"/>
    </row>
    <row r="9" spans="1:9" x14ac:dyDescent="0.2">
      <c r="A9" s="32">
        <v>2310</v>
      </c>
      <c r="B9" t="s">
        <v>852</v>
      </c>
      <c r="C9" s="246">
        <f t="shared" si="0"/>
        <v>47887.94</v>
      </c>
      <c r="D9" s="245">
        <v>47887.94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8431</v>
      </c>
      <c r="D10" s="244"/>
      <c r="E10" s="245">
        <v>8431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47538.62</v>
      </c>
      <c r="D11" s="245">
        <v>47538.62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385498.70999999996</v>
      </c>
      <c r="D12" s="20">
        <f>'DOE25'!L197+'DOE25'!L215+'DOE25'!L233-F12-G12</f>
        <v>384808.70999999996</v>
      </c>
      <c r="E12" s="244"/>
      <c r="F12" s="256">
        <f>'DOE25'!J197+'DOE25'!J215+'DOE25'!J233</f>
        <v>0</v>
      </c>
      <c r="G12" s="53">
        <f>'DOE25'!K197+'DOE25'!K215+'DOE25'!K233</f>
        <v>690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572775.42999999993</v>
      </c>
      <c r="D14" s="20">
        <f>'DOE25'!L199+'DOE25'!L217+'DOE25'!L235-F14-G14</f>
        <v>572775.42999999993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567026.73</v>
      </c>
      <c r="D15" s="20">
        <f>'DOE25'!L200+'DOE25'!L218+'DOE25'!L236-F15-G15</f>
        <v>567026.73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146096.6</v>
      </c>
      <c r="D16" s="244"/>
      <c r="E16" s="20">
        <f>'DOE25'!L201+'DOE25'!L219+'DOE25'!L237-F16-G16</f>
        <v>128796.67000000001</v>
      </c>
      <c r="F16" s="256">
        <f>'DOE25'!J201+'DOE25'!J219+'DOE25'!J237</f>
        <v>17299.93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49939</v>
      </c>
      <c r="D22" s="244"/>
      <c r="E22" s="244"/>
      <c r="F22" s="256">
        <f>'DOE25'!L247+'DOE25'!L328</f>
        <v>49939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105018.94000000002</v>
      </c>
      <c r="D29" s="20">
        <f>'DOE25'!L350+'DOE25'!L351+'DOE25'!L352-'DOE25'!I359-F29-G29</f>
        <v>103256.86000000002</v>
      </c>
      <c r="E29" s="244"/>
      <c r="F29" s="256">
        <f>'DOE25'!J350+'DOE25'!J351+'DOE25'!J352</f>
        <v>1762.08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242665.46000000002</v>
      </c>
      <c r="D31" s="20">
        <f>'DOE25'!L282+'DOE25'!L301+'DOE25'!L320+'DOE25'!L325+'DOE25'!L326+'DOE25'!L327-F31-G31</f>
        <v>225509.25000000003</v>
      </c>
      <c r="E31" s="244"/>
      <c r="F31" s="256">
        <f>'DOE25'!J282+'DOE25'!J301+'DOE25'!J320+'DOE25'!J325+'DOE25'!J326+'DOE25'!J327</f>
        <v>10062.34</v>
      </c>
      <c r="G31" s="53">
        <f>'DOE25'!K282+'DOE25'!K301+'DOE25'!K320+'DOE25'!K325+'DOE25'!K326+'DOE25'!K327</f>
        <v>7093.869999999999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10068655.640000001</v>
      </c>
      <c r="E33" s="247">
        <f>SUM(E5:E31)</f>
        <v>324505.42000000004</v>
      </c>
      <c r="F33" s="247">
        <f>SUM(F5:F31)</f>
        <v>87565.99</v>
      </c>
      <c r="G33" s="247">
        <f>SUM(G5:G31)</f>
        <v>16679.099999999999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324505.42000000004</v>
      </c>
      <c r="E35" s="250"/>
    </row>
    <row r="36" spans="2:8" ht="12" thickTop="1" x14ac:dyDescent="0.2">
      <c r="B36" t="s">
        <v>849</v>
      </c>
      <c r="D36" s="20">
        <f>D33</f>
        <v>10068655.640000001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42A-9D13-433A-8317-3284B9B3F54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497849.55</v>
      </c>
      <c r="D9" s="95">
        <f>'DOE25'!G9</f>
        <v>62895.83</v>
      </c>
      <c r="E9" s="95">
        <f>'DOE25'!H9</f>
        <v>0</v>
      </c>
      <c r="F9" s="95">
        <f>'DOE25'!I9</f>
        <v>0</v>
      </c>
      <c r="G9" s="95">
        <f>'DOE25'!J9</f>
        <v>134075.51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42195.3</v>
      </c>
      <c r="D12" s="95">
        <f>'DOE25'!G12</f>
        <v>0</v>
      </c>
      <c r="E12" s="95">
        <f>'DOE25'!H12</f>
        <v>264498.33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15540.28</v>
      </c>
      <c r="D13" s="95">
        <f>'DOE25'!G13</f>
        <v>3406.84</v>
      </c>
      <c r="E13" s="95">
        <f>'DOE25'!H13</f>
        <v>46280.29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11284.11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566869.24</v>
      </c>
      <c r="D19" s="41">
        <f>SUM(D9:D18)</f>
        <v>66302.67</v>
      </c>
      <c r="E19" s="41">
        <f>SUM(E9:E18)</f>
        <v>310778.62</v>
      </c>
      <c r="F19" s="41">
        <f>SUM(F9:F18)</f>
        <v>0</v>
      </c>
      <c r="G19" s="41">
        <f>SUM(G9:G18)</f>
        <v>134075.51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306693.63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46750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40442.04</v>
      </c>
      <c r="D24" s="95">
        <f>'DOE25'!G25</f>
        <v>1890.26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11297.04</v>
      </c>
      <c r="D28" s="95">
        <f>'DOE25'!G29</f>
        <v>384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3105.15</v>
      </c>
      <c r="E30" s="95">
        <f>'DOE25'!H31</f>
        <v>4084.99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98489.080000000016</v>
      </c>
      <c r="D32" s="41">
        <f>SUM(D22:D31)</f>
        <v>5379.41</v>
      </c>
      <c r="E32" s="41">
        <f>SUM(E22:E31)</f>
        <v>310778.62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71746.559999999998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75000</v>
      </c>
      <c r="D40" s="95">
        <f>'DOE25'!G41</f>
        <v>60923.26</v>
      </c>
      <c r="E40" s="95">
        <f>'DOE25'!H41</f>
        <v>0</v>
      </c>
      <c r="F40" s="95">
        <f>'DOE25'!I41</f>
        <v>0</v>
      </c>
      <c r="G40" s="95">
        <f>'DOE25'!J41</f>
        <v>134075.51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321633.59999999998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468380.15999999997</v>
      </c>
      <c r="D42" s="41">
        <f>SUM(D34:D41)</f>
        <v>60923.26</v>
      </c>
      <c r="E42" s="41">
        <f>SUM(E34:E41)</f>
        <v>0</v>
      </c>
      <c r="F42" s="41">
        <f>SUM(F34:F41)</f>
        <v>0</v>
      </c>
      <c r="G42" s="41">
        <f>SUM(G34:G41)</f>
        <v>134075.51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566869.24</v>
      </c>
      <c r="D43" s="41">
        <f>D42+D32</f>
        <v>66302.67</v>
      </c>
      <c r="E43" s="41">
        <f>E42+E32</f>
        <v>310778.62</v>
      </c>
      <c r="F43" s="41">
        <f>F42+F32</f>
        <v>0</v>
      </c>
      <c r="G43" s="41">
        <f>G42+G32</f>
        <v>134075.51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6151148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5888.01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322.63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144933.75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58300.35</v>
      </c>
      <c r="D53" s="95">
        <f>SUM('DOE25'!G90:G102)</f>
        <v>0</v>
      </c>
      <c r="E53" s="95">
        <f>SUM('DOE25'!H90:H102)</f>
        <v>60247.66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64188.36</v>
      </c>
      <c r="D54" s="130">
        <f>SUM(D49:D53)</f>
        <v>144933.75</v>
      </c>
      <c r="E54" s="130">
        <f>SUM(E49:E53)</f>
        <v>60247.66</v>
      </c>
      <c r="F54" s="130">
        <f>SUM(F49:F53)</f>
        <v>0</v>
      </c>
      <c r="G54" s="130">
        <f>SUM(G49:G53)</f>
        <v>322.63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6215336.3600000003</v>
      </c>
      <c r="D55" s="22">
        <f>D48+D54</f>
        <v>144933.75</v>
      </c>
      <c r="E55" s="22">
        <f>E48+E54</f>
        <v>60247.66</v>
      </c>
      <c r="F55" s="22">
        <f>F48+F54</f>
        <v>0</v>
      </c>
      <c r="G55" s="22">
        <f>G48+G54</f>
        <v>322.63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1349295.78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1556908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517683.22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3423887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87975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89843.95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6000</v>
      </c>
      <c r="D69" s="95">
        <f>SUM('DOE25'!G123:G127)</f>
        <v>2667.78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183818.95</v>
      </c>
      <c r="D70" s="130">
        <f>SUM(D64:D69)</f>
        <v>2667.78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3607705.95</v>
      </c>
      <c r="D73" s="130">
        <f>SUM(D71:D72)+D70+D62</f>
        <v>2667.78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63755.9</v>
      </c>
      <c r="D80" s="95">
        <f>SUM('DOE25'!G145:G153)</f>
        <v>52828.65</v>
      </c>
      <c r="E80" s="95">
        <f>SUM('DOE25'!H145:H153)</f>
        <v>232356.8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63755.9</v>
      </c>
      <c r="D83" s="131">
        <f>SUM(D77:D82)</f>
        <v>52828.65</v>
      </c>
      <c r="E83" s="131">
        <f>SUM(E77:E82)</f>
        <v>232356.8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81000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81000</v>
      </c>
    </row>
    <row r="96" spans="1:7" ht="12.75" thickTop="1" thickBot="1" x14ac:dyDescent="0.25">
      <c r="A96" s="33" t="s">
        <v>797</v>
      </c>
      <c r="C96" s="86">
        <f>C55+C73+C83+C95</f>
        <v>9886798.2100000009</v>
      </c>
      <c r="D96" s="86">
        <f>D55+D73+D83+D95</f>
        <v>200430.18</v>
      </c>
      <c r="E96" s="86">
        <f>E55+E73+E83+E95</f>
        <v>292604.45999999996</v>
      </c>
      <c r="F96" s="86">
        <f>F55+F73+F83+F95</f>
        <v>0</v>
      </c>
      <c r="G96" s="86">
        <f>G55+G73+G95</f>
        <v>81322.63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5587187.4499999993</v>
      </c>
      <c r="D101" s="24" t="s">
        <v>312</v>
      </c>
      <c r="E101" s="95">
        <f>('DOE25'!L268)+('DOE25'!L287)+('DOE25'!L306)</f>
        <v>59591.490000000005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1776716.9800000004</v>
      </c>
      <c r="D102" s="24" t="s">
        <v>312</v>
      </c>
      <c r="E102" s="95">
        <f>('DOE25'!L269)+('DOE25'!L288)+('DOE25'!L307)</f>
        <v>111509.85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6750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39936.870000000003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7410591.2999999998</v>
      </c>
      <c r="D107" s="86">
        <f>SUM(D101:D106)</f>
        <v>0</v>
      </c>
      <c r="E107" s="86">
        <f>SUM(E101:E106)</f>
        <v>171101.34000000003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618144.06999999995</v>
      </c>
      <c r="D110" s="24" t="s">
        <v>312</v>
      </c>
      <c r="E110" s="95">
        <f>+('DOE25'!L273)+('DOE25'!L292)+('DOE25'!L311)</f>
        <v>46079.77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104395.97000000002</v>
      </c>
      <c r="D111" s="24" t="s">
        <v>312</v>
      </c>
      <c r="E111" s="95">
        <f>+('DOE25'!L274)+('DOE25'!L293)+('DOE25'!L312)</f>
        <v>17016.07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286822.94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385498.70999999996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6468.2799999999988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572775.42999999993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567026.73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146096.6</v>
      </c>
      <c r="D117" s="24" t="s">
        <v>312</v>
      </c>
      <c r="E117" s="95">
        <f>+('DOE25'!L280)+('DOE25'!L299)+('DOE25'!L318)</f>
        <v>2000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193604.48000000001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2680760.4499999997</v>
      </c>
      <c r="D120" s="86">
        <f>SUM(D110:D119)</f>
        <v>193604.48000000001</v>
      </c>
      <c r="E120" s="86">
        <f>SUM(E110:E119)</f>
        <v>71564.12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49939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31057.71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50264.92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-322.63000000000466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81000</v>
      </c>
      <c r="D136" s="141">
        <f>SUM(D122:D135)</f>
        <v>0</v>
      </c>
      <c r="E136" s="141">
        <f>SUM(E122:E135)</f>
        <v>49939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10172351.75</v>
      </c>
      <c r="D137" s="86">
        <f>(D107+D120+D136)</f>
        <v>193604.48000000001</v>
      </c>
      <c r="E137" s="86">
        <f>(E107+E120+E136)</f>
        <v>292604.46000000002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5C03-A3E6-461E-8691-61E6B82A78B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Auburn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10734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10734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5646779</v>
      </c>
      <c r="D10" s="182">
        <f>ROUND((C10/$C$28)*100,1)</f>
        <v>54.4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1888227</v>
      </c>
      <c r="D11" s="182">
        <f>ROUND((C11/$C$28)*100,1)</f>
        <v>18.2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6750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39937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664224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121412</v>
      </c>
      <c r="D16" s="182">
        <f t="shared" si="0"/>
        <v>1.2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434920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385499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6468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572775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567027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48670.25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10382688.25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49939</v>
      </c>
    </row>
    <row r="30" spans="1:4" x14ac:dyDescent="0.2">
      <c r="B30" s="187" t="s">
        <v>760</v>
      </c>
      <c r="C30" s="180">
        <f>SUM(C28:C29)</f>
        <v>10432627.25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6151148</v>
      </c>
      <c r="D35" s="182">
        <f t="shared" ref="D35:D40" si="1">ROUND((C35/$C$41)*100,1)</f>
        <v>60.1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124758.65000000037</v>
      </c>
      <c r="D36" s="182">
        <f t="shared" si="1"/>
        <v>1.2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2906204</v>
      </c>
      <c r="D37" s="182">
        <f t="shared" si="1"/>
        <v>28.4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704170</v>
      </c>
      <c r="D38" s="182">
        <f t="shared" si="1"/>
        <v>6.9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348941</v>
      </c>
      <c r="D39" s="182">
        <f t="shared" si="1"/>
        <v>3.4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10235221.65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5F79-EB53-4380-B0DD-0E9FE6AAD54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Auburn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2010-09-27T18:32:26Z</cp:lastPrinted>
  <dcterms:created xsi:type="dcterms:W3CDTF">1997-12-04T19:04:30Z</dcterms:created>
  <dcterms:modified xsi:type="dcterms:W3CDTF">2025-01-02T14:40:12Z</dcterms:modified>
</cp:coreProperties>
</file>