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1515B092-4796-4263-9EE9-B3F7927BECFF}" xr6:coauthVersionLast="47" xr6:coauthVersionMax="47" xr10:uidLastSave="{00000000-0000-0000-0000-000000000000}"/>
  <workbookProtection workbookPassword="B70A" lockStructure="1"/>
  <bookViews>
    <workbookView xWindow="2115" yWindow="2115" windowWidth="21600" windowHeight="11505" tabRatio="855" xr2:uid="{74D22766-4376-494B-9E32-0EE124B3FEB7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1" l="1"/>
  <c r="I516" i="1"/>
  <c r="G516" i="1"/>
  <c r="F516" i="1"/>
  <c r="H516" i="1"/>
  <c r="F531" i="1"/>
  <c r="K258" i="1"/>
  <c r="J171" i="1"/>
  <c r="H513" i="1"/>
  <c r="G513" i="1"/>
  <c r="G514" i="1" s="1"/>
  <c r="G535" i="1" s="1"/>
  <c r="F513" i="1"/>
  <c r="F514" i="1" s="1"/>
  <c r="F535" i="1" s="1"/>
  <c r="I511" i="1"/>
  <c r="L511" i="1" s="1"/>
  <c r="H511" i="1"/>
  <c r="G511" i="1"/>
  <c r="F511" i="1"/>
  <c r="G521" i="1"/>
  <c r="F492" i="1"/>
  <c r="C60" i="2"/>
  <c r="B2" i="13"/>
  <c r="F8" i="13"/>
  <c r="G8" i="13"/>
  <c r="L196" i="1"/>
  <c r="E8" i="13" s="1"/>
  <c r="L214" i="1"/>
  <c r="C17" i="10" s="1"/>
  <c r="L232" i="1"/>
  <c r="L239" i="1" s="1"/>
  <c r="H650" i="1" s="1"/>
  <c r="D39" i="13"/>
  <c r="F13" i="13"/>
  <c r="G13" i="13"/>
  <c r="L198" i="1"/>
  <c r="C114" i="2" s="1"/>
  <c r="L216" i="1"/>
  <c r="L234" i="1"/>
  <c r="F16" i="13"/>
  <c r="G16" i="13"/>
  <c r="L201" i="1"/>
  <c r="E16" i="13" s="1"/>
  <c r="C16" i="13" s="1"/>
  <c r="L219" i="1"/>
  <c r="C117" i="2"/>
  <c r="L237" i="1"/>
  <c r="F5" i="13"/>
  <c r="D5" i="13" s="1"/>
  <c r="G5" i="13"/>
  <c r="L189" i="1"/>
  <c r="L190" i="1"/>
  <c r="L203" i="1" s="1"/>
  <c r="L191" i="1"/>
  <c r="C103" i="2" s="1"/>
  <c r="L192" i="1"/>
  <c r="C13" i="10" s="1"/>
  <c r="L207" i="1"/>
  <c r="L208" i="1"/>
  <c r="L209" i="1"/>
  <c r="L210" i="1"/>
  <c r="L221" i="1" s="1"/>
  <c r="L225" i="1"/>
  <c r="L226" i="1"/>
  <c r="L227" i="1"/>
  <c r="L228" i="1"/>
  <c r="F6" i="13"/>
  <c r="G6" i="13"/>
  <c r="G33" i="13" s="1"/>
  <c r="D6" i="13"/>
  <c r="C6" i="13"/>
  <c r="L194" i="1"/>
  <c r="L212" i="1"/>
  <c r="L230" i="1"/>
  <c r="F7" i="13"/>
  <c r="G7" i="13"/>
  <c r="D7" i="13"/>
  <c r="L195" i="1"/>
  <c r="L213" i="1"/>
  <c r="L231" i="1"/>
  <c r="F12" i="13"/>
  <c r="G12" i="13"/>
  <c r="L197" i="1"/>
  <c r="D12" i="13" s="1"/>
  <c r="C12" i="13" s="1"/>
  <c r="L215" i="1"/>
  <c r="L233" i="1"/>
  <c r="F14" i="13"/>
  <c r="G14" i="13"/>
  <c r="L199" i="1"/>
  <c r="L217" i="1"/>
  <c r="C20" i="10" s="1"/>
  <c r="L235" i="1"/>
  <c r="C115" i="2" s="1"/>
  <c r="F15" i="13"/>
  <c r="G15" i="13"/>
  <c r="L200" i="1"/>
  <c r="D15" i="13" s="1"/>
  <c r="C15" i="13" s="1"/>
  <c r="L218" i="1"/>
  <c r="C21" i="10" s="1"/>
  <c r="L236" i="1"/>
  <c r="H652" i="1" s="1"/>
  <c r="F17" i="13"/>
  <c r="G17" i="13"/>
  <c r="L243" i="1"/>
  <c r="C106" i="2" s="1"/>
  <c r="F18" i="13"/>
  <c r="G18" i="13"/>
  <c r="L244" i="1"/>
  <c r="D18" i="13" s="1"/>
  <c r="C18" i="13" s="1"/>
  <c r="F19" i="13"/>
  <c r="G19" i="13"/>
  <c r="L245" i="1"/>
  <c r="D19" i="13" s="1"/>
  <c r="C19" i="13" s="1"/>
  <c r="F29" i="13"/>
  <c r="G29" i="13"/>
  <c r="L350" i="1"/>
  <c r="D29" i="13" s="1"/>
  <c r="C29" i="13" s="1"/>
  <c r="L351" i="1"/>
  <c r="L354" i="1" s="1"/>
  <c r="L352" i="1"/>
  <c r="H651" i="1" s="1"/>
  <c r="I359" i="1"/>
  <c r="J282" i="1"/>
  <c r="J301" i="1"/>
  <c r="J330" i="1" s="1"/>
  <c r="J344" i="1" s="1"/>
  <c r="J320" i="1"/>
  <c r="K282" i="1"/>
  <c r="G31" i="13" s="1"/>
  <c r="K301" i="1"/>
  <c r="K320" i="1"/>
  <c r="L268" i="1"/>
  <c r="C10" i="10" s="1"/>
  <c r="L269" i="1"/>
  <c r="L270" i="1"/>
  <c r="L271" i="1"/>
  <c r="E104" i="2"/>
  <c r="L273" i="1"/>
  <c r="E110" i="2" s="1"/>
  <c r="L274" i="1"/>
  <c r="E111" i="2" s="1"/>
  <c r="L275" i="1"/>
  <c r="L276" i="1"/>
  <c r="L277" i="1"/>
  <c r="L278" i="1"/>
  <c r="E115" i="2" s="1"/>
  <c r="L279" i="1"/>
  <c r="L280" i="1"/>
  <c r="L287" i="1"/>
  <c r="L288" i="1"/>
  <c r="E102" i="2" s="1"/>
  <c r="L289" i="1"/>
  <c r="L301" i="1" s="1"/>
  <c r="E103" i="2"/>
  <c r="L290" i="1"/>
  <c r="L292" i="1"/>
  <c r="L293" i="1"/>
  <c r="L294" i="1"/>
  <c r="L295" i="1"/>
  <c r="E113" i="2" s="1"/>
  <c r="L296" i="1"/>
  <c r="L297" i="1"/>
  <c r="L298" i="1"/>
  <c r="L299" i="1"/>
  <c r="L306" i="1"/>
  <c r="L320" i="1" s="1"/>
  <c r="L307" i="1"/>
  <c r="L308" i="1"/>
  <c r="L309" i="1"/>
  <c r="L311" i="1"/>
  <c r="L312" i="1"/>
  <c r="L313" i="1"/>
  <c r="L314" i="1"/>
  <c r="L315" i="1"/>
  <c r="L316" i="1"/>
  <c r="L317" i="1"/>
  <c r="L318" i="1"/>
  <c r="L325" i="1"/>
  <c r="E106" i="2" s="1"/>
  <c r="L326" i="1"/>
  <c r="L327" i="1"/>
  <c r="L252" i="1"/>
  <c r="C123" i="2" s="1"/>
  <c r="L253" i="1"/>
  <c r="H25" i="13" s="1"/>
  <c r="L333" i="1"/>
  <c r="L343" i="1" s="1"/>
  <c r="L334" i="1"/>
  <c r="L247" i="1"/>
  <c r="C122" i="2" s="1"/>
  <c r="L328" i="1"/>
  <c r="E122" i="2" s="1"/>
  <c r="F22" i="13"/>
  <c r="C22" i="13" s="1"/>
  <c r="C11" i="13"/>
  <c r="C10" i="13"/>
  <c r="C9" i="13"/>
  <c r="L353" i="1"/>
  <c r="B4" i="12"/>
  <c r="B36" i="12"/>
  <c r="C36" i="12"/>
  <c r="B40" i="12"/>
  <c r="C40" i="12"/>
  <c r="B27" i="12"/>
  <c r="A31" i="12" s="1"/>
  <c r="C27" i="12"/>
  <c r="B31" i="12"/>
  <c r="C31" i="12"/>
  <c r="B9" i="12"/>
  <c r="B13" i="12"/>
  <c r="C9" i="12"/>
  <c r="C13" i="12"/>
  <c r="B18" i="12"/>
  <c r="B22" i="12"/>
  <c r="C18" i="12"/>
  <c r="C22" i="12"/>
  <c r="A22" i="12" s="1"/>
  <c r="B1" i="12"/>
  <c r="L379" i="1"/>
  <c r="L385" i="1" s="1"/>
  <c r="L380" i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6" i="1"/>
  <c r="L399" i="1" s="1"/>
  <c r="C132" i="2" s="1"/>
  <c r="L397" i="1"/>
  <c r="L398" i="1"/>
  <c r="L258" i="1"/>
  <c r="J52" i="1"/>
  <c r="J104" i="1" s="1"/>
  <c r="J185" i="1" s="1"/>
  <c r="G48" i="2"/>
  <c r="G55" i="2" s="1"/>
  <c r="G51" i="2"/>
  <c r="G54" i="2" s="1"/>
  <c r="G53" i="2"/>
  <c r="F2" i="11"/>
  <c r="L603" i="1"/>
  <c r="L604" i="1" s="1"/>
  <c r="L602" i="1"/>
  <c r="G653" i="1" s="1"/>
  <c r="L601" i="1"/>
  <c r="F653" i="1"/>
  <c r="C40" i="10"/>
  <c r="F52" i="1"/>
  <c r="C48" i="2" s="1"/>
  <c r="C53" i="2"/>
  <c r="F86" i="1"/>
  <c r="C50" i="2" s="1"/>
  <c r="C49" i="2"/>
  <c r="C54" i="2" s="1"/>
  <c r="C51" i="2"/>
  <c r="G52" i="1"/>
  <c r="G104" i="1" s="1"/>
  <c r="H52" i="1"/>
  <c r="E48" i="2" s="1"/>
  <c r="E55" i="2" s="1"/>
  <c r="I52" i="1"/>
  <c r="F71" i="1"/>
  <c r="F103" i="1"/>
  <c r="F104" i="1"/>
  <c r="F185" i="1" s="1"/>
  <c r="G617" i="1" s="1"/>
  <c r="J617" i="1" s="1"/>
  <c r="G103" i="1"/>
  <c r="H71" i="1"/>
  <c r="H86" i="1"/>
  <c r="H103" i="1"/>
  <c r="I103" i="1"/>
  <c r="I104" i="1" s="1"/>
  <c r="J103" i="1"/>
  <c r="C37" i="10"/>
  <c r="F113" i="1"/>
  <c r="F132" i="1" s="1"/>
  <c r="F128" i="1"/>
  <c r="G113" i="1"/>
  <c r="G128" i="1"/>
  <c r="G132" i="1"/>
  <c r="H113" i="1"/>
  <c r="H132" i="1" s="1"/>
  <c r="H128" i="1"/>
  <c r="I113" i="1"/>
  <c r="I128" i="1"/>
  <c r="I132" i="1"/>
  <c r="J113" i="1"/>
  <c r="J132" i="1" s="1"/>
  <c r="J128" i="1"/>
  <c r="F139" i="1"/>
  <c r="F154" i="1"/>
  <c r="F161" i="1"/>
  <c r="G139" i="1"/>
  <c r="G161" i="1" s="1"/>
  <c r="G154" i="1"/>
  <c r="H139" i="1"/>
  <c r="H154" i="1"/>
  <c r="H161" i="1"/>
  <c r="I139" i="1"/>
  <c r="F77" i="2" s="1"/>
  <c r="F83" i="2" s="1"/>
  <c r="I154" i="1"/>
  <c r="C19" i="10"/>
  <c r="L242" i="1"/>
  <c r="L324" i="1"/>
  <c r="C23" i="10"/>
  <c r="L246" i="1"/>
  <c r="L260" i="1"/>
  <c r="C26" i="10" s="1"/>
  <c r="L261" i="1"/>
  <c r="L341" i="1"/>
  <c r="L342" i="1"/>
  <c r="E135" i="2" s="1"/>
  <c r="I655" i="1"/>
  <c r="I660" i="1"/>
  <c r="I659" i="1"/>
  <c r="C42" i="10"/>
  <c r="C32" i="10"/>
  <c r="L366" i="1"/>
  <c r="L367" i="1"/>
  <c r="L368" i="1"/>
  <c r="L369" i="1"/>
  <c r="L370" i="1"/>
  <c r="F122" i="2" s="1"/>
  <c r="F136" i="2" s="1"/>
  <c r="L371" i="1"/>
  <c r="L372" i="1"/>
  <c r="B2" i="10"/>
  <c r="L336" i="1"/>
  <c r="E126" i="2" s="1"/>
  <c r="L337" i="1"/>
  <c r="E127" i="2" s="1"/>
  <c r="L338" i="1"/>
  <c r="E129" i="2" s="1"/>
  <c r="L339" i="1"/>
  <c r="K343" i="1"/>
  <c r="L512" i="1"/>
  <c r="F540" i="1" s="1"/>
  <c r="K540" i="1" s="1"/>
  <c r="L516" i="1"/>
  <c r="G539" i="1"/>
  <c r="L517" i="1"/>
  <c r="G540" i="1" s="1"/>
  <c r="G542" i="1" s="1"/>
  <c r="L518" i="1"/>
  <c r="G541" i="1"/>
  <c r="L521" i="1"/>
  <c r="H539" i="1"/>
  <c r="L522" i="1"/>
  <c r="H540" i="1" s="1"/>
  <c r="H542" i="1" s="1"/>
  <c r="L523" i="1"/>
  <c r="H541" i="1"/>
  <c r="L526" i="1"/>
  <c r="L529" i="1" s="1"/>
  <c r="I539" i="1"/>
  <c r="L527" i="1"/>
  <c r="I540" i="1" s="1"/>
  <c r="I542" i="1" s="1"/>
  <c r="L528" i="1"/>
  <c r="I541" i="1"/>
  <c r="L531" i="1"/>
  <c r="J539" i="1"/>
  <c r="L532" i="1"/>
  <c r="J540" i="1" s="1"/>
  <c r="J542" i="1" s="1"/>
  <c r="L533" i="1"/>
  <c r="J541" i="1"/>
  <c r="E124" i="2"/>
  <c r="E123" i="2"/>
  <c r="K262" i="1"/>
  <c r="J262" i="1"/>
  <c r="I262" i="1"/>
  <c r="H262" i="1"/>
  <c r="G262" i="1"/>
  <c r="L262" i="1" s="1"/>
  <c r="F262" i="1"/>
  <c r="A1" i="2"/>
  <c r="A2" i="2"/>
  <c r="C9" i="2"/>
  <c r="C19" i="2" s="1"/>
  <c r="D9" i="2"/>
  <c r="D19" i="2" s="1"/>
  <c r="E9" i="2"/>
  <c r="E10" i="2"/>
  <c r="E12" i="2"/>
  <c r="E13" i="2"/>
  <c r="E19" i="2" s="1"/>
  <c r="E14" i="2"/>
  <c r="E16" i="2"/>
  <c r="E17" i="2"/>
  <c r="E18" i="2"/>
  <c r="F9" i="2"/>
  <c r="F19" i="2" s="1"/>
  <c r="I431" i="1"/>
  <c r="I438" i="1" s="1"/>
  <c r="G632" i="1" s="1"/>
  <c r="J9" i="1"/>
  <c r="G9" i="2" s="1"/>
  <c r="C10" i="2"/>
  <c r="C11" i="2"/>
  <c r="C12" i="2"/>
  <c r="C13" i="2"/>
  <c r="C14" i="2"/>
  <c r="C16" i="2"/>
  <c r="C17" i="2"/>
  <c r="C18" i="2"/>
  <c r="D10" i="2"/>
  <c r="F10" i="2"/>
  <c r="I432" i="1"/>
  <c r="J10" i="1" s="1"/>
  <c r="D12" i="2"/>
  <c r="F12" i="2"/>
  <c r="I433" i="1"/>
  <c r="J12" i="1" s="1"/>
  <c r="G12" i="2" s="1"/>
  <c r="D13" i="2"/>
  <c r="F13" i="2"/>
  <c r="I434" i="1"/>
  <c r="J13" i="1"/>
  <c r="G13" i="2"/>
  <c r="D14" i="2"/>
  <c r="F14" i="2"/>
  <c r="I435" i="1"/>
  <c r="J14" i="1"/>
  <c r="G14" i="2"/>
  <c r="F15" i="2"/>
  <c r="D16" i="2"/>
  <c r="F16" i="2"/>
  <c r="D17" i="2"/>
  <c r="F17" i="2"/>
  <c r="I436" i="1"/>
  <c r="J17" i="1"/>
  <c r="G17" i="2" s="1"/>
  <c r="D18" i="2"/>
  <c r="F18" i="2"/>
  <c r="I437" i="1"/>
  <c r="J18" i="1" s="1"/>
  <c r="G18" i="2" s="1"/>
  <c r="C22" i="2"/>
  <c r="C32" i="2" s="1"/>
  <c r="D22" i="2"/>
  <c r="D32" i="2" s="1"/>
  <c r="D23" i="2"/>
  <c r="D24" i="2"/>
  <c r="D25" i="2"/>
  <c r="D28" i="2"/>
  <c r="D29" i="2"/>
  <c r="D30" i="2"/>
  <c r="D31" i="2"/>
  <c r="E22" i="2"/>
  <c r="F22" i="2"/>
  <c r="F23" i="2"/>
  <c r="F24" i="2"/>
  <c r="F32" i="2" s="1"/>
  <c r="F25" i="2"/>
  <c r="F26" i="2"/>
  <c r="F27" i="2"/>
  <c r="F28" i="2"/>
  <c r="F29" i="2"/>
  <c r="F30" i="2"/>
  <c r="F31" i="2"/>
  <c r="I440" i="1"/>
  <c r="J23" i="1"/>
  <c r="C23" i="2"/>
  <c r="E23" i="2"/>
  <c r="E32" i="2" s="1"/>
  <c r="I441" i="1"/>
  <c r="I444" i="1" s="1"/>
  <c r="I451" i="1" s="1"/>
  <c r="H632" i="1" s="1"/>
  <c r="J24" i="1"/>
  <c r="G23" i="2" s="1"/>
  <c r="G32" i="2" s="1"/>
  <c r="C24" i="2"/>
  <c r="E24" i="2"/>
  <c r="E25" i="2"/>
  <c r="E28" i="2"/>
  <c r="E29" i="2"/>
  <c r="E30" i="2"/>
  <c r="E31" i="2"/>
  <c r="I442" i="1"/>
  <c r="J25" i="1"/>
  <c r="G24" i="2"/>
  <c r="C25" i="2"/>
  <c r="C26" i="2"/>
  <c r="C27" i="2"/>
  <c r="C28" i="2"/>
  <c r="C29" i="2"/>
  <c r="C30" i="2"/>
  <c r="C31" i="2"/>
  <c r="I443" i="1"/>
  <c r="J32" i="1"/>
  <c r="G31" i="2"/>
  <c r="C34" i="2"/>
  <c r="C42" i="2" s="1"/>
  <c r="C43" i="2" s="1"/>
  <c r="D34" i="2"/>
  <c r="D42" i="2" s="1"/>
  <c r="E34" i="2"/>
  <c r="F34" i="2"/>
  <c r="C35" i="2"/>
  <c r="D35" i="2"/>
  <c r="E35" i="2"/>
  <c r="F35" i="2"/>
  <c r="F42" i="2" s="1"/>
  <c r="C36" i="2"/>
  <c r="D36" i="2"/>
  <c r="E36" i="2"/>
  <c r="E42" i="2" s="1"/>
  <c r="F36" i="2"/>
  <c r="I446" i="1"/>
  <c r="J37" i="1" s="1"/>
  <c r="C37" i="2"/>
  <c r="D37" i="2"/>
  <c r="D38" i="2"/>
  <c r="D40" i="2"/>
  <c r="D41" i="2"/>
  <c r="E37" i="2"/>
  <c r="F37" i="2"/>
  <c r="F38" i="2"/>
  <c r="F40" i="2"/>
  <c r="F41" i="2"/>
  <c r="I447" i="1"/>
  <c r="J38" i="1" s="1"/>
  <c r="G37" i="2" s="1"/>
  <c r="C38" i="2"/>
  <c r="E38" i="2"/>
  <c r="I448" i="1"/>
  <c r="J40" i="1"/>
  <c r="G39" i="2"/>
  <c r="C40" i="2"/>
  <c r="C41" i="2"/>
  <c r="E40" i="2"/>
  <c r="E41" i="2"/>
  <c r="I449" i="1"/>
  <c r="J41" i="1"/>
  <c r="G40" i="2"/>
  <c r="D48" i="2"/>
  <c r="D55" i="2" s="1"/>
  <c r="F48" i="2"/>
  <c r="E49" i="2"/>
  <c r="E50" i="2"/>
  <c r="E51" i="2"/>
  <c r="E53" i="2"/>
  <c r="E54" i="2"/>
  <c r="D51" i="2"/>
  <c r="D52" i="2"/>
  <c r="D53" i="2"/>
  <c r="D54" i="2"/>
  <c r="F51" i="2"/>
  <c r="F54" i="2" s="1"/>
  <c r="F53" i="2"/>
  <c r="C58" i="2"/>
  <c r="C62" i="2" s="1"/>
  <c r="C59" i="2"/>
  <c r="C61" i="2"/>
  <c r="C71" i="2"/>
  <c r="C72" i="2"/>
  <c r="C64" i="2"/>
  <c r="C70" i="2" s="1"/>
  <c r="C65" i="2"/>
  <c r="C66" i="2"/>
  <c r="C67" i="2"/>
  <c r="C68" i="2"/>
  <c r="C69" i="2"/>
  <c r="D61" i="2"/>
  <c r="D62" i="2" s="1"/>
  <c r="E61" i="2"/>
  <c r="E62" i="2"/>
  <c r="F61" i="2"/>
  <c r="F62" i="2"/>
  <c r="G61" i="2"/>
  <c r="G62" i="2"/>
  <c r="F64" i="2"/>
  <c r="F65" i="2"/>
  <c r="E68" i="2"/>
  <c r="E69" i="2"/>
  <c r="E70" i="2" s="1"/>
  <c r="E73" i="2" s="1"/>
  <c r="E71" i="2"/>
  <c r="E72" i="2"/>
  <c r="F68" i="2"/>
  <c r="F69" i="2"/>
  <c r="F70" i="2"/>
  <c r="F73" i="2" s="1"/>
  <c r="D69" i="2"/>
  <c r="D70" i="2" s="1"/>
  <c r="D71" i="2"/>
  <c r="G69" i="2"/>
  <c r="G70" i="2" s="1"/>
  <c r="G73" i="2" s="1"/>
  <c r="C77" i="2"/>
  <c r="C83" i="2" s="1"/>
  <c r="E77" i="2"/>
  <c r="E83" i="2" s="1"/>
  <c r="E79" i="2"/>
  <c r="E80" i="2"/>
  <c r="E81" i="2"/>
  <c r="C79" i="2"/>
  <c r="F79" i="2"/>
  <c r="F80" i="2"/>
  <c r="F81" i="2"/>
  <c r="C80" i="2"/>
  <c r="C81" i="2"/>
  <c r="C82" i="2"/>
  <c r="D80" i="2"/>
  <c r="D81" i="2"/>
  <c r="C85" i="2"/>
  <c r="C95" i="2" s="1"/>
  <c r="F85" i="2"/>
  <c r="C86" i="2"/>
  <c r="F86" i="2"/>
  <c r="D88" i="2"/>
  <c r="E88" i="2"/>
  <c r="E95" i="2" s="1"/>
  <c r="F88" i="2"/>
  <c r="G88" i="2"/>
  <c r="G95" i="2" s="1"/>
  <c r="G89" i="2"/>
  <c r="G90" i="2"/>
  <c r="C89" i="2"/>
  <c r="D89" i="2"/>
  <c r="D95" i="2" s="1"/>
  <c r="E89" i="2"/>
  <c r="F89" i="2"/>
  <c r="F91" i="2"/>
  <c r="F92" i="2"/>
  <c r="F93" i="2"/>
  <c r="F94" i="2"/>
  <c r="F95" i="2"/>
  <c r="C90" i="2"/>
  <c r="D90" i="2"/>
  <c r="E90" i="2"/>
  <c r="C91" i="2"/>
  <c r="D91" i="2"/>
  <c r="D92" i="2"/>
  <c r="D93" i="2"/>
  <c r="D94" i="2"/>
  <c r="E91" i="2"/>
  <c r="C92" i="2"/>
  <c r="E92" i="2"/>
  <c r="C93" i="2"/>
  <c r="E93" i="2"/>
  <c r="C94" i="2"/>
  <c r="E94" i="2"/>
  <c r="C101" i="2"/>
  <c r="C105" i="2"/>
  <c r="D107" i="2"/>
  <c r="F107" i="2"/>
  <c r="G107" i="2"/>
  <c r="E112" i="2"/>
  <c r="E114" i="2"/>
  <c r="E116" i="2"/>
  <c r="E117" i="2"/>
  <c r="F120" i="2"/>
  <c r="F137" i="2" s="1"/>
  <c r="G120" i="2"/>
  <c r="F126" i="2"/>
  <c r="D126" i="2"/>
  <c r="E134" i="2"/>
  <c r="K411" i="1"/>
  <c r="K426" i="1"/>
  <c r="G126" i="2"/>
  <c r="G136" i="2" s="1"/>
  <c r="K419" i="1"/>
  <c r="K425" i="1"/>
  <c r="L255" i="1"/>
  <c r="C127" i="2"/>
  <c r="L256" i="1"/>
  <c r="C128" i="2" s="1"/>
  <c r="L257" i="1"/>
  <c r="C129" i="2"/>
  <c r="C134" i="2"/>
  <c r="C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G148" i="2" s="1"/>
  <c r="E148" i="2"/>
  <c r="F148" i="2"/>
  <c r="B149" i="2"/>
  <c r="C149" i="2"/>
  <c r="D149" i="2"/>
  <c r="E149" i="2"/>
  <c r="G149" i="2" s="1"/>
  <c r="F149" i="2"/>
  <c r="B150" i="2"/>
  <c r="C150" i="2"/>
  <c r="D150" i="2"/>
  <c r="E150" i="2"/>
  <c r="G150" i="2" s="1"/>
  <c r="F150" i="2"/>
  <c r="B151" i="2"/>
  <c r="G151" i="2" s="1"/>
  <c r="C151" i="2"/>
  <c r="D151" i="2"/>
  <c r="E151" i="2"/>
  <c r="F151" i="2"/>
  <c r="B152" i="2"/>
  <c r="G152" i="2" s="1"/>
  <c r="C152" i="2"/>
  <c r="D152" i="2"/>
  <c r="E152" i="2"/>
  <c r="F152" i="2"/>
  <c r="F490" i="1"/>
  <c r="K490" i="1" s="1"/>
  <c r="B153" i="2"/>
  <c r="G490" i="1"/>
  <c r="C153" i="2" s="1"/>
  <c r="H490" i="1"/>
  <c r="D153" i="2" s="1"/>
  <c r="I490" i="1"/>
  <c r="E153" i="2"/>
  <c r="J490" i="1"/>
  <c r="F153" i="2" s="1"/>
  <c r="B154" i="2"/>
  <c r="C154" i="2"/>
  <c r="D154" i="2"/>
  <c r="G154" i="2" s="1"/>
  <c r="E154" i="2"/>
  <c r="F154" i="2"/>
  <c r="B155" i="2"/>
  <c r="C155" i="2"/>
  <c r="D155" i="2"/>
  <c r="E155" i="2"/>
  <c r="F155" i="2"/>
  <c r="G155" i="2" s="1"/>
  <c r="F493" i="1"/>
  <c r="B156" i="2" s="1"/>
  <c r="G493" i="1"/>
  <c r="C156" i="2"/>
  <c r="H493" i="1"/>
  <c r="D156" i="2"/>
  <c r="I493" i="1"/>
  <c r="E156" i="2" s="1"/>
  <c r="J493" i="1"/>
  <c r="F156" i="2" s="1"/>
  <c r="F19" i="1"/>
  <c r="G607" i="1"/>
  <c r="J607" i="1" s="1"/>
  <c r="G19" i="1"/>
  <c r="G608" i="1" s="1"/>
  <c r="H19" i="1"/>
  <c r="G609" i="1"/>
  <c r="I19" i="1"/>
  <c r="F33" i="1"/>
  <c r="G33" i="1"/>
  <c r="H33" i="1"/>
  <c r="H44" i="1" s="1"/>
  <c r="H609" i="1" s="1"/>
  <c r="J609" i="1" s="1"/>
  <c r="I33" i="1"/>
  <c r="F43" i="1"/>
  <c r="F44" i="1" s="1"/>
  <c r="H607" i="1" s="1"/>
  <c r="G43" i="1"/>
  <c r="G44" i="1" s="1"/>
  <c r="H608" i="1" s="1"/>
  <c r="H43" i="1"/>
  <c r="I43" i="1"/>
  <c r="I44" i="1" s="1"/>
  <c r="H610" i="1" s="1"/>
  <c r="F169" i="1"/>
  <c r="F184" i="1" s="1"/>
  <c r="I169" i="1"/>
  <c r="I184" i="1" s="1"/>
  <c r="F175" i="1"/>
  <c r="G175" i="1"/>
  <c r="H175" i="1"/>
  <c r="H184" i="1"/>
  <c r="I175" i="1"/>
  <c r="J175" i="1"/>
  <c r="G635" i="1" s="1"/>
  <c r="J184" i="1"/>
  <c r="F180" i="1"/>
  <c r="G180" i="1"/>
  <c r="G184" i="1" s="1"/>
  <c r="H180" i="1"/>
  <c r="I180" i="1"/>
  <c r="F203" i="1"/>
  <c r="F249" i="1" s="1"/>
  <c r="F263" i="1" s="1"/>
  <c r="G203" i="1"/>
  <c r="G249" i="1" s="1"/>
  <c r="G263" i="1" s="1"/>
  <c r="H203" i="1"/>
  <c r="H249" i="1" s="1"/>
  <c r="H263" i="1" s="1"/>
  <c r="I203" i="1"/>
  <c r="I249" i="1"/>
  <c r="I263" i="1"/>
  <c r="J203" i="1"/>
  <c r="J249" i="1" s="1"/>
  <c r="K203" i="1"/>
  <c r="K249" i="1" s="1"/>
  <c r="K263" i="1" s="1"/>
  <c r="F221" i="1"/>
  <c r="G221" i="1"/>
  <c r="H221" i="1"/>
  <c r="I221" i="1"/>
  <c r="J221" i="1"/>
  <c r="K221" i="1"/>
  <c r="F239" i="1"/>
  <c r="G239" i="1"/>
  <c r="H239" i="1"/>
  <c r="I239" i="1"/>
  <c r="J239" i="1"/>
  <c r="K239" i="1"/>
  <c r="F248" i="1"/>
  <c r="L248" i="1" s="1"/>
  <c r="G248" i="1"/>
  <c r="H248" i="1"/>
  <c r="I248" i="1"/>
  <c r="J248" i="1"/>
  <c r="K248" i="1"/>
  <c r="F282" i="1"/>
  <c r="G282" i="1"/>
  <c r="G330" i="1"/>
  <c r="G344" i="1" s="1"/>
  <c r="H282" i="1"/>
  <c r="H330" i="1" s="1"/>
  <c r="H344" i="1" s="1"/>
  <c r="I282" i="1"/>
  <c r="I330" i="1" s="1"/>
  <c r="I344" i="1" s="1"/>
  <c r="F301" i="1"/>
  <c r="G301" i="1"/>
  <c r="H301" i="1"/>
  <c r="I301" i="1"/>
  <c r="F320" i="1"/>
  <c r="F330" i="1" s="1"/>
  <c r="F344" i="1" s="1"/>
  <c r="G320" i="1"/>
  <c r="H320" i="1"/>
  <c r="I320" i="1"/>
  <c r="F329" i="1"/>
  <c r="L329" i="1" s="1"/>
  <c r="G329" i="1"/>
  <c r="H329" i="1"/>
  <c r="I329" i="1"/>
  <c r="J329" i="1"/>
  <c r="K329" i="1"/>
  <c r="F354" i="1"/>
  <c r="G354" i="1"/>
  <c r="H354" i="1"/>
  <c r="I354" i="1"/>
  <c r="J354" i="1"/>
  <c r="K354" i="1"/>
  <c r="I360" i="1"/>
  <c r="I361" i="1" s="1"/>
  <c r="H624" i="1" s="1"/>
  <c r="F361" i="1"/>
  <c r="G361" i="1"/>
  <c r="H361" i="1"/>
  <c r="L373" i="1"/>
  <c r="F374" i="1"/>
  <c r="G374" i="1"/>
  <c r="H374" i="1"/>
  <c r="I374" i="1"/>
  <c r="J374" i="1"/>
  <c r="K374" i="1"/>
  <c r="L374" i="1"/>
  <c r="G626" i="1" s="1"/>
  <c r="J626" i="1" s="1"/>
  <c r="F385" i="1"/>
  <c r="G385" i="1"/>
  <c r="H385" i="1"/>
  <c r="I385" i="1"/>
  <c r="F393" i="1"/>
  <c r="G393" i="1"/>
  <c r="G400" i="1" s="1"/>
  <c r="H635" i="1" s="1"/>
  <c r="H393" i="1"/>
  <c r="H400" i="1" s="1"/>
  <c r="H634" i="1" s="1"/>
  <c r="J634" i="1" s="1"/>
  <c r="I393" i="1"/>
  <c r="F399" i="1"/>
  <c r="G399" i="1"/>
  <c r="H399" i="1"/>
  <c r="I399" i="1"/>
  <c r="I400" i="1" s="1"/>
  <c r="F400" i="1"/>
  <c r="H633" i="1" s="1"/>
  <c r="J633" i="1" s="1"/>
  <c r="L405" i="1"/>
  <c r="L406" i="1"/>
  <c r="L407" i="1"/>
  <c r="L408" i="1"/>
  <c r="L409" i="1"/>
  <c r="L410" i="1"/>
  <c r="L411" i="1"/>
  <c r="F411" i="1"/>
  <c r="G411" i="1"/>
  <c r="H411" i="1"/>
  <c r="I411" i="1"/>
  <c r="I426" i="1" s="1"/>
  <c r="J411" i="1"/>
  <c r="J426" i="1" s="1"/>
  <c r="L413" i="1"/>
  <c r="L414" i="1"/>
  <c r="L419" i="1" s="1"/>
  <c r="L426" i="1" s="1"/>
  <c r="G628" i="1" s="1"/>
  <c r="J628" i="1" s="1"/>
  <c r="L415" i="1"/>
  <c r="L416" i="1"/>
  <c r="L417" i="1"/>
  <c r="L418" i="1"/>
  <c r="F419" i="1"/>
  <c r="G419" i="1"/>
  <c r="H419" i="1"/>
  <c r="H426" i="1" s="1"/>
  <c r="I419" i="1"/>
  <c r="J419" i="1"/>
  <c r="L421" i="1"/>
  <c r="L422" i="1"/>
  <c r="L425" i="1" s="1"/>
  <c r="L423" i="1"/>
  <c r="L424" i="1"/>
  <c r="F425" i="1"/>
  <c r="F426" i="1" s="1"/>
  <c r="G425" i="1"/>
  <c r="H425" i="1"/>
  <c r="I425" i="1"/>
  <c r="J425" i="1"/>
  <c r="G426" i="1"/>
  <c r="F438" i="1"/>
  <c r="G629" i="1"/>
  <c r="G438" i="1"/>
  <c r="H438" i="1"/>
  <c r="G631" i="1"/>
  <c r="J631" i="1" s="1"/>
  <c r="F444" i="1"/>
  <c r="F451" i="1" s="1"/>
  <c r="H629" i="1" s="1"/>
  <c r="J629" i="1" s="1"/>
  <c r="G444" i="1"/>
  <c r="G451" i="1" s="1"/>
  <c r="H630" i="1" s="1"/>
  <c r="H444" i="1"/>
  <c r="F450" i="1"/>
  <c r="G450" i="1"/>
  <c r="H450" i="1"/>
  <c r="H451" i="1" s="1"/>
  <c r="H631" i="1" s="1"/>
  <c r="I450" i="1"/>
  <c r="F460" i="1"/>
  <c r="G460" i="1"/>
  <c r="H460" i="1"/>
  <c r="I460" i="1"/>
  <c r="J460" i="1"/>
  <c r="F464" i="1"/>
  <c r="F466" i="1" s="1"/>
  <c r="H612" i="1" s="1"/>
  <c r="G464" i="1"/>
  <c r="G466" i="1"/>
  <c r="H613" i="1" s="1"/>
  <c r="H464" i="1"/>
  <c r="I464" i="1"/>
  <c r="I466" i="1"/>
  <c r="H615" i="1"/>
  <c r="J464" i="1"/>
  <c r="H466" i="1"/>
  <c r="H614" i="1"/>
  <c r="J614" i="1"/>
  <c r="J466" i="1"/>
  <c r="H616" i="1"/>
  <c r="K485" i="1"/>
  <c r="K486" i="1"/>
  <c r="K487" i="1"/>
  <c r="K488" i="1"/>
  <c r="K489" i="1"/>
  <c r="K491" i="1"/>
  <c r="K492" i="1"/>
  <c r="F507" i="1"/>
  <c r="G507" i="1"/>
  <c r="H507" i="1"/>
  <c r="I507" i="1"/>
  <c r="H514" i="1"/>
  <c r="H535" i="1" s="1"/>
  <c r="J514" i="1"/>
  <c r="K514" i="1"/>
  <c r="K535" i="1" s="1"/>
  <c r="F519" i="1"/>
  <c r="G519" i="1"/>
  <c r="H519" i="1"/>
  <c r="I519" i="1"/>
  <c r="J519" i="1"/>
  <c r="J535" i="1" s="1"/>
  <c r="K519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L547" i="1"/>
  <c r="L548" i="1"/>
  <c r="L550" i="1" s="1"/>
  <c r="L561" i="1" s="1"/>
  <c r="L549" i="1"/>
  <c r="F550" i="1"/>
  <c r="F561" i="1" s="1"/>
  <c r="G550" i="1"/>
  <c r="H550" i="1"/>
  <c r="I550" i="1"/>
  <c r="I561" i="1"/>
  <c r="J550" i="1"/>
  <c r="J561" i="1" s="1"/>
  <c r="K550" i="1"/>
  <c r="L552" i="1"/>
  <c r="L553" i="1"/>
  <c r="L555" i="1" s="1"/>
  <c r="L554" i="1"/>
  <c r="F555" i="1"/>
  <c r="G555" i="1"/>
  <c r="G561" i="1" s="1"/>
  <c r="H555" i="1"/>
  <c r="I555" i="1"/>
  <c r="J555" i="1"/>
  <c r="K555" i="1"/>
  <c r="K561" i="1" s="1"/>
  <c r="L557" i="1"/>
  <c r="L558" i="1"/>
  <c r="L560" i="1" s="1"/>
  <c r="L559" i="1"/>
  <c r="F560" i="1"/>
  <c r="G560" i="1"/>
  <c r="H560" i="1"/>
  <c r="I560" i="1"/>
  <c r="J560" i="1"/>
  <c r="K560" i="1"/>
  <c r="H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8" i="1" s="1"/>
  <c r="G637" i="1" s="1"/>
  <c r="K583" i="1"/>
  <c r="K584" i="1"/>
  <c r="K585" i="1"/>
  <c r="K586" i="1"/>
  <c r="K587" i="1"/>
  <c r="H588" i="1"/>
  <c r="I588" i="1"/>
  <c r="H640" i="1" s="1"/>
  <c r="J588" i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G610" i="1"/>
  <c r="G612" i="1"/>
  <c r="G614" i="1"/>
  <c r="H617" i="1"/>
  <c r="H618" i="1"/>
  <c r="H619" i="1"/>
  <c r="H620" i="1"/>
  <c r="H621" i="1"/>
  <c r="H622" i="1"/>
  <c r="H623" i="1"/>
  <c r="G624" i="1"/>
  <c r="J624" i="1" s="1"/>
  <c r="H625" i="1"/>
  <c r="H626" i="1"/>
  <c r="H627" i="1"/>
  <c r="H628" i="1"/>
  <c r="G630" i="1"/>
  <c r="J630" i="1" s="1"/>
  <c r="G633" i="1"/>
  <c r="G634" i="1"/>
  <c r="G639" i="1"/>
  <c r="H639" i="1"/>
  <c r="J639" i="1"/>
  <c r="G640" i="1"/>
  <c r="G641" i="1"/>
  <c r="H641" i="1"/>
  <c r="J641" i="1" s="1"/>
  <c r="G642" i="1"/>
  <c r="H642" i="1"/>
  <c r="J642" i="1"/>
  <c r="G643" i="1"/>
  <c r="J643" i="1" s="1"/>
  <c r="H643" i="1"/>
  <c r="G644" i="1"/>
  <c r="J644" i="1" s="1"/>
  <c r="H644" i="1"/>
  <c r="G645" i="1"/>
  <c r="H645" i="1"/>
  <c r="J645" i="1" s="1"/>
  <c r="K330" i="1"/>
  <c r="K344" i="1"/>
  <c r="A13" i="12"/>
  <c r="C5" i="10"/>
  <c r="G22" i="2"/>
  <c r="C116" i="2"/>
  <c r="C111" i="2"/>
  <c r="C110" i="2"/>
  <c r="E105" i="2"/>
  <c r="F652" i="1"/>
  <c r="F651" i="1"/>
  <c r="C7" i="13"/>
  <c r="A40" i="12"/>
  <c r="C6" i="10"/>
  <c r="C35" i="10"/>
  <c r="J612" i="1" l="1"/>
  <c r="F43" i="2"/>
  <c r="C38" i="10"/>
  <c r="E96" i="2"/>
  <c r="F539" i="1"/>
  <c r="J610" i="1"/>
  <c r="C73" i="2"/>
  <c r="G185" i="1"/>
  <c r="G618" i="1" s="1"/>
  <c r="J618" i="1" s="1"/>
  <c r="C25" i="13"/>
  <c r="H33" i="13"/>
  <c r="G650" i="1"/>
  <c r="C8" i="13"/>
  <c r="C36" i="10"/>
  <c r="C41" i="10" s="1"/>
  <c r="G156" i="2"/>
  <c r="G137" i="2"/>
  <c r="E120" i="2"/>
  <c r="D73" i="2"/>
  <c r="D96" i="2" s="1"/>
  <c r="G96" i="2"/>
  <c r="J640" i="1"/>
  <c r="G19" i="2"/>
  <c r="G636" i="1"/>
  <c r="G621" i="1"/>
  <c r="J621" i="1" s="1"/>
  <c r="C27" i="10"/>
  <c r="G625" i="1"/>
  <c r="J625" i="1" s="1"/>
  <c r="J608" i="1"/>
  <c r="G10" i="2"/>
  <c r="J19" i="1"/>
  <c r="G611" i="1" s="1"/>
  <c r="J632" i="1"/>
  <c r="G153" i="2"/>
  <c r="F55" i="2"/>
  <c r="F96" i="2" s="1"/>
  <c r="D43" i="2"/>
  <c r="C55" i="2"/>
  <c r="C96" i="2" s="1"/>
  <c r="G36" i="2"/>
  <c r="G42" i="2" s="1"/>
  <c r="G43" i="2" s="1"/>
  <c r="J43" i="1"/>
  <c r="L249" i="1"/>
  <c r="L263" i="1" s="1"/>
  <c r="G622" i="1" s="1"/>
  <c r="J622" i="1" s="1"/>
  <c r="E43" i="2"/>
  <c r="C39" i="10"/>
  <c r="L400" i="1"/>
  <c r="C130" i="2"/>
  <c r="C133" i="2" s="1"/>
  <c r="E136" i="2"/>
  <c r="H638" i="1"/>
  <c r="J638" i="1" s="1"/>
  <c r="J263" i="1"/>
  <c r="J635" i="1"/>
  <c r="I653" i="1"/>
  <c r="C136" i="2"/>
  <c r="C5" i="13"/>
  <c r="C113" i="2"/>
  <c r="H104" i="1"/>
  <c r="H185" i="1" s="1"/>
  <c r="G619" i="1" s="1"/>
  <c r="J619" i="1" s="1"/>
  <c r="K493" i="1"/>
  <c r="D77" i="2"/>
  <c r="D83" i="2" s="1"/>
  <c r="C15" i="10"/>
  <c r="F31" i="13"/>
  <c r="F33" i="13" s="1"/>
  <c r="D17" i="13"/>
  <c r="C17" i="13" s="1"/>
  <c r="C24" i="10"/>
  <c r="C104" i="2"/>
  <c r="G652" i="1"/>
  <c r="I652" i="1" s="1"/>
  <c r="C12" i="10"/>
  <c r="E101" i="2"/>
  <c r="E107" i="2" s="1"/>
  <c r="E137" i="2" s="1"/>
  <c r="E13" i="13"/>
  <c r="C13" i="13" s="1"/>
  <c r="G615" i="1"/>
  <c r="J615" i="1" s="1"/>
  <c r="C29" i="10"/>
  <c r="G651" i="1"/>
  <c r="I651" i="1" s="1"/>
  <c r="D119" i="2"/>
  <c r="D120" i="2" s="1"/>
  <c r="D137" i="2" s="1"/>
  <c r="L282" i="1"/>
  <c r="C102" i="2"/>
  <c r="C124" i="2"/>
  <c r="L513" i="1"/>
  <c r="F541" i="1" s="1"/>
  <c r="K541" i="1" s="1"/>
  <c r="I161" i="1"/>
  <c r="I185" i="1" s="1"/>
  <c r="G620" i="1" s="1"/>
  <c r="J620" i="1" s="1"/>
  <c r="D14" i="13"/>
  <c r="C14" i="13" s="1"/>
  <c r="J33" i="1"/>
  <c r="G613" i="1"/>
  <c r="J613" i="1" s="1"/>
  <c r="L519" i="1"/>
  <c r="I514" i="1"/>
  <c r="I535" i="1" s="1"/>
  <c r="C25" i="10"/>
  <c r="H653" i="1"/>
  <c r="H654" i="1" s="1"/>
  <c r="C11" i="10"/>
  <c r="C28" i="10" s="1"/>
  <c r="C112" i="2"/>
  <c r="C120" i="2" s="1"/>
  <c r="C16" i="10"/>
  <c r="C18" i="10"/>
  <c r="H637" i="1"/>
  <c r="J637" i="1" s="1"/>
  <c r="H662" i="1" l="1"/>
  <c r="H657" i="1"/>
  <c r="C30" i="10"/>
  <c r="D22" i="10"/>
  <c r="D23" i="10"/>
  <c r="D13" i="10"/>
  <c r="D26" i="10"/>
  <c r="D21" i="10"/>
  <c r="D17" i="10"/>
  <c r="D20" i="10"/>
  <c r="D19" i="10"/>
  <c r="D10" i="10"/>
  <c r="D40" i="10"/>
  <c r="D37" i="10"/>
  <c r="D35" i="10"/>
  <c r="G627" i="1"/>
  <c r="J627" i="1" s="1"/>
  <c r="H636" i="1"/>
  <c r="J636" i="1" s="1"/>
  <c r="D39" i="10"/>
  <c r="D18" i="10"/>
  <c r="D15" i="10"/>
  <c r="E33" i="13"/>
  <c r="D35" i="13" s="1"/>
  <c r="D38" i="10"/>
  <c r="L330" i="1"/>
  <c r="L344" i="1" s="1"/>
  <c r="G623" i="1" s="1"/>
  <c r="J623" i="1" s="1"/>
  <c r="D31" i="13"/>
  <c r="D25" i="10"/>
  <c r="G616" i="1"/>
  <c r="J616" i="1" s="1"/>
  <c r="J44" i="1"/>
  <c r="H611" i="1" s="1"/>
  <c r="D11" i="10"/>
  <c r="D12" i="10"/>
  <c r="J611" i="1"/>
  <c r="L514" i="1"/>
  <c r="L535" i="1" s="1"/>
  <c r="D27" i="10"/>
  <c r="D36" i="10"/>
  <c r="K539" i="1"/>
  <c r="K542" i="1" s="1"/>
  <c r="F542" i="1"/>
  <c r="G654" i="1"/>
  <c r="D24" i="10"/>
  <c r="D16" i="10"/>
  <c r="F650" i="1"/>
  <c r="C107" i="2"/>
  <c r="C137" i="2" s="1"/>
  <c r="F654" i="1" l="1"/>
  <c r="I650" i="1"/>
  <c r="I654" i="1" s="1"/>
  <c r="D41" i="10"/>
  <c r="H646" i="1"/>
  <c r="C31" i="13"/>
  <c r="D33" i="13"/>
  <c r="D36" i="13" s="1"/>
  <c r="G662" i="1"/>
  <c r="G657" i="1"/>
  <c r="D28" i="10"/>
  <c r="I657" i="1" l="1"/>
  <c r="I662" i="1"/>
  <c r="C7" i="10" s="1"/>
  <c r="F662" i="1"/>
  <c r="C4" i="10" s="1"/>
  <c r="F6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57AA389B-2701-4852-9488-8CAAD4CB8AE5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9E0FBFA9-25B3-4B07-98C5-84978EA74F2A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FCE7F967-ECA3-4818-96C4-1B94BE7ACD4C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19BA838A-CC47-4CB4-841B-D87391F39453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DCB6F83A-4DE9-4441-81DE-FE018014B6AC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AE483A6A-147A-4E91-8A64-DC31119F2634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72C297CF-EED5-4282-9717-3F6F5DD66236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EBBADCA4-087C-47E7-878C-E0B3A414AF04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45801426-F089-4099-9FEA-1E6C504FDBCB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D82580D4-394B-4FF0-BE5C-57167815939C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683C7774-EAA7-4A38-9B99-8076AA1B2DBC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E205302D-2EBB-4703-B096-BBFEF43738C3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<sst xmlns="http://schemas.openxmlformats.org/spreadsheetml/2006/main" count="3860" uniqueCount="897">
  <si>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</si>
  <si>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</si>
  <si>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</si>
  <si>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</si>
  <si>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</si>
  <si>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</si>
  <si>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</si>
  <si>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</si>
  <si>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</si>
  <si>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</si>
  <si>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</si>
  <si>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</si>
  <si>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</si>
  <si>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</si>
  <si>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</si>
  <si>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</si>
  <si>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</si>
  <si>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</si>
  <si>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</si>
  <si>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</si>
  <si>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</si>
  <si>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</si>
  <si>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</si>
  <si>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</si>
  <si>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</si>
  <si>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</si>
  <si>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</si>
  <si>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</si>
  <si>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</si>
  <si>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</si>
  <si>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</si>
  <si>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</si>
  <si>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</si>
  <si>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</si>
  <si>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</si>
  <si>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</si>
  <si>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</si>
  <si>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</si>
  <si>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</si>
  <si>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</si>
  <si>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</si>
  <si>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</si>
  <si>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</si>
  <si>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</si>
  <si>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</si>
  <si>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</si>
  <si>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</si>
  <si>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</si>
  <si>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</si>
  <si>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</si>
  <si>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</si>
  <si>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</si>
  <si>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</si>
  <si>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</si>
  <si>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</si>
  <si>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</si>
  <si>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</si>
  <si>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</si>
  <si>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</si>
  <si>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</si>
  <si>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</si>
  <si>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</si>
  <si>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</si>
  <si>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</si>
  <si>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</si>
  <si>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</si>
  <si>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</si>
  <si>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</si>
  <si>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</si>
  <si>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</si>
  <si>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</si>
  <si>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</si>
  <si>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</si>
  <si>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</si>
  <si>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</si>
  <si>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</si>
  <si>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</si>
  <si>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</si>
  <si>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</si>
  <si>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</si>
  <si>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</si>
  <si>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</si>
  <si>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</si>
  <si>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</si>
  <si>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</si>
  <si>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</si>
  <si>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</si>
  <si>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</si>
  <si>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</si>
  <si>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</si>
  <si>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</si>
  <si>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</si>
  <si>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</si>
  <si>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</si>
  <si>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</si>
  <si>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</si>
  <si>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</si>
  <si>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</si>
  <si>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</si>
  <si>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</si>
  <si>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</si>
  <si>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</si>
  <si>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</si>
  <si>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</si>
  <si>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</si>
  <si>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</si>
  <si>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</si>
  <si>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</si>
  <si>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</si>
  <si>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</si>
  <si>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</si>
  <si>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</si>
  <si>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</si>
  <si>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</si>
  <si>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</si>
  <si>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</si>
  <si>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</si>
  <si>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</si>
  <si>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</si>
  <si>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</si>
  <si>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</si>
  <si>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</si>
  <si>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</si>
  <si>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</si>
  <si>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</si>
  <si>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</si>
  <si>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</si>
  <si>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</si>
  <si>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</si>
  <si>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</si>
  <si>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</si>
  <si>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</si>
  <si>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</si>
  <si>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</si>
  <si>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</si>
  <si>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</si>
  <si>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</si>
  <si>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</si>
  <si>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</si>
  <si>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</si>
  <si>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</si>
  <si>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</si>
  <si>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</si>
  <si>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</si>
  <si>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</si>
  <si>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</si>
  <si>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</si>
  <si>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</si>
  <si>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</si>
  <si>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</si>
  <si>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</si>
  <si>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</si>
  <si>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</si>
  <si>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</si>
  <si>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</si>
  <si>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</si>
  <si>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</si>
  <si>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</si>
  <si>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</si>
  <si>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</si>
  <si>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</si>
  <si>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</si>
  <si>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</si>
  <si>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</si>
  <si>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</si>
  <si>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</si>
  <si>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</si>
  <si>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</si>
  <si>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</si>
  <si>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</si>
  <si>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</si>
  <si>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</si>
  <si>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</si>
  <si>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</si>
  <si>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</si>
  <si>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</si>
  <si>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</si>
  <si>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</si>
  <si>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</si>
  <si>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</si>
  <si>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</si>
  <si>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</si>
  <si>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</si>
  <si>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</si>
  <si>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</si>
  <si>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</si>
  <si>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</si>
  <si>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</si>
  <si>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</si>
  <si>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</si>
  <si>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</si>
  <si>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</si>
  <si>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</si>
  <si>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</si>
  <si>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</si>
  <si>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</si>
  <si>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</si>
  <si>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</si>
  <si>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</si>
  <si>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</si>
  <si>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</si>
  <si>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</si>
  <si>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</si>
  <si>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</si>
  <si>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</si>
  <si>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</si>
  <si>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</si>
  <si>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</si>
  <si>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</si>
  <si>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</si>
  <si>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</si>
  <si>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</si>
  <si>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</si>
  <si>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</si>
  <si>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</si>
  <si>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</si>
  <si>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</si>
  <si>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</si>
  <si>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</si>
  <si>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</si>
  <si>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</si>
  <si>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</si>
  <si>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</si>
  <si>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</si>
  <si>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</si>
  <si>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</si>
  <si>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</si>
  <si>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</si>
  <si>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</si>
  <si>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</si>
  <si>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</si>
  <si>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</si>
  <si>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</si>
  <si>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</si>
  <si>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</si>
  <si>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</si>
  <si>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</si>
  <si>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</si>
  <si>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</si>
  <si>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</si>
  <si>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</si>
  <si>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</si>
  <si>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</si>
  <si>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</si>
  <si>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</si>
  <si>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</si>
  <si>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</si>
  <si>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</si>
  <si>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</si>
  <si>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</si>
  <si>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</si>
  <si>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</si>
  <si>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</si>
  <si>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</si>
  <si>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</si>
  <si>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</si>
  <si>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</si>
  <si>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</si>
  <si>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</si>
  <si>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</si>
  <si>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</si>
  <si>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</si>
  <si>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</si>
  <si>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</si>
  <si>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</si>
  <si>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</si>
  <si>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</si>
  <si>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</si>
  <si>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</si>
  <si>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</si>
  <si>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</si>
  <si>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</si>
  <si>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</si>
  <si>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</si>
  <si>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</si>
  <si>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</si>
  <si>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</si>
  <si>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</si>
  <si>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</si>
  <si>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</si>
  <si>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</si>
  <si>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</si>
  <si>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</si>
  <si>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</si>
  <si>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</si>
  <si>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</si>
  <si>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</si>
  <si>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</si>
  <si>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</si>
  <si>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</si>
  <si>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</si>
  <si>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</si>
  <si>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</si>
  <si>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</si>
  <si>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</si>
  <si>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</si>
  <si>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</si>
  <si>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</si>
  <si>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</si>
  <si>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</si>
  <si>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</si>
  <si>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</si>
  <si>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</si>
  <si>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</si>
  <si>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</si>
  <si>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</si>
  <si>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</si>
  <si>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</si>
  <si>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</si>
  <si>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</si>
  <si>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</si>
  <si>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</si>
  <si>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</si>
  <si>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</si>
  <si>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</si>
  <si>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</si>
  <si>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</si>
  <si>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</si>
  <si>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</si>
  <si>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</si>
  <si>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</si>
  <si>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</si>
  <si>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</si>
  <si>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</si>
  <si>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</si>
  <si>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</si>
  <si>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</si>
  <si>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</si>
  <si>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</si>
  <si>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</si>
  <si>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</si>
  <si>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</si>
  <si>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</si>
  <si>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</si>
  <si>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</si>
  <si>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</si>
  <si>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</si>
  <si>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</si>
  <si>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</si>
  <si>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</si>
  <si>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</si>
  <si>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</si>
  <si>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</si>
  <si>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</si>
  <si>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</si>
  <si>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</si>
  <si>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</si>
  <si>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</si>
  <si>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</si>
  <si>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</si>
  <si>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</si>
  <si>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</si>
  <si>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</si>
  <si>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</si>
  <si>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</si>
  <si>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</si>
  <si>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</si>
  <si>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</si>
  <si>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</si>
  <si>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</si>
  <si>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</si>
  <si>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</si>
  <si>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</si>
  <si>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</si>
  <si>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</si>
  <si>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</si>
  <si>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</si>
  <si>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</si>
  <si>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</si>
  <si>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</si>
  <si>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</si>
  <si>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</si>
  <si>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</si>
  <si>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</si>
  <si>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</si>
  <si>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</si>
  <si>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</si>
  <si>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</si>
  <si>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</si>
  <si>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</si>
  <si>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</si>
  <si>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</si>
  <si>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</si>
  <si>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</si>
  <si>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</si>
  <si>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</si>
  <si>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</si>
  <si>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</si>
  <si>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</si>
  <si>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</si>
  <si>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</si>
  <si>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</si>
  <si>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</si>
  <si>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</si>
  <si>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</si>
  <si>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</si>
  <si>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</si>
  <si>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</si>
  <si>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</si>
  <si>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</si>
  <si>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</si>
  <si>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</si>
  <si>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</si>
  <si>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</si>
  <si>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</si>
  <si>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</si>
  <si>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</si>
  <si>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</si>
  <si>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</si>
  <si>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</si>
  <si>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</si>
  <si>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</si>
  <si>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</si>
  <si>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</si>
  <si>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</si>
  <si>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</si>
  <si>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</si>
  <si>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</si>
  <si>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</si>
  <si>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</si>
  <si>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</si>
  <si>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</si>
  <si>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</si>
  <si>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</si>
  <si>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</si>
  <si>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</si>
  <si>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</si>
  <si>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</si>
  <si>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</si>
  <si>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</si>
  <si>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</si>
  <si>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</si>
  <si>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</si>
  <si>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</si>
  <si>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</si>
  <si>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</si>
  <si>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</si>
  <si>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</si>
  <si>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</si>
  <si>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</si>
  <si>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</si>
  <si>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</si>
  <si>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</si>
  <si>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</si>
  <si>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</si>
  <si>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</si>
  <si>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</si>
  <si>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</si>
  <si>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</si>
  <si>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</si>
  <si>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</si>
  <si>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</si>
  <si>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</si>
  <si>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</si>
  <si>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</si>
  <si>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</si>
  <si>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</si>
  <si>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</si>
  <si>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</si>
  <si>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</si>
  <si>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</si>
  <si>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</si>
  <si>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</si>
  <si>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</si>
  <si>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</si>
  <si>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</si>
  <si>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</si>
  <si>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</si>
  <si>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</si>
  <si>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</si>
  <si>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</si>
  <si>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</si>
  <si>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</si>
  <si>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</si>
  <si>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</si>
  <si>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</si>
  <si>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</si>
  <si>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</si>
  <si>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</si>
  <si>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</si>
  <si>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</si>
  <si>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</si>
  <si>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</si>
  <si>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</si>
  <si>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</si>
  <si>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</si>
  <si>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</si>
  <si>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</si>
  <si>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</si>
  <si>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</si>
  <si>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</si>
  <si>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</si>
  <si>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</si>
  <si>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</si>
  <si>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</si>
  <si>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</si>
  <si>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</si>
  <si>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</si>
  <si>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</si>
  <si>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</si>
  <si>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</si>
  <si>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</si>
  <si>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</si>
  <si>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</si>
  <si>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</si>
  <si>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</si>
  <si>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</si>
  <si>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</si>
  <si>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</si>
  <si>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</si>
  <si>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</si>
  <si>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</si>
  <si>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</si>
  <si>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</si>
  <si>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</si>
  <si>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</si>
  <si>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</si>
  <si>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</si>
  <si>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</si>
  <si>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</si>
  <si>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</si>
  <si>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</si>
  <si>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</si>
  <si>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</si>
  <si>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</si>
  <si>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</si>
  <si>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</si>
  <si>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</si>
  <si>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</si>
  <si>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</si>
  <si>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</si>
  <si>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</si>
  <si>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</si>
  <si>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</si>
  <si>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</si>
  <si>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</si>
  <si>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</si>
  <si>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</si>
  <si>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</si>
  <si>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</si>
  <si>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</si>
  <si>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</si>
  <si>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</si>
  <si>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</si>
  <si>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</si>
  <si>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</si>
  <si>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</si>
  <si>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</si>
  <si>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</si>
  <si>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</si>
  <si>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</si>
  <si>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</si>
  <si>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</si>
  <si>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</si>
  <si>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</si>
  <si>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</si>
  <si>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</si>
  <si>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</si>
  <si>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</si>
  <si>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</si>
  <si>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</si>
  <si>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</si>
  <si>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</si>
  <si>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</si>
  <si>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</si>
  <si>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</si>
  <si>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</si>
  <si>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</si>
  <si>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</si>
  <si>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</si>
  <si>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</si>
  <si>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</si>
  <si>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</si>
  <si>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</si>
  <si>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</si>
  <si>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</si>
  <si>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</si>
  <si>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</si>
  <si>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</si>
  <si>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</si>
  <si>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</si>
  <si>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</si>
  <si>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</si>
  <si>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</si>
  <si>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</si>
  <si>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</si>
  <si>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</si>
  <si>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</si>
  <si>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</si>
  <si>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</si>
  <si>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</si>
  <si>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</si>
  <si>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</si>
  <si>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</si>
  <si>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</si>
  <si>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</si>
  <si>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</si>
  <si>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</si>
  <si>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</si>
  <si>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</si>
  <si>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</si>
  <si>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</si>
  <si>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</si>
  <si>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</si>
  <si>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</si>
  <si>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</si>
  <si>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</si>
  <si>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</si>
  <si>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</si>
  <si>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</si>
  <si>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</si>
  <si>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</si>
  <si>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</si>
  <si>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</si>
  <si>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</si>
  <si>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</si>
  <si>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</si>
  <si>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</si>
  <si>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</si>
  <si>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</si>
  <si>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</si>
  <si>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</si>
  <si>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</si>
  <si>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</si>
  <si>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</si>
  <si>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</si>
  <si>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</si>
  <si>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</si>
  <si>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</si>
  <si>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</si>
  <si>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</si>
  <si>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</si>
  <si>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</si>
  <si>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</si>
  <si>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</si>
  <si>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</si>
  <si>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</si>
  <si>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</si>
  <si>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</si>
  <si>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</si>
  <si>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</si>
  <si>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</si>
  <si>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</si>
  <si>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</si>
  <si>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</si>
  <si>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</si>
  <si>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</si>
  <si>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</si>
  <si>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</si>
  <si>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</si>
  <si>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</si>
  <si>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</si>
  <si>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</si>
  <si>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</si>
  <si>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</si>
  <si>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</si>
  <si>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</si>
  <si>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</si>
  <si>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</si>
  <si>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</si>
  <si>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</si>
  <si>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</si>
  <si>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</si>
  <si>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</si>
  <si>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</si>
  <si>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</si>
  <si>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</si>
  <si>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</si>
  <si>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</si>
  <si>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</si>
  <si>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</si>
  <si>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</si>
  <si>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</si>
  <si>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</si>
  <si>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</si>
  <si>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</si>
  <si>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</si>
  <si>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</si>
  <si>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</si>
  <si>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</si>
  <si>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</si>
  <si>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</si>
  <si>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</si>
  <si>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</si>
  <si>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</si>
  <si>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</si>
  <si>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</si>
  <si>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</si>
  <si>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</si>
  <si>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</si>
  <si>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</si>
  <si>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</si>
  <si>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</si>
  <si>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</si>
  <si>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</si>
  <si>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</si>
  <si>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</si>
  <si>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</si>
  <si>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</si>
  <si>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</si>
  <si>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</si>
  <si>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</si>
  <si>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</si>
  <si>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</si>
  <si>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</si>
  <si>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</si>
  <si>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</si>
  <si>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</si>
  <si>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</si>
  <si>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</si>
  <si>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</si>
  <si>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</si>
  <si>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</si>
  <si>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</si>
  <si>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</si>
  <si>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</si>
  <si>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</si>
  <si>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</si>
  <si>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</si>
  <si>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</si>
  <si>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</si>
  <si>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</si>
  <si>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</si>
  <si>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</si>
  <si>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</si>
  <si>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</si>
  <si>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</si>
  <si>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</si>
  <si>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</si>
  <si>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</si>
  <si>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</si>
  <si>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</si>
  <si>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</si>
  <si>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</si>
  <si>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</si>
  <si>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</si>
  <si>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</si>
  <si>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</si>
  <si>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</si>
  <si>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</si>
  <si>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</si>
  <si>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</si>
  <si>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</si>
  <si>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</si>
  <si>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</si>
  <si>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</si>
  <si>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</si>
  <si>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</si>
  <si>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</si>
  <si>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</si>
  <si>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</si>
  <si>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</si>
  <si>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</si>
  <si>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</si>
  <si>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</si>
  <si>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</si>
  <si>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</si>
  <si>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</si>
  <si>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</si>
  <si>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</si>
  <si>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</si>
  <si>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</si>
  <si>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</si>
  <si>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</si>
  <si>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</si>
  <si>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</si>
  <si>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</si>
  <si>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</si>
  <si>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</si>
  <si>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</si>
  <si>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</si>
  <si>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</si>
  <si>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</si>
  <si>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</si>
  <si>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</si>
  <si>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</si>
  <si>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</si>
  <si>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</si>
  <si>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</si>
  <si>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</si>
  <si>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</si>
  <si>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</si>
  <si>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</si>
  <si>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</si>
  <si>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</si>
  <si>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</si>
  <si>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</si>
  <si>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</si>
  <si>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</si>
  <si>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</si>
  <si>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</si>
  <si>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</si>
  <si>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</si>
  <si>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</si>
  <si>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</si>
  <si>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</si>
  <si>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</si>
  <si>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</si>
  <si>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</si>
  <si>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</si>
  <si>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</si>
  <si>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</si>
  <si>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</si>
  <si>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</si>
  <si>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</si>
  <si>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</si>
  <si>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</si>
  <si>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</si>
  <si>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</si>
  <si>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</si>
  <si>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</si>
  <si>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</si>
  <si>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</si>
  <si>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</si>
  <si>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</si>
  <si>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</si>
  <si>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</si>
  <si>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</si>
  <si>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</si>
  <si>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</si>
  <si>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</si>
  <si>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</si>
  <si>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</si>
  <si>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</si>
  <si>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</si>
  <si>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</si>
  <si>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</si>
  <si>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</si>
  <si>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</si>
  <si>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</si>
  <si>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</si>
  <si>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</si>
  <si>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</si>
  <si>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</si>
  <si>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</si>
  <si>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</si>
  <si>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</si>
  <si>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</si>
  <si>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</si>
  <si>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</si>
  <si>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</si>
  <si>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</si>
  <si>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</si>
  <si>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</si>
  <si>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</si>
  <si>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</si>
  <si>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</si>
  <si>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</si>
  <si>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</si>
  <si>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</si>
  <si>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</si>
  <si>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</si>
  <si>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</si>
  <si>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</si>
  <si>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</si>
  <si>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</si>
  <si>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</si>
  <si>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</si>
  <si>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</si>
  <si>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</si>
  <si>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</si>
  <si>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</si>
  <si>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</si>
  <si>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</si>
  <si>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</si>
  <si>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</si>
  <si>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</si>
  <si>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</si>
  <si>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</si>
  <si>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</si>
  <si>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</si>
  <si>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</si>
  <si>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</si>
  <si>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</si>
  <si>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</si>
  <si>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</si>
  <si>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</si>
  <si>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</si>
  <si>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</si>
  <si>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</si>
  <si>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</si>
  <si>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</si>
  <si>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</si>
  <si>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</si>
  <si>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</si>
  <si>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</si>
  <si>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</si>
  <si>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</si>
  <si>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</si>
  <si>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</si>
  <si>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</si>
  <si>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</si>
  <si>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</si>
  <si>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</si>
  <si>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09/02</t>
  </si>
  <si>
    <t>08/22</t>
  </si>
  <si>
    <t>Barnstead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</si>
</sst>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file:///C:\Documents%20and%20Settings\amy.SAU86\Desktop\Barnstead.xls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37249-AE32-40EF-A05A-D3C844242158}">
  <sheetPr transitionEvaluation="1" transitionEntry="1" codeName="Sheet1">
    <tabColor indexed="56"/>
  </sheetPr>
  <dimension ref="A1:AQ666"/>
  <sheetViews>
    <sheetView tabSelected="1" zoomScale="90" zoomScaleNormal="90" workbookViewId="0">
      <pane xSplit="5" ySplit="3" topLeftCell="F641" activePane="bottomRight" state="frozen"/>
      <selection activeCell="A629" sqref="A629"/>
      <selection pane="topRight" activeCell="A629" sqref="A629"/>
      <selection pane="bottomLeft" activeCell="A629" sqref="A629"/>
      <selection pane="bottomRight" activeCell="F655" sqref="F65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896</v>
      </c>
      <c r="B2" s="21">
        <v>31</v>
      </c>
      <c r="C2" s="21">
        <v>31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561653.91</v>
      </c>
      <c r="G9" s="18">
        <v>21256.82</v>
      </c>
      <c r="H9" s="18"/>
      <c r="I9" s="18">
        <v>70.7</v>
      </c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/>
      <c r="H13" s="18">
        <v>118221.11</v>
      </c>
      <c r="I13" s="18"/>
      <c r="J13" s="67">
        <f>SUM(I434)</f>
        <v>633537.78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45">
        <v>67735.460000000006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1938.33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629389.37</v>
      </c>
      <c r="G19" s="41">
        <f>SUM(G9:G18)</f>
        <v>23195.15</v>
      </c>
      <c r="H19" s="41">
        <f>SUM(H9:H18)</f>
        <v>118221.11</v>
      </c>
      <c r="I19" s="41">
        <f>SUM(I9:I18)</f>
        <v>70.7</v>
      </c>
      <c r="J19" s="41">
        <f>SUM(J9:J18)</f>
        <v>633537.78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-97052.49</v>
      </c>
      <c r="G23" s="18">
        <v>12903.34</v>
      </c>
      <c r="H23" s="18">
        <v>82873.149999999994</v>
      </c>
      <c r="I23" s="18">
        <v>1276</v>
      </c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302039.34999999998</v>
      </c>
      <c r="G25" s="18">
        <v>754.77</v>
      </c>
      <c r="H25" s="18">
        <v>9128.58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14363.08</v>
      </c>
      <c r="G29" s="18">
        <v>10579.73</v>
      </c>
      <c r="H29" s="18">
        <v>21966.52</v>
      </c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-53.54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>
        <v>6756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219296.39999999997</v>
      </c>
      <c r="G33" s="41">
        <f>SUM(G23:G32)</f>
        <v>24237.84</v>
      </c>
      <c r="H33" s="41">
        <f>SUM(H23:H32)</f>
        <v>120724.25</v>
      </c>
      <c r="I33" s="41">
        <f>SUM(I23:I32)</f>
        <v>1276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>
        <v>1938.33</v>
      </c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-2981.02</v>
      </c>
      <c r="H41" s="18">
        <v>-2503.14</v>
      </c>
      <c r="I41" s="18">
        <v>-1205.3</v>
      </c>
      <c r="J41" s="13">
        <f>SUM(I449)</f>
        <v>633537.78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410092.97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410092.97</v>
      </c>
      <c r="G43" s="41">
        <f>SUM(G35:G42)</f>
        <v>-1042.69</v>
      </c>
      <c r="H43" s="41">
        <f>SUM(H35:H42)</f>
        <v>-2503.14</v>
      </c>
      <c r="I43" s="41">
        <f>SUM(I35:I42)</f>
        <v>-1205.3</v>
      </c>
      <c r="J43" s="41">
        <f>SUM(J35:J42)</f>
        <v>633537.78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629389.36999999988</v>
      </c>
      <c r="G44" s="41">
        <f>G43+G33</f>
        <v>23195.15</v>
      </c>
      <c r="H44" s="41">
        <f>H43+H33</f>
        <v>118221.11</v>
      </c>
      <c r="I44" s="41">
        <f>I43+I33</f>
        <v>70.700000000000045</v>
      </c>
      <c r="J44" s="41">
        <f>J43+J33</f>
        <v>633537.78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f>6052312.55-8156.55</f>
        <v>6044156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6044156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53374.8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>
        <v>-1291.5899999999999</v>
      </c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52083.210000000006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895.66</v>
      </c>
      <c r="G88" s="18">
        <v>22.61</v>
      </c>
      <c r="H88" s="18"/>
      <c r="I88" s="18">
        <v>27.4</v>
      </c>
      <c r="J88" s="18">
        <v>4452.91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85489.9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2000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8156.54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9052.2000000000007</v>
      </c>
      <c r="G103" s="41">
        <f>SUM(G88:G102)</f>
        <v>85512.51</v>
      </c>
      <c r="H103" s="41">
        <f>SUM(H88:H102)</f>
        <v>2000</v>
      </c>
      <c r="I103" s="41">
        <f>SUM(I88:I102)</f>
        <v>27.4</v>
      </c>
      <c r="J103" s="41">
        <f>SUM(J88:J102)</f>
        <v>4452.91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6105291.4100000001</v>
      </c>
      <c r="G104" s="41">
        <f>G52+G103</f>
        <v>85512.51</v>
      </c>
      <c r="H104" s="41">
        <f>H52+H71+H86+H103</f>
        <v>2000</v>
      </c>
      <c r="I104" s="41">
        <f>I52+I103</f>
        <v>27.4</v>
      </c>
      <c r="J104" s="41">
        <f>J52+J103</f>
        <v>4452.91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2005517.91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1214496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769454.09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3989468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196882.82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8613.85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196882.82</v>
      </c>
      <c r="G128" s="41">
        <f>SUM(G115:G127)</f>
        <v>8613.85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4186350.82</v>
      </c>
      <c r="G132" s="41">
        <f>G113+SUM(G128:G129)</f>
        <v>8613.85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136949.54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201449.37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64084.58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71255.509999999995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71255.509999999995</v>
      </c>
      <c r="G154" s="41">
        <f>SUM(G142:G153)</f>
        <v>64084.58</v>
      </c>
      <c r="H154" s="41">
        <f>SUM(H142:H153)</f>
        <v>338398.91000000003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71255.509999999995</v>
      </c>
      <c r="G161" s="41">
        <f>G139+G154+SUM(G155:G160)</f>
        <v>64084.58</v>
      </c>
      <c r="H161" s="41">
        <f>H139+H154+SUM(H155:H160)</f>
        <v>338398.91000000003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f>617511-33349</f>
        <v>584162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584162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550248.89</v>
      </c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550248.89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550248.89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584162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10913146.630000001</v>
      </c>
      <c r="G185" s="47">
        <f>G104+G132+G161+G184</f>
        <v>158210.94</v>
      </c>
      <c r="H185" s="47">
        <f>H104+H132+H161+H184</f>
        <v>340398.91000000003</v>
      </c>
      <c r="I185" s="47">
        <f>I104+I132+I161+I184</f>
        <v>27.4</v>
      </c>
      <c r="J185" s="47">
        <f>J104+J132+J184</f>
        <v>588614.91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1638447.32</v>
      </c>
      <c r="G189" s="18">
        <v>565690.12</v>
      </c>
      <c r="H189" s="18">
        <v>27414.35</v>
      </c>
      <c r="I189" s="18">
        <v>106136.29</v>
      </c>
      <c r="J189" s="18">
        <v>29132.6</v>
      </c>
      <c r="K189" s="18">
        <v>1047</v>
      </c>
      <c r="L189" s="19">
        <f>SUM(F189:K189)</f>
        <v>2367867.6800000002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691096.1</v>
      </c>
      <c r="G190" s="18">
        <v>306067.98</v>
      </c>
      <c r="H190" s="18">
        <v>83448.710000000006</v>
      </c>
      <c r="I190" s="18">
        <v>8011.33</v>
      </c>
      <c r="J190" s="18">
        <v>1149.93</v>
      </c>
      <c r="K190" s="18"/>
      <c r="L190" s="19">
        <f>SUM(F190:K190)</f>
        <v>1089774.05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24178</v>
      </c>
      <c r="G192" s="18">
        <v>2376.0500000000002</v>
      </c>
      <c r="H192" s="18">
        <v>15316.65</v>
      </c>
      <c r="I192" s="18">
        <v>10154.549999999999</v>
      </c>
      <c r="J192" s="18">
        <v>799.98</v>
      </c>
      <c r="K192" s="18">
        <v>1085</v>
      </c>
      <c r="L192" s="19">
        <f>SUM(F192:K192)</f>
        <v>53910.23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372427.08</v>
      </c>
      <c r="G194" s="18">
        <v>148735.41</v>
      </c>
      <c r="H194" s="18">
        <v>25318.17</v>
      </c>
      <c r="I194" s="18">
        <v>2768.16</v>
      </c>
      <c r="J194" s="18">
        <v>969.86</v>
      </c>
      <c r="K194" s="18">
        <v>125</v>
      </c>
      <c r="L194" s="19">
        <f t="shared" ref="L194:L200" si="0">SUM(F194:K194)</f>
        <v>550343.68000000005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59881.15</v>
      </c>
      <c r="G195" s="18">
        <v>36131.15</v>
      </c>
      <c r="H195" s="18">
        <v>31617.8</v>
      </c>
      <c r="I195" s="18">
        <v>23943.31</v>
      </c>
      <c r="J195" s="18">
        <v>59775.39</v>
      </c>
      <c r="K195" s="18">
        <v>106.5</v>
      </c>
      <c r="L195" s="19">
        <f t="shared" si="0"/>
        <v>211455.3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187158.33</v>
      </c>
      <c r="G196" s="18">
        <v>64215.27</v>
      </c>
      <c r="H196" s="18">
        <v>73770.64</v>
      </c>
      <c r="I196" s="18">
        <v>24270.76</v>
      </c>
      <c r="J196" s="18">
        <v>3489.95</v>
      </c>
      <c r="K196" s="18">
        <v>6537.91</v>
      </c>
      <c r="L196" s="19">
        <f t="shared" si="0"/>
        <v>359442.86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313711.34000000003</v>
      </c>
      <c r="G197" s="18">
        <v>113870.37</v>
      </c>
      <c r="H197" s="18">
        <v>21864.82</v>
      </c>
      <c r="I197" s="18">
        <v>5713.83</v>
      </c>
      <c r="J197" s="18"/>
      <c r="K197" s="18">
        <v>6297.91</v>
      </c>
      <c r="L197" s="19">
        <f t="shared" si="0"/>
        <v>461458.27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145779.13</v>
      </c>
      <c r="G199" s="18">
        <v>62174.55</v>
      </c>
      <c r="H199" s="18">
        <v>203718.31</v>
      </c>
      <c r="I199" s="18">
        <v>110209.13</v>
      </c>
      <c r="J199" s="18">
        <v>2441.25</v>
      </c>
      <c r="K199" s="18"/>
      <c r="L199" s="19">
        <f t="shared" si="0"/>
        <v>524322.37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3577.49</v>
      </c>
      <c r="G200" s="18">
        <v>430.84</v>
      </c>
      <c r="H200" s="18">
        <v>261826.79</v>
      </c>
      <c r="I200" s="18"/>
      <c r="J200" s="18"/>
      <c r="K200" s="18"/>
      <c r="L200" s="19">
        <f t="shared" si="0"/>
        <v>265835.12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3436255.94</v>
      </c>
      <c r="G203" s="41">
        <f t="shared" si="1"/>
        <v>1299691.7400000002</v>
      </c>
      <c r="H203" s="41">
        <f t="shared" si="1"/>
        <v>744296.24</v>
      </c>
      <c r="I203" s="41">
        <f t="shared" si="1"/>
        <v>291207.36</v>
      </c>
      <c r="J203" s="41">
        <f t="shared" si="1"/>
        <v>97758.959999999992</v>
      </c>
      <c r="K203" s="41">
        <f t="shared" si="1"/>
        <v>15199.32</v>
      </c>
      <c r="L203" s="41">
        <f t="shared" si="1"/>
        <v>5884409.5600000005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3275711</v>
      </c>
      <c r="I225" s="18"/>
      <c r="J225" s="18"/>
      <c r="K225" s="18"/>
      <c r="L225" s="19">
        <f>SUM(F225:K225)</f>
        <v>3275711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50742.64</v>
      </c>
      <c r="G226" s="18">
        <v>14347.67</v>
      </c>
      <c r="H226" s="18">
        <v>151682.29999999999</v>
      </c>
      <c r="I226" s="18"/>
      <c r="J226" s="18"/>
      <c r="K226" s="18"/>
      <c r="L226" s="19">
        <f>SUM(F226:K226)</f>
        <v>216772.61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200569.4</v>
      </c>
      <c r="I236" s="18"/>
      <c r="J236" s="18"/>
      <c r="K236" s="18"/>
      <c r="L236" s="19">
        <f t="shared" si="4"/>
        <v>200569.4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50742.64</v>
      </c>
      <c r="G239" s="41">
        <f t="shared" si="5"/>
        <v>14347.67</v>
      </c>
      <c r="H239" s="41">
        <f t="shared" si="5"/>
        <v>3627962.6999999997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3693053.01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3486998.58</v>
      </c>
      <c r="G249" s="41">
        <f t="shared" si="8"/>
        <v>1314039.4100000001</v>
      </c>
      <c r="H249" s="41">
        <f t="shared" si="8"/>
        <v>4372258.9399999995</v>
      </c>
      <c r="I249" s="41">
        <f t="shared" si="8"/>
        <v>291207.36</v>
      </c>
      <c r="J249" s="41">
        <f t="shared" si="8"/>
        <v>97758.959999999992</v>
      </c>
      <c r="K249" s="41">
        <f t="shared" si="8"/>
        <v>15199.32</v>
      </c>
      <c r="L249" s="41">
        <f t="shared" si="8"/>
        <v>9577462.5700000003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485000</v>
      </c>
      <c r="L252" s="19">
        <f>SUM(F252:K252)</f>
        <v>485000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232939.21</v>
      </c>
      <c r="L253" s="19">
        <f>SUM(F253:K253)</f>
        <v>232939.21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f>617511-33349</f>
        <v>584162</v>
      </c>
      <c r="L258" s="19">
        <f t="shared" si="9"/>
        <v>584162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1302101.21</v>
      </c>
      <c r="L262" s="41">
        <f t="shared" si="9"/>
        <v>1302101.21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3486998.58</v>
      </c>
      <c r="G263" s="42">
        <f t="shared" si="11"/>
        <v>1314039.4100000001</v>
      </c>
      <c r="H263" s="42">
        <f t="shared" si="11"/>
        <v>4372258.9399999995</v>
      </c>
      <c r="I263" s="42">
        <f t="shared" si="11"/>
        <v>291207.36</v>
      </c>
      <c r="J263" s="42">
        <f t="shared" si="11"/>
        <v>97758.959999999992</v>
      </c>
      <c r="K263" s="42">
        <f t="shared" si="11"/>
        <v>1317300.53</v>
      </c>
      <c r="L263" s="42">
        <f t="shared" si="11"/>
        <v>10879563.780000001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112553.29</v>
      </c>
      <c r="G268" s="18">
        <v>33424.089999999997</v>
      </c>
      <c r="H268" s="18"/>
      <c r="I268" s="18">
        <v>7767.92</v>
      </c>
      <c r="J268" s="18"/>
      <c r="K268" s="18">
        <v>100</v>
      </c>
      <c r="L268" s="19">
        <f>SUM(F268:K268)</f>
        <v>153845.30000000002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1850</v>
      </c>
      <c r="G269" s="18">
        <v>160.11000000000001</v>
      </c>
      <c r="H269" s="18"/>
      <c r="I269" s="18">
        <v>25223.03</v>
      </c>
      <c r="J269" s="18">
        <v>1673.09</v>
      </c>
      <c r="K269" s="18"/>
      <c r="L269" s="19">
        <f>SUM(F269:K269)</f>
        <v>28906.23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>
        <v>2000</v>
      </c>
      <c r="J271" s="18"/>
      <c r="K271" s="18"/>
      <c r="L271" s="19">
        <f>SUM(F271:K271)</f>
        <v>2000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77022.45</v>
      </c>
      <c r="G273" s="18">
        <v>19166.36</v>
      </c>
      <c r="H273" s="18"/>
      <c r="I273" s="18">
        <v>508.47</v>
      </c>
      <c r="J273" s="18"/>
      <c r="K273" s="18"/>
      <c r="L273" s="19">
        <f t="shared" ref="L273:L279" si="12">SUM(F273:K273)</f>
        <v>96697.279999999999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>
        <v>13337.43</v>
      </c>
      <c r="I274" s="18">
        <v>3409.82</v>
      </c>
      <c r="J274" s="18">
        <v>25428.400000000001</v>
      </c>
      <c r="K274" s="18">
        <v>19277.59</v>
      </c>
      <c r="L274" s="19">
        <f t="shared" si="12"/>
        <v>61453.240000000005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191425.74</v>
      </c>
      <c r="G282" s="42">
        <f t="shared" si="13"/>
        <v>52750.559999999998</v>
      </c>
      <c r="H282" s="42">
        <f t="shared" si="13"/>
        <v>13337.43</v>
      </c>
      <c r="I282" s="42">
        <f t="shared" si="13"/>
        <v>38909.24</v>
      </c>
      <c r="J282" s="42">
        <f t="shared" si="13"/>
        <v>27101.49</v>
      </c>
      <c r="K282" s="42">
        <f t="shared" si="13"/>
        <v>19377.59</v>
      </c>
      <c r="L282" s="41">
        <f t="shared" si="13"/>
        <v>342902.05000000005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191425.74</v>
      </c>
      <c r="G330" s="41">
        <f t="shared" si="20"/>
        <v>52750.559999999998</v>
      </c>
      <c r="H330" s="41">
        <f t="shared" si="20"/>
        <v>13337.43</v>
      </c>
      <c r="I330" s="41">
        <f t="shared" si="20"/>
        <v>38909.24</v>
      </c>
      <c r="J330" s="41">
        <f t="shared" si="20"/>
        <v>27101.49</v>
      </c>
      <c r="K330" s="41">
        <f t="shared" si="20"/>
        <v>19377.59</v>
      </c>
      <c r="L330" s="41">
        <f t="shared" si="20"/>
        <v>342902.05000000005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191425.74</v>
      </c>
      <c r="G344" s="41">
        <f>G330</f>
        <v>52750.559999999998</v>
      </c>
      <c r="H344" s="41">
        <f>H330</f>
        <v>13337.43</v>
      </c>
      <c r="I344" s="41">
        <f>I330</f>
        <v>38909.24</v>
      </c>
      <c r="J344" s="41">
        <f>J330</f>
        <v>27101.49</v>
      </c>
      <c r="K344" s="47">
        <f>K330+K343</f>
        <v>19377.59</v>
      </c>
      <c r="L344" s="41">
        <f>L330+L343</f>
        <v>342902.05000000005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63456.74</v>
      </c>
      <c r="G350" s="18">
        <v>10019.73</v>
      </c>
      <c r="H350" s="18">
        <v>2590.4899999999998</v>
      </c>
      <c r="I350" s="18">
        <v>76112.72</v>
      </c>
      <c r="J350" s="18">
        <v>2396.9899999999998</v>
      </c>
      <c r="K350" s="18"/>
      <c r="L350" s="13">
        <f>SUM(F350:K350)</f>
        <v>154576.66999999998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63456.74</v>
      </c>
      <c r="G354" s="47">
        <f t="shared" si="22"/>
        <v>10019.73</v>
      </c>
      <c r="H354" s="47">
        <f t="shared" si="22"/>
        <v>2590.4899999999998</v>
      </c>
      <c r="I354" s="47">
        <f t="shared" si="22"/>
        <v>76112.72</v>
      </c>
      <c r="J354" s="47">
        <f t="shared" si="22"/>
        <v>2396.9899999999998</v>
      </c>
      <c r="K354" s="47">
        <f t="shared" si="22"/>
        <v>0</v>
      </c>
      <c r="L354" s="47">
        <f t="shared" si="22"/>
        <v>154576.66999999998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69754.759999999995</v>
      </c>
      <c r="G359" s="18"/>
      <c r="H359" s="18"/>
      <c r="I359" s="56">
        <f>SUM(F359:H359)</f>
        <v>69754.759999999995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6357.96</v>
      </c>
      <c r="G360" s="63"/>
      <c r="H360" s="63"/>
      <c r="I360" s="56">
        <f>SUM(F360:H360)</f>
        <v>6357.96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76112.72</v>
      </c>
      <c r="G361" s="47">
        <f>SUM(G359:G360)</f>
        <v>0</v>
      </c>
      <c r="H361" s="47">
        <f>SUM(H359:H360)</f>
        <v>0</v>
      </c>
      <c r="I361" s="47">
        <f>SUM(I359:I360)</f>
        <v>76112.72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>
        <v>32156.62</v>
      </c>
      <c r="I370" s="18"/>
      <c r="J370" s="18"/>
      <c r="K370" s="18"/>
      <c r="L370" s="13">
        <f t="shared" si="23"/>
        <v>32156.62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32156.62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32156.62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>
        <v>299162</v>
      </c>
      <c r="H381" s="18">
        <v>659.99</v>
      </c>
      <c r="I381" s="18"/>
      <c r="J381" s="24" t="s">
        <v>312</v>
      </c>
      <c r="K381" s="24" t="s">
        <v>312</v>
      </c>
      <c r="L381" s="56">
        <f t="shared" si="25"/>
        <v>299821.99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>
        <v>11.03</v>
      </c>
      <c r="I384" s="18"/>
      <c r="J384" s="24" t="s">
        <v>312</v>
      </c>
      <c r="K384" s="24" t="s">
        <v>312</v>
      </c>
      <c r="L384" s="56">
        <f t="shared" si="25"/>
        <v>11.03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299162</v>
      </c>
      <c r="H385" s="139">
        <f>SUM(H379:H384)</f>
        <v>671.02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299833.02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285000</v>
      </c>
      <c r="H388" s="18">
        <v>435.59</v>
      </c>
      <c r="I388" s="18"/>
      <c r="J388" s="24" t="s">
        <v>312</v>
      </c>
      <c r="K388" s="24" t="s">
        <v>312</v>
      </c>
      <c r="L388" s="56">
        <f t="shared" si="26"/>
        <v>285435.59000000003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3330.79</v>
      </c>
      <c r="I389" s="18"/>
      <c r="J389" s="24" t="s">
        <v>312</v>
      </c>
      <c r="K389" s="24" t="s">
        <v>312</v>
      </c>
      <c r="L389" s="56">
        <f t="shared" si="26"/>
        <v>3330.79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>
        <v>15.51</v>
      </c>
      <c r="I392" s="18"/>
      <c r="J392" s="24" t="s">
        <v>312</v>
      </c>
      <c r="K392" s="24" t="s">
        <v>312</v>
      </c>
      <c r="L392" s="56">
        <f t="shared" si="26"/>
        <v>15.51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285000</v>
      </c>
      <c r="H393" s="47">
        <f>SUM(H387:H392)</f>
        <v>3781.8900000000003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288781.89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584162</v>
      </c>
      <c r="H400" s="47">
        <f>H385+H393+H399</f>
        <v>4452.91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588614.91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>
        <v>550248.89</v>
      </c>
      <c r="L406" s="56">
        <f t="shared" si="27"/>
        <v>550248.89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>
        <v>11.03</v>
      </c>
      <c r="I410" s="18"/>
      <c r="J410" s="18"/>
      <c r="K410" s="18"/>
      <c r="L410" s="56">
        <f t="shared" si="27"/>
        <v>11.03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11.03</v>
      </c>
      <c r="I411" s="139">
        <f t="shared" si="28"/>
        <v>0</v>
      </c>
      <c r="J411" s="139">
        <f t="shared" si="28"/>
        <v>0</v>
      </c>
      <c r="K411" s="139">
        <f t="shared" si="28"/>
        <v>550248.89</v>
      </c>
      <c r="L411" s="47">
        <f t="shared" si="28"/>
        <v>550259.92000000004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>
        <v>161410</v>
      </c>
      <c r="I414" s="18"/>
      <c r="J414" s="18"/>
      <c r="K414" s="18"/>
      <c r="L414" s="56">
        <f t="shared" si="29"/>
        <v>161410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>
        <v>18211</v>
      </c>
      <c r="I415" s="18"/>
      <c r="J415" s="18"/>
      <c r="K415" s="18"/>
      <c r="L415" s="56">
        <f t="shared" si="29"/>
        <v>18211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179621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179621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179632.03</v>
      </c>
      <c r="I426" s="47">
        <f t="shared" si="32"/>
        <v>0</v>
      </c>
      <c r="J426" s="47">
        <f t="shared" si="32"/>
        <v>0</v>
      </c>
      <c r="K426" s="47">
        <f t="shared" si="32"/>
        <v>550248.89</v>
      </c>
      <c r="L426" s="47">
        <f t="shared" si="32"/>
        <v>729880.92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>
        <v>633537.78</v>
      </c>
      <c r="G434" s="18"/>
      <c r="H434" s="18"/>
      <c r="I434" s="56">
        <f t="shared" si="33"/>
        <v>633537.78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633537.78</v>
      </c>
      <c r="G438" s="13">
        <f>SUM(G431:G437)</f>
        <v>0</v>
      </c>
      <c r="H438" s="13">
        <f>SUM(H431:H437)</f>
        <v>0</v>
      </c>
      <c r="I438" s="13">
        <f>SUM(I431:I437)</f>
        <v>633537.78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633537.78</v>
      </c>
      <c r="G449" s="18"/>
      <c r="H449" s="18"/>
      <c r="I449" s="56">
        <f>SUM(F449:H449)</f>
        <v>633537.78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633537.78</v>
      </c>
      <c r="G450" s="83">
        <f>SUM(G446:G449)</f>
        <v>0</v>
      </c>
      <c r="H450" s="83">
        <f>SUM(H446:H449)</f>
        <v>0</v>
      </c>
      <c r="I450" s="83">
        <f>SUM(I446:I449)</f>
        <v>633537.78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633537.78</v>
      </c>
      <c r="G451" s="42">
        <f>G444+G450</f>
        <v>0</v>
      </c>
      <c r="H451" s="42">
        <f>H444+H450</f>
        <v>0</v>
      </c>
      <c r="I451" s="42">
        <f>I444+I450</f>
        <v>633537.78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376510.12</v>
      </c>
      <c r="G455" s="18">
        <v>-4676.96</v>
      </c>
      <c r="H455" s="18">
        <v>0</v>
      </c>
      <c r="I455" s="18">
        <v>30923.919999999998</v>
      </c>
      <c r="J455" s="18">
        <v>774803.79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10913146.630000001</v>
      </c>
      <c r="G458" s="18">
        <v>158210.94</v>
      </c>
      <c r="H458" s="18">
        <v>340398.91</v>
      </c>
      <c r="I458" s="18">
        <v>27.4</v>
      </c>
      <c r="J458" s="18">
        <v>588614.91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10913146.630000001</v>
      </c>
      <c r="G460" s="53">
        <f>SUM(G458:G459)</f>
        <v>158210.94</v>
      </c>
      <c r="H460" s="53">
        <f>SUM(H458:H459)</f>
        <v>340398.91</v>
      </c>
      <c r="I460" s="53">
        <f>SUM(I458:I459)</f>
        <v>27.4</v>
      </c>
      <c r="J460" s="53">
        <f>SUM(J458:J459)</f>
        <v>588614.91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10879563.779999999</v>
      </c>
      <c r="G462" s="18">
        <v>154576.67000000001</v>
      </c>
      <c r="H462" s="18">
        <v>342902.05</v>
      </c>
      <c r="I462" s="18">
        <v>32156.62</v>
      </c>
      <c r="J462" s="18">
        <v>729880.92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10879563.779999999</v>
      </c>
      <c r="G464" s="53">
        <f>SUM(G462:G463)</f>
        <v>154576.67000000001</v>
      </c>
      <c r="H464" s="53">
        <f>SUM(H462:H463)</f>
        <v>342902.05</v>
      </c>
      <c r="I464" s="53">
        <f>SUM(I462:I463)</f>
        <v>32156.62</v>
      </c>
      <c r="J464" s="53">
        <f>SUM(J462:J463)</f>
        <v>729880.92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410092.97000000067</v>
      </c>
      <c r="G466" s="53">
        <f>(G455+G460)- G464</f>
        <v>-1042.6900000000023</v>
      </c>
      <c r="H466" s="53">
        <f>(H455+H460)- H464</f>
        <v>-2503.140000000014</v>
      </c>
      <c r="I466" s="53">
        <f>(I455+I460)- I464</f>
        <v>-1205.2999999999993</v>
      </c>
      <c r="J466" s="53">
        <f>(J455+J460)- J464</f>
        <v>633537.78000000014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9633125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3.5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6240000</v>
      </c>
      <c r="G485" s="18"/>
      <c r="H485" s="18"/>
      <c r="I485" s="18"/>
      <c r="J485" s="18"/>
      <c r="K485" s="53">
        <f>SUM(F485:J485)</f>
        <v>6240000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485000</v>
      </c>
      <c r="G487" s="18"/>
      <c r="H487" s="18"/>
      <c r="I487" s="18"/>
      <c r="J487" s="18"/>
      <c r="K487" s="53">
        <f t="shared" si="34"/>
        <v>485000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5760000</v>
      </c>
      <c r="G488" s="205"/>
      <c r="H488" s="205"/>
      <c r="I488" s="205"/>
      <c r="J488" s="205"/>
      <c r="K488" s="206">
        <f t="shared" si="34"/>
        <v>5760000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1798567.5</v>
      </c>
      <c r="G489" s="18"/>
      <c r="H489" s="18"/>
      <c r="I489" s="18"/>
      <c r="J489" s="18"/>
      <c r="K489" s="53">
        <f t="shared" si="34"/>
        <v>1798567.5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7558567.5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7558567.5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480000</v>
      </c>
      <c r="G491" s="205"/>
      <c r="H491" s="205"/>
      <c r="I491" s="205"/>
      <c r="J491" s="205"/>
      <c r="K491" s="206">
        <f t="shared" si="34"/>
        <v>480000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f>130920+122520</f>
        <v>253440</v>
      </c>
      <c r="G492" s="18"/>
      <c r="H492" s="18"/>
      <c r="I492" s="18"/>
      <c r="J492" s="18"/>
      <c r="K492" s="53">
        <f t="shared" si="34"/>
        <v>253440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733440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733440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283273.58+359872.2+15638.77+12226.25+17330.3</f>
        <v>688341.10000000009</v>
      </c>
      <c r="G511" s="18">
        <f>12646.15+172202.41+8401.84+49834.68+54784.77+964+3255+3029.75</f>
        <v>305118.59999999998</v>
      </c>
      <c r="H511" s="18">
        <f>5998.58+125+495.79+20855.86+38545.48</f>
        <v>66020.710000000006</v>
      </c>
      <c r="I511" s="18">
        <f>3401.97+3378.93</f>
        <v>6780.9</v>
      </c>
      <c r="J511" s="18">
        <v>1149.93</v>
      </c>
      <c r="K511" s="18"/>
      <c r="L511" s="88">
        <f>SUM(F511:K511)</f>
        <v>1067411.24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>50742.64</f>
        <v>50742.64</v>
      </c>
      <c r="G513" s="18">
        <f>5259.84+491.28+3752.32+4424.23+420</f>
        <v>14347.67</v>
      </c>
      <c r="H513" s="18">
        <f>14639.89+137042.41</f>
        <v>151682.29999999999</v>
      </c>
      <c r="I513" s="18"/>
      <c r="J513" s="18"/>
      <c r="K513" s="18"/>
      <c r="L513" s="88">
        <f>SUM(F513:K513)</f>
        <v>216772.61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739083.74000000011</v>
      </c>
      <c r="G514" s="108">
        <f t="shared" ref="G514:L514" si="35">SUM(G511:G513)</f>
        <v>319466.26999999996</v>
      </c>
      <c r="H514" s="108">
        <f t="shared" si="35"/>
        <v>217703.01</v>
      </c>
      <c r="I514" s="108">
        <f t="shared" si="35"/>
        <v>6780.9</v>
      </c>
      <c r="J514" s="108">
        <f t="shared" si="35"/>
        <v>1149.93</v>
      </c>
      <c r="K514" s="108">
        <f t="shared" si="35"/>
        <v>0</v>
      </c>
      <c r="L514" s="89">
        <f t="shared" si="35"/>
        <v>1284183.8500000001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35875.06+55741+27675+1850+20109.06+35875+31663</f>
        <v>208788.12</v>
      </c>
      <c r="G516" s="18">
        <f>131186.5+44905.64+41851.28+7679.1+2493.52+620.58+141.53+1538.34+2744.44+2422.22+107.3+2687.04+2371.56+41.97+37.05+23.53+92.5+165.03+145.65</f>
        <v>241254.77999999997</v>
      </c>
      <c r="H516" s="18">
        <f>298+22610.95</f>
        <v>22908.95</v>
      </c>
      <c r="I516" s="18">
        <f>943.33+1268+1617.85+508.47+400+19714.01+3501.81</f>
        <v>27953.469999999998</v>
      </c>
      <c r="J516" s="18">
        <v>1675</v>
      </c>
      <c r="K516" s="18"/>
      <c r="L516" s="88">
        <f>SUM(F516:K516)</f>
        <v>502580.31999999995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208788.12</v>
      </c>
      <c r="G519" s="89">
        <f t="shared" ref="G519:L519" si="36">SUM(G516:G518)</f>
        <v>241254.77999999997</v>
      </c>
      <c r="H519" s="89">
        <f t="shared" si="36"/>
        <v>22908.95</v>
      </c>
      <c r="I519" s="89">
        <f t="shared" si="36"/>
        <v>27953.469999999998</v>
      </c>
      <c r="J519" s="89">
        <f t="shared" si="36"/>
        <v>1675</v>
      </c>
      <c r="K519" s="89">
        <f t="shared" si="36"/>
        <v>0</v>
      </c>
      <c r="L519" s="89">
        <f t="shared" si="36"/>
        <v>502580.31999999995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76690</v>
      </c>
      <c r="G521" s="18">
        <f>6150.54+5866.79+540+15120.07</f>
        <v>27677.4</v>
      </c>
      <c r="H521" s="18"/>
      <c r="I521" s="18"/>
      <c r="J521" s="18"/>
      <c r="K521" s="18"/>
      <c r="L521" s="88">
        <f>SUM(F521:K521)</f>
        <v>104367.4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76690</v>
      </c>
      <c r="G524" s="89">
        <f t="shared" ref="G524:L524" si="37">SUM(G521:G523)</f>
        <v>27677.4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104367.4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>
        <f>37790.04+836.05+2741.44+215.38+215.46</f>
        <v>41798.370000000003</v>
      </c>
      <c r="G531" s="18"/>
      <c r="H531" s="18"/>
      <c r="I531" s="18"/>
      <c r="J531" s="18"/>
      <c r="K531" s="18"/>
      <c r="L531" s="88">
        <f>SUM(F531:K531)</f>
        <v>41798.370000000003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>
        <v>77108</v>
      </c>
      <c r="G533" s="18"/>
      <c r="H533" s="18"/>
      <c r="I533" s="18"/>
      <c r="J533" s="18"/>
      <c r="K533" s="18"/>
      <c r="L533" s="88">
        <f>SUM(F533:K533)</f>
        <v>77108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118906.37</v>
      </c>
      <c r="G534" s="194">
        <f t="shared" ref="G534:L534" si="39">SUM(G531:G533)</f>
        <v>0</v>
      </c>
      <c r="H534" s="194">
        <f t="shared" si="39"/>
        <v>0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118906.37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1143468.23</v>
      </c>
      <c r="G535" s="89">
        <f t="shared" ref="G535:L535" si="40">G514+G519+G524+G529+G534</f>
        <v>588398.44999999995</v>
      </c>
      <c r="H535" s="89">
        <f t="shared" si="40"/>
        <v>240611.96000000002</v>
      </c>
      <c r="I535" s="89">
        <f t="shared" si="40"/>
        <v>34734.369999999995</v>
      </c>
      <c r="J535" s="89">
        <f t="shared" si="40"/>
        <v>2824.9300000000003</v>
      </c>
      <c r="K535" s="89">
        <f t="shared" si="40"/>
        <v>0</v>
      </c>
      <c r="L535" s="89">
        <f t="shared" si="40"/>
        <v>2010037.94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1067411.24</v>
      </c>
      <c r="G539" s="87">
        <f>L516</f>
        <v>502580.31999999995</v>
      </c>
      <c r="H539" s="87">
        <f>L521</f>
        <v>104367.4</v>
      </c>
      <c r="I539" s="87">
        <f>L526</f>
        <v>0</v>
      </c>
      <c r="J539" s="87">
        <f>L531</f>
        <v>41798.370000000003</v>
      </c>
      <c r="K539" s="87">
        <f>SUM(F539:J539)</f>
        <v>1716157.33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216772.61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77108</v>
      </c>
      <c r="K541" s="87">
        <f>SUM(F541:J541)</f>
        <v>293880.61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1284183.8500000001</v>
      </c>
      <c r="G542" s="89">
        <f t="shared" si="41"/>
        <v>502580.31999999995</v>
      </c>
      <c r="H542" s="89">
        <f t="shared" si="41"/>
        <v>104367.4</v>
      </c>
      <c r="I542" s="89">
        <f t="shared" si="41"/>
        <v>0</v>
      </c>
      <c r="J542" s="89">
        <f t="shared" si="41"/>
        <v>118906.37</v>
      </c>
      <c r="K542" s="89">
        <f t="shared" si="41"/>
        <v>2010037.94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>
        <v>16200</v>
      </c>
      <c r="I552" s="18">
        <v>200</v>
      </c>
      <c r="J552" s="18"/>
      <c r="K552" s="18"/>
      <c r="L552" s="88">
        <f>SUM(F552:K552)</f>
        <v>16400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16200</v>
      </c>
      <c r="I555" s="89">
        <f t="shared" si="43"/>
        <v>200</v>
      </c>
      <c r="J555" s="89">
        <f t="shared" si="43"/>
        <v>0</v>
      </c>
      <c r="K555" s="89">
        <f t="shared" si="43"/>
        <v>0</v>
      </c>
      <c r="L555" s="89">
        <f t="shared" si="43"/>
        <v>16400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>
        <v>2755</v>
      </c>
      <c r="G557" s="18">
        <v>431.84</v>
      </c>
      <c r="H557" s="18">
        <v>1228</v>
      </c>
      <c r="I557" s="18">
        <v>1030.43</v>
      </c>
      <c r="J557" s="18"/>
      <c r="K557" s="18"/>
      <c r="L557" s="88">
        <f>SUM(F557:K557)</f>
        <v>5445.27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2755</v>
      </c>
      <c r="G560" s="194">
        <f t="shared" ref="G560:L560" si="44">SUM(G557:G559)</f>
        <v>431.84</v>
      </c>
      <c r="H560" s="194">
        <f t="shared" si="44"/>
        <v>1228</v>
      </c>
      <c r="I560" s="194">
        <f t="shared" si="44"/>
        <v>1030.43</v>
      </c>
      <c r="J560" s="194">
        <f t="shared" si="44"/>
        <v>0</v>
      </c>
      <c r="K560" s="194">
        <f t="shared" si="44"/>
        <v>0</v>
      </c>
      <c r="L560" s="194">
        <f t="shared" si="44"/>
        <v>5445.27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2755</v>
      </c>
      <c r="G561" s="89">
        <f t="shared" ref="G561:L561" si="45">G550+G555+G560</f>
        <v>431.84</v>
      </c>
      <c r="H561" s="89">
        <f t="shared" si="45"/>
        <v>17428</v>
      </c>
      <c r="I561" s="89">
        <f t="shared" si="45"/>
        <v>1230.43</v>
      </c>
      <c r="J561" s="89">
        <f t="shared" si="45"/>
        <v>0</v>
      </c>
      <c r="K561" s="89">
        <f t="shared" si="45"/>
        <v>0</v>
      </c>
      <c r="L561" s="89">
        <f t="shared" si="45"/>
        <v>21845.27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>
        <v>2455</v>
      </c>
      <c r="G565" s="18"/>
      <c r="H565" s="18"/>
      <c r="I565" s="87">
        <f>SUM(F565:H565)</f>
        <v>2455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>
        <v>3275711</v>
      </c>
      <c r="I567" s="87">
        <f t="shared" si="46"/>
        <v>3275711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>
        <v>59401.34</v>
      </c>
      <c r="G573" s="18"/>
      <c r="H573" s="18">
        <v>137042.41</v>
      </c>
      <c r="I573" s="87">
        <f t="shared" si="46"/>
        <v>196443.75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210951.3</v>
      </c>
      <c r="I581" s="18"/>
      <c r="J581" s="18">
        <v>123461.4</v>
      </c>
      <c r="K581" s="104">
        <f t="shared" ref="K581:K587" si="47">SUM(H581:J581)</f>
        <v>334412.69999999995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41798.370000000003</v>
      </c>
      <c r="I582" s="18"/>
      <c r="J582" s="18">
        <v>77108</v>
      </c>
      <c r="K582" s="104">
        <f t="shared" si="47"/>
        <v>118906.37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8785.4500000000007</v>
      </c>
      <c r="I584" s="18"/>
      <c r="J584" s="18"/>
      <c r="K584" s="104">
        <f t="shared" si="47"/>
        <v>8785.4500000000007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3420</v>
      </c>
      <c r="I585" s="18"/>
      <c r="J585" s="18"/>
      <c r="K585" s="104">
        <f t="shared" si="47"/>
        <v>3420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>
        <v>880</v>
      </c>
      <c r="I587" s="18"/>
      <c r="J587" s="18"/>
      <c r="K587" s="104">
        <f t="shared" si="47"/>
        <v>880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265835.12</v>
      </c>
      <c r="I588" s="108">
        <f>SUM(I581:I587)</f>
        <v>0</v>
      </c>
      <c r="J588" s="108">
        <f>SUM(J581:J587)</f>
        <v>200569.4</v>
      </c>
      <c r="K588" s="108">
        <f>SUM(K581:K587)</f>
        <v>466404.51999999996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124860.45</v>
      </c>
      <c r="I594" s="18"/>
      <c r="J594" s="18"/>
      <c r="K594" s="104">
        <f>SUM(H594:J594)</f>
        <v>124860.45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124860.45</v>
      </c>
      <c r="I595" s="108">
        <f>SUM(I592:I594)</f>
        <v>0</v>
      </c>
      <c r="J595" s="108">
        <f>SUM(J592:J594)</f>
        <v>0</v>
      </c>
      <c r="K595" s="108">
        <f>SUM(K592:K594)</f>
        <v>124860.45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4375</v>
      </c>
      <c r="G601" s="18">
        <v>441.96</v>
      </c>
      <c r="H601" s="18"/>
      <c r="I601" s="18">
        <v>2000</v>
      </c>
      <c r="J601" s="18"/>
      <c r="K601" s="18"/>
      <c r="L601" s="88">
        <f>SUM(F601:K601)</f>
        <v>6816.96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4375</v>
      </c>
      <c r="G604" s="108">
        <f t="shared" si="48"/>
        <v>441.96</v>
      </c>
      <c r="H604" s="108">
        <f t="shared" si="48"/>
        <v>0</v>
      </c>
      <c r="I604" s="108">
        <f t="shared" si="48"/>
        <v>2000</v>
      </c>
      <c r="J604" s="108">
        <f t="shared" si="48"/>
        <v>0</v>
      </c>
      <c r="K604" s="108">
        <f t="shared" si="48"/>
        <v>0</v>
      </c>
      <c r="L604" s="89">
        <f t="shared" si="48"/>
        <v>6816.96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629389.37</v>
      </c>
      <c r="H607" s="109">
        <f>SUM(F44)</f>
        <v>629389.36999999988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23195.15</v>
      </c>
      <c r="H608" s="109">
        <f>SUM(G44)</f>
        <v>23195.15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118221.11</v>
      </c>
      <c r="H609" s="109">
        <f>SUM(H44)</f>
        <v>118221.11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70.7</v>
      </c>
      <c r="H610" s="109">
        <f>SUM(I44)</f>
        <v>70.700000000000045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633537.78</v>
      </c>
      <c r="H611" s="109">
        <f>SUM(J44)</f>
        <v>633537.78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410092.97</v>
      </c>
      <c r="H612" s="109">
        <f>F466</f>
        <v>410092.97000000067</v>
      </c>
      <c r="I612" s="121" t="s">
        <v>106</v>
      </c>
      <c r="J612" s="109">
        <f t="shared" ref="J612:J645" si="49">G612-H612</f>
        <v>-6.9849193096160889E-10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-1042.69</v>
      </c>
      <c r="H613" s="109">
        <f>G466</f>
        <v>-1042.6900000000023</v>
      </c>
      <c r="I613" s="121" t="s">
        <v>108</v>
      </c>
      <c r="J613" s="109">
        <f t="shared" si="49"/>
        <v>2.2737367544323206E-12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-2503.14</v>
      </c>
      <c r="H614" s="109">
        <f>H466</f>
        <v>-2503.140000000014</v>
      </c>
      <c r="I614" s="121" t="s">
        <v>110</v>
      </c>
      <c r="J614" s="109">
        <f t="shared" si="49"/>
        <v>1.4097167877480388E-11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-1205.3</v>
      </c>
      <c r="H615" s="109">
        <f>I466</f>
        <v>-1205.2999999999993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633537.78</v>
      </c>
      <c r="H616" s="109">
        <f>J466</f>
        <v>633537.78000000014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10913146.630000001</v>
      </c>
      <c r="H617" s="104">
        <f>SUM(F458)</f>
        <v>10913146.630000001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158210.94</v>
      </c>
      <c r="H618" s="104">
        <f>SUM(G458)</f>
        <v>158210.94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340398.91000000003</v>
      </c>
      <c r="H619" s="104">
        <f>SUM(H458)</f>
        <v>340398.91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27.4</v>
      </c>
      <c r="H620" s="104">
        <f>SUM(I458)</f>
        <v>27.4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588614.91</v>
      </c>
      <c r="H621" s="104">
        <f>SUM(J458)</f>
        <v>588614.91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10879563.780000001</v>
      </c>
      <c r="H622" s="104">
        <f>SUM(F462)</f>
        <v>10879563.779999999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342902.05000000005</v>
      </c>
      <c r="H623" s="104">
        <f>SUM(H462)</f>
        <v>342902.05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76112.72</v>
      </c>
      <c r="H624" s="104">
        <f>I361</f>
        <v>76112.72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154576.66999999998</v>
      </c>
      <c r="H625" s="104">
        <f>SUM(G462)</f>
        <v>154576.67000000001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32156.62</v>
      </c>
      <c r="H626" s="104">
        <f>SUM(I462)</f>
        <v>32156.62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588614.91</v>
      </c>
      <c r="H627" s="164">
        <f>SUM(J458)</f>
        <v>588614.91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729880.92</v>
      </c>
      <c r="H628" s="164">
        <f>SUM(J462)</f>
        <v>729880.92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633537.78</v>
      </c>
      <c r="H629" s="104">
        <f>SUM(F451)</f>
        <v>633537.78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633537.78</v>
      </c>
      <c r="H632" s="104">
        <f>SUM(I451)</f>
        <v>633537.78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4452.91</v>
      </c>
      <c r="H634" s="104">
        <f>H400</f>
        <v>4452.91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584162</v>
      </c>
      <c r="H635" s="104">
        <f>G400</f>
        <v>584162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588614.91</v>
      </c>
      <c r="H636" s="104">
        <f>L400</f>
        <v>588614.91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466404.51999999996</v>
      </c>
      <c r="H637" s="104">
        <f>L200+L218+L236</f>
        <v>466404.52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124860.45</v>
      </c>
      <c r="H638" s="104">
        <f>(J249+J330)-(J247+J328)</f>
        <v>124860.45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265835.12</v>
      </c>
      <c r="H639" s="104">
        <f>H588</f>
        <v>265835.12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200569.4</v>
      </c>
      <c r="H641" s="104">
        <f>J588</f>
        <v>200569.4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584162</v>
      </c>
      <c r="H645" s="104">
        <f>K258+K339</f>
        <v>584162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6381888.2800000003</v>
      </c>
      <c r="G650" s="19">
        <f>(L221+L301+L351)</f>
        <v>0</v>
      </c>
      <c r="H650" s="19">
        <f>(L239+L320+L352)</f>
        <v>3693053.01</v>
      </c>
      <c r="I650" s="19">
        <f>SUM(F650:H650)</f>
        <v>10074941.289999999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85489.9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85489.9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265835.12</v>
      </c>
      <c r="G652" s="19">
        <f>(L218+L298)-(J218+J298)</f>
        <v>0</v>
      </c>
      <c r="H652" s="19">
        <f>(L236+L317)-(J236+J317)</f>
        <v>200569.4</v>
      </c>
      <c r="I652" s="19">
        <f>SUM(F652:H652)</f>
        <v>466404.52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193533.74999999997</v>
      </c>
      <c r="G653" s="200">
        <f>SUM(G565:G577)+SUM(I592:I594)+L602</f>
        <v>0</v>
      </c>
      <c r="H653" s="200">
        <f>SUM(H565:H577)+SUM(J592:J594)+L603</f>
        <v>3412753.41</v>
      </c>
      <c r="I653" s="19">
        <f>SUM(F653:H653)</f>
        <v>3606287.16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5837029.5099999998</v>
      </c>
      <c r="G654" s="19">
        <f>G650-SUM(G651:G653)</f>
        <v>0</v>
      </c>
      <c r="H654" s="19">
        <f>H650-SUM(H651:H653)</f>
        <v>79730.199999999721</v>
      </c>
      <c r="I654" s="19">
        <f>I650-SUM(I651:I653)</f>
        <v>5916759.709999999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483.98</v>
      </c>
      <c r="G655" s="249"/>
      <c r="H655" s="249"/>
      <c r="I655" s="19">
        <f>SUM(F655:H655)</f>
        <v>483.98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12060.48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12225.22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>
        <v>-79730.2</v>
      </c>
      <c r="I659" s="19">
        <f>SUM(F659:H659)</f>
        <v>-79730.2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12060.48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12060.48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>
    <dataRefs count="1">
      <dataRef ref="F9:L672" sheet="DOE25" r:id="rId1"/>
    </dataRefs>
  </dataConsolidate>
  <phoneticPr fontId="0" type="noConversion"/>
  <printOptions gridLines="1" gridLinesSet="0"/>
  <pageMargins left="0.3" right="0.3" top="0.75" bottom="0.75" header="0.5" footer="0.5"/>
  <pageSetup scale="90" orientation="landscape" copies="5" r:id="rId2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5B9B9-7F35-4CA7-95FB-0E5ECEB463F9}">
  <sheetPr>
    <tabColor indexed="20"/>
  </sheetPr>
  <dimension ref="A1:C52"/>
  <sheetViews>
    <sheetView topLeftCell="A15" workbookViewId="0">
      <selection activeCell="A629" sqref="A62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Barnstead</v>
      </c>
      <c r="C1" s="239" t="s">
        <v>873</v>
      </c>
    </row>
    <row r="2" spans="1:3" x14ac:dyDescent="0.2">
      <c r="A2" s="234"/>
      <c r="B2" s="233"/>
    </row>
    <row r="3" spans="1:3" x14ac:dyDescent="0.2">
      <c r="A3" s="271" t="s">
        <v>818</v>
      </c>
      <c r="B3" s="271"/>
      <c r="C3" s="271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2" t="s">
        <v>817</v>
      </c>
      <c r="C6" s="272"/>
    </row>
    <row r="7" spans="1:3" x14ac:dyDescent="0.2">
      <c r="A7" s="240" t="s">
        <v>820</v>
      </c>
      <c r="B7" s="273" t="s">
        <v>816</v>
      </c>
      <c r="C7" s="274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1751000.61</v>
      </c>
      <c r="C9" s="230">
        <f>'DOE25'!G189+'DOE25'!G207+'DOE25'!G225+'DOE25'!G268+'DOE25'!G287+'DOE25'!G306</f>
        <v>599114.21</v>
      </c>
    </row>
    <row r="10" spans="1:3" x14ac:dyDescent="0.2">
      <c r="A10" t="s">
        <v>813</v>
      </c>
      <c r="B10" s="241">
        <v>1703764.04</v>
      </c>
      <c r="C10" s="241">
        <v>584301.4</v>
      </c>
    </row>
    <row r="11" spans="1:3" x14ac:dyDescent="0.2">
      <c r="A11" t="s">
        <v>814</v>
      </c>
      <c r="B11" s="241">
        <v>47236.57</v>
      </c>
      <c r="C11" s="241">
        <v>14812.81</v>
      </c>
    </row>
    <row r="12" spans="1:3" x14ac:dyDescent="0.2">
      <c r="A12" t="s">
        <v>815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1751000.61</v>
      </c>
      <c r="C13" s="232">
        <f>SUM(C10:C12)</f>
        <v>599114.21000000008</v>
      </c>
    </row>
    <row r="14" spans="1:3" x14ac:dyDescent="0.2">
      <c r="B14" s="231"/>
      <c r="C14" s="231"/>
    </row>
    <row r="15" spans="1:3" x14ac:dyDescent="0.2">
      <c r="B15" s="272" t="s">
        <v>817</v>
      </c>
      <c r="C15" s="272"/>
    </row>
    <row r="16" spans="1:3" x14ac:dyDescent="0.2">
      <c r="A16" s="240" t="s">
        <v>821</v>
      </c>
      <c r="B16" s="273" t="s">
        <v>738</v>
      </c>
      <c r="C16" s="274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743688.74</v>
      </c>
      <c r="C18" s="230">
        <f>'DOE25'!G190+'DOE25'!G208+'DOE25'!G226+'DOE25'!G269+'DOE25'!G288+'DOE25'!G307</f>
        <v>320575.75999999995</v>
      </c>
    </row>
    <row r="19" spans="1:3" x14ac:dyDescent="0.2">
      <c r="A19" t="s">
        <v>813</v>
      </c>
      <c r="B19" s="241">
        <v>270993.3</v>
      </c>
      <c r="C19" s="241">
        <v>97779.28</v>
      </c>
    </row>
    <row r="20" spans="1:3" x14ac:dyDescent="0.2">
      <c r="A20" t="s">
        <v>814</v>
      </c>
      <c r="B20" s="241">
        <v>472695.44</v>
      </c>
      <c r="C20" s="241">
        <v>222796.48</v>
      </c>
    </row>
    <row r="21" spans="1:3" x14ac:dyDescent="0.2">
      <c r="A21" t="s">
        <v>815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743688.74</v>
      </c>
      <c r="C22" s="232">
        <f>SUM(C19:C21)</f>
        <v>320575.76</v>
      </c>
    </row>
    <row r="23" spans="1:3" x14ac:dyDescent="0.2">
      <c r="B23" s="231"/>
      <c r="C23" s="231"/>
    </row>
    <row r="24" spans="1:3" x14ac:dyDescent="0.2">
      <c r="B24" s="272" t="s">
        <v>817</v>
      </c>
      <c r="C24" s="272"/>
    </row>
    <row r="25" spans="1:3" x14ac:dyDescent="0.2">
      <c r="A25" s="240" t="s">
        <v>822</v>
      </c>
      <c r="B25" s="273" t="s">
        <v>739</v>
      </c>
      <c r="C25" s="274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2" t="s">
        <v>817</v>
      </c>
      <c r="C33" s="272"/>
    </row>
    <row r="34" spans="1:3" x14ac:dyDescent="0.2">
      <c r="A34" s="240" t="s">
        <v>823</v>
      </c>
      <c r="B34" s="273" t="s">
        <v>740</v>
      </c>
      <c r="C34" s="274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24178</v>
      </c>
      <c r="C36" s="236">
        <f>'DOE25'!G192+'DOE25'!G210+'DOE25'!G228+'DOE25'!G271+'DOE25'!G290+'DOE25'!G309</f>
        <v>2376.0500000000002</v>
      </c>
    </row>
    <row r="37" spans="1:3" x14ac:dyDescent="0.2">
      <c r="A37" t="s">
        <v>813</v>
      </c>
      <c r="B37" s="241">
        <v>7728</v>
      </c>
      <c r="C37" s="241">
        <v>434.44</v>
      </c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>
        <v>16450</v>
      </c>
      <c r="C39" s="241">
        <v>1941.61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24178</v>
      </c>
      <c r="C40" s="232">
        <f>SUM(C37:C39)</f>
        <v>2376.0499999999997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EBAAA-ECC1-4AA4-9A4A-633E930E25C5}">
  <sheetPr>
    <tabColor indexed="11"/>
  </sheetPr>
  <dimension ref="A1:I51"/>
  <sheetViews>
    <sheetView workbookViewId="0">
      <pane ySplit="4" topLeftCell="A5" activePane="bottomLeft" state="frozen"/>
      <selection activeCell="A629" sqref="A629"/>
      <selection pane="bottomLeft" activeCell="A629" sqref="A62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2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Barnstead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7004035.5700000003</v>
      </c>
      <c r="D5" s="20">
        <f>SUM('DOE25'!L189:L192)+SUM('DOE25'!L207:L210)+SUM('DOE25'!L225:L228)-F5-G5</f>
        <v>6970821.0600000005</v>
      </c>
      <c r="E5" s="244"/>
      <c r="F5" s="256">
        <f>SUM('DOE25'!J189:J192)+SUM('DOE25'!J207:J210)+SUM('DOE25'!J225:J228)</f>
        <v>31082.51</v>
      </c>
      <c r="G5" s="53">
        <f>SUM('DOE25'!K189:K192)+SUM('DOE25'!K207:K210)+SUM('DOE25'!K225:K228)</f>
        <v>2132</v>
      </c>
      <c r="H5" s="260"/>
    </row>
    <row r="6" spans="1:9" x14ac:dyDescent="0.2">
      <c r="A6" s="32">
        <v>2100</v>
      </c>
      <c r="B6" t="s">
        <v>835</v>
      </c>
      <c r="C6" s="246">
        <f t="shared" si="0"/>
        <v>550343.68000000005</v>
      </c>
      <c r="D6" s="20">
        <f>'DOE25'!L194+'DOE25'!L212+'DOE25'!L230-F6-G6</f>
        <v>549248.82000000007</v>
      </c>
      <c r="E6" s="244"/>
      <c r="F6" s="256">
        <f>'DOE25'!J194+'DOE25'!J212+'DOE25'!J230</f>
        <v>969.86</v>
      </c>
      <c r="G6" s="53">
        <f>'DOE25'!K194+'DOE25'!K212+'DOE25'!K230</f>
        <v>125</v>
      </c>
      <c r="H6" s="260"/>
    </row>
    <row r="7" spans="1:9" x14ac:dyDescent="0.2">
      <c r="A7" s="32">
        <v>2200</v>
      </c>
      <c r="B7" t="s">
        <v>868</v>
      </c>
      <c r="C7" s="246">
        <f t="shared" si="0"/>
        <v>211455.3</v>
      </c>
      <c r="D7" s="20">
        <f>'DOE25'!L195+'DOE25'!L213+'DOE25'!L231-F7-G7</f>
        <v>151573.40999999997</v>
      </c>
      <c r="E7" s="244"/>
      <c r="F7" s="256">
        <f>'DOE25'!J195+'DOE25'!J213+'DOE25'!J231</f>
        <v>59775.39</v>
      </c>
      <c r="G7" s="53">
        <f>'DOE25'!K195+'DOE25'!K213+'DOE25'!K231</f>
        <v>106.5</v>
      </c>
      <c r="H7" s="260"/>
    </row>
    <row r="8" spans="1:9" x14ac:dyDescent="0.2">
      <c r="A8" s="32">
        <v>2300</v>
      </c>
      <c r="B8" t="s">
        <v>836</v>
      </c>
      <c r="C8" s="246">
        <f t="shared" si="0"/>
        <v>220145.28000000003</v>
      </c>
      <c r="D8" s="244"/>
      <c r="E8" s="20">
        <f>'DOE25'!L196+'DOE25'!L214+'DOE25'!L232-F8-G8-D9-D11</f>
        <v>210117.42</v>
      </c>
      <c r="F8" s="256">
        <f>'DOE25'!J196+'DOE25'!J214+'DOE25'!J232</f>
        <v>3489.95</v>
      </c>
      <c r="G8" s="53">
        <f>'DOE25'!K196+'DOE25'!K214+'DOE25'!K232</f>
        <v>6537.91</v>
      </c>
      <c r="H8" s="260"/>
    </row>
    <row r="9" spans="1:9" x14ac:dyDescent="0.2">
      <c r="A9" s="32">
        <v>2310</v>
      </c>
      <c r="B9" t="s">
        <v>852</v>
      </c>
      <c r="C9" s="246">
        <f t="shared" si="0"/>
        <v>57417.86</v>
      </c>
      <c r="D9" s="245">
        <v>57417.86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5800</v>
      </c>
      <c r="D10" s="244"/>
      <c r="E10" s="245">
        <v>5800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81879.72</v>
      </c>
      <c r="D11" s="245">
        <v>81879.72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461458.27</v>
      </c>
      <c r="D12" s="20">
        <f>'DOE25'!L197+'DOE25'!L215+'DOE25'!L233-F12-G12</f>
        <v>455160.36000000004</v>
      </c>
      <c r="E12" s="244"/>
      <c r="F12" s="256">
        <f>'DOE25'!J197+'DOE25'!J215+'DOE25'!J233</f>
        <v>0</v>
      </c>
      <c r="G12" s="53">
        <f>'DOE25'!K197+'DOE25'!K215+'DOE25'!K233</f>
        <v>6297.91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524322.37</v>
      </c>
      <c r="D14" s="20">
        <f>'DOE25'!L199+'DOE25'!L217+'DOE25'!L235-F14-G14</f>
        <v>521881.12</v>
      </c>
      <c r="E14" s="244"/>
      <c r="F14" s="256">
        <f>'DOE25'!J199+'DOE25'!J217+'DOE25'!J235</f>
        <v>2441.25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466404.52</v>
      </c>
      <c r="D15" s="20">
        <f>'DOE25'!L200+'DOE25'!L218+'DOE25'!L236-F15-G15</f>
        <v>466404.52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717939.21</v>
      </c>
      <c r="D25" s="244"/>
      <c r="E25" s="244"/>
      <c r="F25" s="259"/>
      <c r="G25" s="257"/>
      <c r="H25" s="258">
        <f>'DOE25'!L252+'DOE25'!L253+'DOE25'!L333+'DOE25'!L334</f>
        <v>717939.21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84821.909999999989</v>
      </c>
      <c r="D29" s="20">
        <f>'DOE25'!L350+'DOE25'!L351+'DOE25'!L352-'DOE25'!I359-F29-G29</f>
        <v>82424.919999999984</v>
      </c>
      <c r="E29" s="244"/>
      <c r="F29" s="256">
        <f>'DOE25'!J350+'DOE25'!J351+'DOE25'!J352</f>
        <v>2396.9899999999998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342902.05000000005</v>
      </c>
      <c r="D31" s="20">
        <f>'DOE25'!L282+'DOE25'!L301+'DOE25'!L320+'DOE25'!L325+'DOE25'!L326+'DOE25'!L327-F31-G31</f>
        <v>296422.97000000003</v>
      </c>
      <c r="E31" s="244"/>
      <c r="F31" s="256">
        <f>'DOE25'!J282+'DOE25'!J301+'DOE25'!J320+'DOE25'!J325+'DOE25'!J326+'DOE25'!J327</f>
        <v>27101.49</v>
      </c>
      <c r="G31" s="53">
        <f>'DOE25'!K282+'DOE25'!K301+'DOE25'!K320+'DOE25'!K325+'DOE25'!K326+'DOE25'!K327</f>
        <v>19377.59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9633234.7600000016</v>
      </c>
      <c r="E33" s="247">
        <f>SUM(E5:E31)</f>
        <v>215917.42</v>
      </c>
      <c r="F33" s="247">
        <f>SUM(F5:F31)</f>
        <v>127257.44</v>
      </c>
      <c r="G33" s="247">
        <f>SUM(G5:G31)</f>
        <v>34576.910000000003</v>
      </c>
      <c r="H33" s="247">
        <f>SUM(H5:H31)</f>
        <v>717939.21</v>
      </c>
    </row>
    <row r="35" spans="2:8" ht="12" thickBot="1" x14ac:dyDescent="0.25">
      <c r="B35" s="254" t="s">
        <v>881</v>
      </c>
      <c r="D35" s="255">
        <f>E33</f>
        <v>215917.42</v>
      </c>
      <c r="E35" s="250"/>
    </row>
    <row r="36" spans="2:8" ht="12" thickTop="1" x14ac:dyDescent="0.2">
      <c r="B36" t="s">
        <v>849</v>
      </c>
      <c r="D36" s="20">
        <f>D33</f>
        <v>9633234.7600000016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9551D-1A03-4AC8-BE9B-AB1F141EAD26}">
  <sheetPr transitionEvaluation="1" codeName="Sheet2">
    <tabColor indexed="10"/>
  </sheetPr>
  <dimension ref="A1:I156"/>
  <sheetViews>
    <sheetView zoomScale="75" workbookViewId="0">
      <pane ySplit="2" topLeftCell="A75" activePane="bottomLeft" state="frozen"/>
      <selection activeCell="A629" sqref="A629"/>
      <selection pane="bottomLeft" activeCell="D118" sqref="D118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Barnstead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561653.91</v>
      </c>
      <c r="D9" s="95">
        <f>'DOE25'!G9</f>
        <v>21256.82</v>
      </c>
      <c r="E9" s="95">
        <f>'DOE25'!H9</f>
        <v>0</v>
      </c>
      <c r="F9" s="95">
        <f>'DOE25'!I9</f>
        <v>70.7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0</v>
      </c>
      <c r="E13" s="95">
        <f>'DOE25'!H13</f>
        <v>118221.11</v>
      </c>
      <c r="F13" s="95">
        <f>'DOE25'!I13</f>
        <v>0</v>
      </c>
      <c r="G13" s="95">
        <f>'DOE25'!J13</f>
        <v>633537.78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67735.460000000006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1938.33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629389.37</v>
      </c>
      <c r="D19" s="41">
        <f>SUM(D9:D18)</f>
        <v>23195.15</v>
      </c>
      <c r="E19" s="41">
        <f>SUM(E9:E18)</f>
        <v>118221.11</v>
      </c>
      <c r="F19" s="41">
        <f>SUM(F9:F18)</f>
        <v>70.7</v>
      </c>
      <c r="G19" s="41">
        <f>SUM(G9:G18)</f>
        <v>633537.78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-97052.49</v>
      </c>
      <c r="D22" s="95">
        <f>'DOE25'!G23</f>
        <v>12903.34</v>
      </c>
      <c r="E22" s="95">
        <f>'DOE25'!H23</f>
        <v>82873.149999999994</v>
      </c>
      <c r="F22" s="95">
        <f>'DOE25'!I23</f>
        <v>1276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302039.34999999998</v>
      </c>
      <c r="D24" s="95">
        <f>'DOE25'!G25</f>
        <v>754.77</v>
      </c>
      <c r="E24" s="95">
        <f>'DOE25'!H25</f>
        <v>9128.58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14363.08</v>
      </c>
      <c r="D28" s="95">
        <f>'DOE25'!G29</f>
        <v>10579.73</v>
      </c>
      <c r="E28" s="95">
        <f>'DOE25'!H29</f>
        <v>21966.52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-53.54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6756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219296.39999999997</v>
      </c>
      <c r="D32" s="41">
        <f>SUM(D22:D31)</f>
        <v>24237.84</v>
      </c>
      <c r="E32" s="41">
        <f>SUM(E22:E31)</f>
        <v>120724.25</v>
      </c>
      <c r="F32" s="41">
        <f>SUM(F22:F31)</f>
        <v>1276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1938.33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-2981.02</v>
      </c>
      <c r="E40" s="95">
        <f>'DOE25'!H41</f>
        <v>-2503.14</v>
      </c>
      <c r="F40" s="95">
        <f>'DOE25'!I41</f>
        <v>-1205.3</v>
      </c>
      <c r="G40" s="95">
        <f>'DOE25'!J41</f>
        <v>633537.78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410092.97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410092.97</v>
      </c>
      <c r="D42" s="41">
        <f>SUM(D34:D41)</f>
        <v>-1042.69</v>
      </c>
      <c r="E42" s="41">
        <f>SUM(E34:E41)</f>
        <v>-2503.14</v>
      </c>
      <c r="F42" s="41">
        <f>SUM(F34:F41)</f>
        <v>-1205.3</v>
      </c>
      <c r="G42" s="41">
        <f>SUM(G34:G41)</f>
        <v>633537.78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629389.36999999988</v>
      </c>
      <c r="D43" s="41">
        <f>D42+D32</f>
        <v>23195.15</v>
      </c>
      <c r="E43" s="41">
        <f>E42+E32</f>
        <v>118221.11</v>
      </c>
      <c r="F43" s="41">
        <f>F42+F32</f>
        <v>70.700000000000045</v>
      </c>
      <c r="G43" s="41">
        <f>G42+G32</f>
        <v>633537.78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6044156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52083.210000000006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895.66</v>
      </c>
      <c r="D51" s="95">
        <f>'DOE25'!G88</f>
        <v>22.61</v>
      </c>
      <c r="E51" s="95">
        <f>'DOE25'!H88</f>
        <v>0</v>
      </c>
      <c r="F51" s="95">
        <f>'DOE25'!I88</f>
        <v>27.4</v>
      </c>
      <c r="G51" s="95">
        <f>'DOE25'!J88</f>
        <v>4452.91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85489.9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8156.54</v>
      </c>
      <c r="D53" s="95">
        <f>SUM('DOE25'!G90:G102)</f>
        <v>0</v>
      </c>
      <c r="E53" s="95">
        <f>SUM('DOE25'!H90:H102)</f>
        <v>2000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61135.410000000011</v>
      </c>
      <c r="D54" s="130">
        <f>SUM(D49:D53)</f>
        <v>85512.51</v>
      </c>
      <c r="E54" s="130">
        <f>SUM(E49:E53)</f>
        <v>2000</v>
      </c>
      <c r="F54" s="130">
        <f>SUM(F49:F53)</f>
        <v>27.4</v>
      </c>
      <c r="G54" s="130">
        <f>SUM(G49:G53)</f>
        <v>4452.91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6105291.4100000001</v>
      </c>
      <c r="D55" s="22">
        <f>D48+D54</f>
        <v>85512.51</v>
      </c>
      <c r="E55" s="22">
        <f>E48+E54</f>
        <v>2000</v>
      </c>
      <c r="F55" s="22">
        <f>F48+F54</f>
        <v>27.4</v>
      </c>
      <c r="G55" s="22">
        <f>G48+G54</f>
        <v>4452.91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2005517.91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1214496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769454.09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3989468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196882.82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8613.85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196882.82</v>
      </c>
      <c r="D70" s="130">
        <f>SUM(D64:D69)</f>
        <v>8613.85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4186350.82</v>
      </c>
      <c r="D73" s="130">
        <f>SUM(D71:D72)+D70+D62</f>
        <v>8613.85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71255.509999999995</v>
      </c>
      <c r="D80" s="95">
        <f>SUM('DOE25'!G145:G153)</f>
        <v>64084.58</v>
      </c>
      <c r="E80" s="95">
        <f>SUM('DOE25'!H145:H153)</f>
        <v>338398.91000000003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71255.509999999995</v>
      </c>
      <c r="D83" s="131">
        <f>SUM(D77:D82)</f>
        <v>64084.58</v>
      </c>
      <c r="E83" s="131">
        <f>SUM(E77:E82)</f>
        <v>338398.91000000003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584162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550248.89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550248.89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584162</v>
      </c>
    </row>
    <row r="96" spans="1:7" ht="12.75" thickTop="1" thickBot="1" x14ac:dyDescent="0.25">
      <c r="A96" s="33" t="s">
        <v>797</v>
      </c>
      <c r="C96" s="86">
        <f>C55+C73+C83+C95</f>
        <v>10913146.630000001</v>
      </c>
      <c r="D96" s="86">
        <f>D55+D73+D83+D95</f>
        <v>158210.94</v>
      </c>
      <c r="E96" s="86">
        <f>E55+E73+E83+E95</f>
        <v>340398.91000000003</v>
      </c>
      <c r="F96" s="86">
        <f>F55+F73+F83+F95</f>
        <v>27.4</v>
      </c>
      <c r="G96" s="86">
        <f>G55+G73+G95</f>
        <v>588614.91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5643578.6799999997</v>
      </c>
      <c r="D101" s="24" t="s">
        <v>312</v>
      </c>
      <c r="E101" s="95">
        <f>('DOE25'!L268)+('DOE25'!L287)+('DOE25'!L306)</f>
        <v>153845.30000000002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1306546.6600000001</v>
      </c>
      <c r="D102" s="24" t="s">
        <v>312</v>
      </c>
      <c r="E102" s="95">
        <f>('DOE25'!L269)+('DOE25'!L288)+('DOE25'!L307)</f>
        <v>28906.23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53910.23</v>
      </c>
      <c r="D104" s="24" t="s">
        <v>312</v>
      </c>
      <c r="E104" s="95">
        <f>+('DOE25'!L271)+('DOE25'!L290)+('DOE25'!L309)</f>
        <v>2000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7004035.5700000003</v>
      </c>
      <c r="D107" s="86">
        <f>SUM(D101:D106)</f>
        <v>0</v>
      </c>
      <c r="E107" s="86">
        <f>SUM(E101:E106)</f>
        <v>184751.53000000003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550343.68000000005</v>
      </c>
      <c r="D110" s="24" t="s">
        <v>312</v>
      </c>
      <c r="E110" s="95">
        <f>+('DOE25'!L273)+('DOE25'!L292)+('DOE25'!L311)</f>
        <v>96697.279999999999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211455.3</v>
      </c>
      <c r="D111" s="24" t="s">
        <v>312</v>
      </c>
      <c r="E111" s="95">
        <f>+('DOE25'!L274)+('DOE25'!L293)+('DOE25'!L312)</f>
        <v>61453.240000000005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359442.86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461458.27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524322.37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466404.52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154576.66999999998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2573427</v>
      </c>
      <c r="D120" s="86">
        <f>SUM(D110:D119)</f>
        <v>154576.66999999998</v>
      </c>
      <c r="E120" s="86">
        <f>SUM(E110:E119)</f>
        <v>158150.52000000002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32156.62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485000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232939.21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550248.89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299833.02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288781.89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-4452.9100000000326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1302101.21</v>
      </c>
      <c r="D136" s="141">
        <f>SUM(D122:D135)</f>
        <v>0</v>
      </c>
      <c r="E136" s="141">
        <f>SUM(E122:E135)</f>
        <v>0</v>
      </c>
      <c r="F136" s="141">
        <f>SUM(F122:F135)</f>
        <v>32156.62</v>
      </c>
      <c r="G136" s="141">
        <f>SUM(G122:G135)</f>
        <v>550248.89</v>
      </c>
    </row>
    <row r="137" spans="1:9" ht="12.75" thickTop="1" thickBot="1" x14ac:dyDescent="0.25">
      <c r="A137" s="33" t="s">
        <v>267</v>
      </c>
      <c r="C137" s="86">
        <f>(C107+C120+C136)</f>
        <v>10879563.780000001</v>
      </c>
      <c r="D137" s="86">
        <f>(D107+D120+D136)</f>
        <v>154576.66999999998</v>
      </c>
      <c r="E137" s="86">
        <f>(E107+E120+E136)</f>
        <v>342902.05000000005</v>
      </c>
      <c r="F137" s="86">
        <f>(F107+F120+F136)</f>
        <v>32156.62</v>
      </c>
      <c r="G137" s="86">
        <f>(G107+G120+G136)</f>
        <v>550248.89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09/02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08/22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9633125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3.5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6240000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6240000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485000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485000</v>
      </c>
    </row>
    <row r="151" spans="1:7" x14ac:dyDescent="0.2">
      <c r="A151" s="22" t="s">
        <v>35</v>
      </c>
      <c r="B151" s="137">
        <f>'DOE25'!F488</f>
        <v>5760000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5760000</v>
      </c>
    </row>
    <row r="152" spans="1:7" x14ac:dyDescent="0.2">
      <c r="A152" s="22" t="s">
        <v>36</v>
      </c>
      <c r="B152" s="137">
        <f>'DOE25'!F489</f>
        <v>1798567.5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1798567.5</v>
      </c>
    </row>
    <row r="153" spans="1:7" x14ac:dyDescent="0.2">
      <c r="A153" s="22" t="s">
        <v>37</v>
      </c>
      <c r="B153" s="137">
        <f>'DOE25'!F490</f>
        <v>7558567.5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7558567.5</v>
      </c>
    </row>
    <row r="154" spans="1:7" x14ac:dyDescent="0.2">
      <c r="A154" s="22" t="s">
        <v>38</v>
      </c>
      <c r="B154" s="137">
        <f>'DOE25'!F491</f>
        <v>480000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480000</v>
      </c>
    </row>
    <row r="155" spans="1:7" x14ac:dyDescent="0.2">
      <c r="A155" s="22" t="s">
        <v>39</v>
      </c>
      <c r="B155" s="137">
        <f>'DOE25'!F492</f>
        <v>253440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253440</v>
      </c>
    </row>
    <row r="156" spans="1:7" x14ac:dyDescent="0.2">
      <c r="A156" s="22" t="s">
        <v>269</v>
      </c>
      <c r="B156" s="137">
        <f>'DOE25'!F493</f>
        <v>733440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733440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45B52-3278-405D-A037-13BD461ADF4E}">
  <sheetPr codeName="Sheet3">
    <tabColor indexed="43"/>
  </sheetPr>
  <dimension ref="A1:D42"/>
  <sheetViews>
    <sheetView topLeftCell="A25" workbookViewId="0">
      <selection activeCell="A629" sqref="A629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Barnstead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12060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12060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5797424</v>
      </c>
      <c r="D10" s="182">
        <f>ROUND((C10/$C$28)*100,1)</f>
        <v>56.7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1335453</v>
      </c>
      <c r="D11" s="182">
        <f>ROUND((C11/$C$28)*100,1)</f>
        <v>13.1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55910</v>
      </c>
      <c r="D13" s="182">
        <f>ROUND((C13/$C$28)*100,1)</f>
        <v>0.5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647041</v>
      </c>
      <c r="D15" s="182">
        <f t="shared" ref="D15:D27" si="0">ROUND((C15/$C$28)*100,1)</f>
        <v>6.3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272909</v>
      </c>
      <c r="D16" s="182">
        <f t="shared" si="0"/>
        <v>2.7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359443</v>
      </c>
      <c r="D17" s="182">
        <f t="shared" si="0"/>
        <v>3.5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461458</v>
      </c>
      <c r="D18" s="182">
        <f t="shared" si="0"/>
        <v>4.5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524322</v>
      </c>
      <c r="D20" s="182">
        <f t="shared" si="0"/>
        <v>5.0999999999999996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466405</v>
      </c>
      <c r="D21" s="182">
        <f t="shared" si="0"/>
        <v>4.5999999999999996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232939</v>
      </c>
      <c r="D25" s="182">
        <f t="shared" si="0"/>
        <v>2.2999999999999998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69087.100000000006</v>
      </c>
      <c r="D27" s="182">
        <f t="shared" si="0"/>
        <v>0.7</v>
      </c>
    </row>
    <row r="28" spans="1:4" x14ac:dyDescent="0.2">
      <c r="B28" s="187" t="s">
        <v>754</v>
      </c>
      <c r="C28" s="180">
        <f>SUM(C10:C27)</f>
        <v>10222391.1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32157</v>
      </c>
    </row>
    <row r="30" spans="1:4" x14ac:dyDescent="0.2">
      <c r="B30" s="187" t="s">
        <v>760</v>
      </c>
      <c r="C30" s="180">
        <f>SUM(C28:C29)</f>
        <v>10254548.1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485000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6044156</v>
      </c>
      <c r="D35" s="182">
        <f t="shared" ref="D35:D40" si="1">ROUND((C35/$C$41)*100,1)</f>
        <v>56.1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67638.330000000075</v>
      </c>
      <c r="D36" s="182">
        <f t="shared" si="1"/>
        <v>0.6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3220014</v>
      </c>
      <c r="D37" s="182">
        <f t="shared" si="1"/>
        <v>29.9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974951</v>
      </c>
      <c r="D38" s="182">
        <f t="shared" si="1"/>
        <v>9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473739</v>
      </c>
      <c r="D39" s="182">
        <f t="shared" si="1"/>
        <v>4.4000000000000004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10780498.33</v>
      </c>
      <c r="D41" s="184">
        <f>SUM(D35:D40)</f>
        <v>100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4E26A-E0F9-4F00-AF32-CF9E9CB3CA48}">
  <sheetPr>
    <tabColor indexed="17"/>
  </sheetPr>
  <dimension ref="A1:IV90"/>
  <sheetViews>
    <sheetView workbookViewId="0">
      <pane ySplit="3" topLeftCell="A4" activePane="bottomLeft" state="frozen"/>
      <selection activeCell="A629" sqref="A629"/>
      <selection pane="bottomLeft" activeCell="A629" sqref="A629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Barnstead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7" t="s">
        <v>893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 x14ac:dyDescent="0.2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 x14ac:dyDescent="0.2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 x14ac:dyDescent="0.2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 x14ac:dyDescent="0.2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 x14ac:dyDescent="0.2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 x14ac:dyDescent="0.2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 x14ac:dyDescent="0.2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 x14ac:dyDescent="0.2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 x14ac:dyDescent="0.2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 x14ac:dyDescent="0.2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 x14ac:dyDescent="0.2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 x14ac:dyDescent="0.2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 x14ac:dyDescent="0.2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 x14ac:dyDescent="0.2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 x14ac:dyDescent="0.2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 x14ac:dyDescent="0.2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 x14ac:dyDescent="0.2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70A" sheet="1" objects="1" scenarios="1"/>
  <mergeCells count="223">
    <mergeCell ref="C90:M90"/>
    <mergeCell ref="C81:M81"/>
    <mergeCell ref="C82:M82"/>
    <mergeCell ref="C83:M83"/>
    <mergeCell ref="C84:M84"/>
    <mergeCell ref="C85:M85"/>
    <mergeCell ref="C86:M86"/>
    <mergeCell ref="C87:M87"/>
    <mergeCell ref="C88:M88"/>
    <mergeCell ref="C89:M89"/>
    <mergeCell ref="C80:M80"/>
    <mergeCell ref="C67:M67"/>
    <mergeCell ref="C68:M68"/>
    <mergeCell ref="C69:M69"/>
    <mergeCell ref="C70:M70"/>
    <mergeCell ref="C78:M78"/>
    <mergeCell ref="A72:E72"/>
    <mergeCell ref="C73:M73"/>
    <mergeCell ref="C79:M79"/>
    <mergeCell ref="C77:M77"/>
    <mergeCell ref="C65:M65"/>
    <mergeCell ref="C62:M62"/>
    <mergeCell ref="C63:M63"/>
    <mergeCell ref="C76:M76"/>
    <mergeCell ref="C66:M66"/>
    <mergeCell ref="C74:M74"/>
    <mergeCell ref="C75:M75"/>
    <mergeCell ref="C26:M26"/>
    <mergeCell ref="C27:M27"/>
    <mergeCell ref="C28:M28"/>
    <mergeCell ref="C21:M21"/>
    <mergeCell ref="C24:M24"/>
    <mergeCell ref="C23:M23"/>
    <mergeCell ref="C44:M44"/>
    <mergeCell ref="C12:M12"/>
    <mergeCell ref="C13:M13"/>
    <mergeCell ref="C34:M34"/>
    <mergeCell ref="C35:M35"/>
    <mergeCell ref="C19:M19"/>
    <mergeCell ref="C20:M20"/>
    <mergeCell ref="C29:M29"/>
    <mergeCell ref="C25:M25"/>
    <mergeCell ref="C43:M43"/>
    <mergeCell ref="C8:M8"/>
    <mergeCell ref="C9:M9"/>
    <mergeCell ref="C64:M64"/>
    <mergeCell ref="C36:M36"/>
    <mergeCell ref="C14:M14"/>
    <mergeCell ref="C15:M15"/>
    <mergeCell ref="C16:M16"/>
    <mergeCell ref="C17:M17"/>
    <mergeCell ref="C18:M18"/>
    <mergeCell ref="C22:M22"/>
    <mergeCell ref="C10:M10"/>
    <mergeCell ref="C11:M11"/>
    <mergeCell ref="A2:E2"/>
    <mergeCell ref="A1:I1"/>
    <mergeCell ref="C3:M3"/>
    <mergeCell ref="C4:M4"/>
    <mergeCell ref="F2:I2"/>
    <mergeCell ref="C5:M5"/>
    <mergeCell ref="C6:M6"/>
    <mergeCell ref="C7:M7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0:Z30"/>
    <mergeCell ref="IC29:IM29"/>
    <mergeCell ref="IP29:IV29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FP29:FZ29"/>
    <mergeCell ref="GC29:GM29"/>
    <mergeCell ref="GP29:GZ29"/>
    <mergeCell ref="HC29:HM29"/>
    <mergeCell ref="HP29:HZ29"/>
    <mergeCell ref="IC30:IM30"/>
    <mergeCell ref="AC30:AM30"/>
    <mergeCell ref="AP30:AZ30"/>
    <mergeCell ref="C41:M41"/>
    <mergeCell ref="C33:M33"/>
    <mergeCell ref="C37:M37"/>
    <mergeCell ref="C38:M38"/>
    <mergeCell ref="C39:M39"/>
    <mergeCell ref="C40:M40"/>
    <mergeCell ref="AC38:AM38"/>
    <mergeCell ref="DP30:DZ30"/>
    <mergeCell ref="EC30:EM30"/>
    <mergeCell ref="EP30:EZ30"/>
    <mergeCell ref="IP30:IV30"/>
    <mergeCell ref="FC30:FM30"/>
    <mergeCell ref="FP30:FZ30"/>
    <mergeCell ref="GC30:GM30"/>
    <mergeCell ref="GP30:GZ30"/>
    <mergeCell ref="HC30:HM30"/>
    <mergeCell ref="HP30:HZ30"/>
    <mergeCell ref="BP31:BZ31"/>
    <mergeCell ref="CC31:CM31"/>
    <mergeCell ref="CP31:CZ31"/>
    <mergeCell ref="DC31:DM31"/>
    <mergeCell ref="BC30:BM30"/>
    <mergeCell ref="BP30:BZ30"/>
    <mergeCell ref="CC30:CM30"/>
    <mergeCell ref="CP30:CZ30"/>
    <mergeCell ref="DC30:DM30"/>
    <mergeCell ref="HP31:HZ31"/>
    <mergeCell ref="GC31:GM31"/>
    <mergeCell ref="IC31:IM31"/>
    <mergeCell ref="GP31:GZ31"/>
    <mergeCell ref="HC31:HM31"/>
    <mergeCell ref="DP31:DZ31"/>
    <mergeCell ref="FP31:FZ31"/>
    <mergeCell ref="EC31:EM31"/>
    <mergeCell ref="EP31:EZ31"/>
    <mergeCell ref="FC31:FM31"/>
    <mergeCell ref="DP32:DZ32"/>
    <mergeCell ref="EC32:EM32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BC31:BM31"/>
    <mergeCell ref="BC32:BM32"/>
    <mergeCell ref="DC32:DM32"/>
    <mergeCell ref="P38:Z38"/>
    <mergeCell ref="BP32:BZ32"/>
    <mergeCell ref="BC38:BM38"/>
    <mergeCell ref="P32:Z32"/>
    <mergeCell ref="AC32:AM32"/>
    <mergeCell ref="AP32:AZ32"/>
    <mergeCell ref="CC32:CM32"/>
    <mergeCell ref="GP32:GZ32"/>
    <mergeCell ref="IC38:IM38"/>
    <mergeCell ref="EP38:EZ38"/>
    <mergeCell ref="FC38:FM38"/>
    <mergeCell ref="FP38:FZ38"/>
    <mergeCell ref="GC38:GM38"/>
    <mergeCell ref="HC32:HM32"/>
    <mergeCell ref="EP32:EZ32"/>
    <mergeCell ref="DP38:DZ38"/>
    <mergeCell ref="EC38:EM38"/>
    <mergeCell ref="P39:Z39"/>
    <mergeCell ref="AC39:AM39"/>
    <mergeCell ref="AP39:AZ39"/>
    <mergeCell ref="P40:Z40"/>
    <mergeCell ref="BP38:BZ38"/>
    <mergeCell ref="CP38:CZ38"/>
    <mergeCell ref="AP38:AZ38"/>
    <mergeCell ref="C42:M42"/>
    <mergeCell ref="CC38:CM38"/>
    <mergeCell ref="AC40:AM40"/>
    <mergeCell ref="BC39:BM39"/>
    <mergeCell ref="AP40:AZ40"/>
    <mergeCell ref="BP39:BZ39"/>
    <mergeCell ref="BC40:BM40"/>
    <mergeCell ref="BP40:BZ40"/>
    <mergeCell ref="IP38:IV38"/>
    <mergeCell ref="CC39:CM39"/>
    <mergeCell ref="CP39:CZ39"/>
    <mergeCell ref="IP39:IV39"/>
    <mergeCell ref="GP38:GZ38"/>
    <mergeCell ref="HC38:HM38"/>
    <mergeCell ref="HP38:HZ38"/>
    <mergeCell ref="HP39:HZ39"/>
    <mergeCell ref="IC39:IM39"/>
    <mergeCell ref="DC38:DM38"/>
    <mergeCell ref="HC39:HM39"/>
    <mergeCell ref="DC39:DM39"/>
    <mergeCell ref="DP39:DZ39"/>
    <mergeCell ref="EC39:EM39"/>
    <mergeCell ref="EP39:EZ39"/>
    <mergeCell ref="FP39:FZ39"/>
    <mergeCell ref="GC39:GM39"/>
    <mergeCell ref="FC39:FM39"/>
    <mergeCell ref="GP39:GZ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C51:M51"/>
    <mergeCell ref="IC40:IM40"/>
    <mergeCell ref="CC40:CM40"/>
    <mergeCell ref="CP40:CZ40"/>
    <mergeCell ref="DC40:DM40"/>
    <mergeCell ref="DP40:DZ40"/>
    <mergeCell ref="FC40:FM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2010-11-02T19:07:54Z</cp:lastPrinted>
  <dcterms:created xsi:type="dcterms:W3CDTF">1997-12-04T19:04:30Z</dcterms:created>
  <dcterms:modified xsi:type="dcterms:W3CDTF">2025-01-02T14:40:05Z</dcterms:modified>
</cp:coreProperties>
</file>