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A789DA6-56E2-4DF5-86CC-445A3E35DC42}" xr6:coauthVersionLast="47" xr6:coauthVersionMax="47" xr10:uidLastSave="{00000000-0000-0000-0000-000000000000}"/>
  <workbookProtection workbookPassword="B70A" lockStructure="1"/>
  <bookViews>
    <workbookView xWindow="2460" yWindow="2460" windowWidth="21600" windowHeight="11505" tabRatio="855" xr2:uid="{45D8D504-C253-4B19-B571-C0B8BC39A15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1" i="1" l="1"/>
  <c r="H351" i="1"/>
  <c r="L351" i="1" s="1"/>
  <c r="I350" i="1"/>
  <c r="I354" i="1" s="1"/>
  <c r="G624" i="1" s="1"/>
  <c r="H350" i="1"/>
  <c r="L350" i="1" s="1"/>
  <c r="B36" i="12"/>
  <c r="C19" i="12"/>
  <c r="B20" i="12"/>
  <c r="B19" i="12"/>
  <c r="B21" i="12"/>
  <c r="C20" i="12"/>
  <c r="C22" i="12" s="1"/>
  <c r="C10" i="12"/>
  <c r="B10" i="12"/>
  <c r="C12" i="12"/>
  <c r="B12" i="12"/>
  <c r="B11" i="12"/>
  <c r="B13" i="12" s="1"/>
  <c r="C11" i="12"/>
  <c r="C21" i="12"/>
  <c r="B30" i="12"/>
  <c r="B31" i="12" s="1"/>
  <c r="H531" i="1"/>
  <c r="H528" i="1"/>
  <c r="H527" i="1"/>
  <c r="H526" i="1"/>
  <c r="L526" i="1" s="1"/>
  <c r="G523" i="1"/>
  <c r="G524" i="1" s="1"/>
  <c r="G522" i="1"/>
  <c r="G521" i="1"/>
  <c r="F523" i="1"/>
  <c r="F522" i="1"/>
  <c r="L522" i="1" s="1"/>
  <c r="H540" i="1" s="1"/>
  <c r="F521" i="1"/>
  <c r="L521" i="1" s="1"/>
  <c r="G518" i="1"/>
  <c r="K517" i="1"/>
  <c r="I517" i="1"/>
  <c r="H517" i="1"/>
  <c r="G517" i="1"/>
  <c r="F517" i="1"/>
  <c r="F519" i="1" s="1"/>
  <c r="K516" i="1"/>
  <c r="L516" i="1" s="1"/>
  <c r="J516" i="1"/>
  <c r="I516" i="1"/>
  <c r="I519" i="1" s="1"/>
  <c r="H516" i="1"/>
  <c r="H519" i="1" s="1"/>
  <c r="G516" i="1"/>
  <c r="F516" i="1"/>
  <c r="H513" i="1"/>
  <c r="F512" i="1"/>
  <c r="L512" i="1" s="1"/>
  <c r="F540" i="1" s="1"/>
  <c r="I512" i="1"/>
  <c r="J512" i="1"/>
  <c r="H512" i="1"/>
  <c r="G512" i="1"/>
  <c r="J511" i="1"/>
  <c r="J514" i="1" s="1"/>
  <c r="J535" i="1" s="1"/>
  <c r="I511" i="1"/>
  <c r="H511" i="1"/>
  <c r="H514" i="1" s="1"/>
  <c r="G511" i="1"/>
  <c r="G514" i="1" s="1"/>
  <c r="F511" i="1"/>
  <c r="L511" i="1" s="1"/>
  <c r="G601" i="1"/>
  <c r="F601" i="1"/>
  <c r="H594" i="1"/>
  <c r="K594" i="1" s="1"/>
  <c r="I594" i="1"/>
  <c r="H582" i="1"/>
  <c r="H581" i="1"/>
  <c r="G360" i="1"/>
  <c r="G361" i="1" s="1"/>
  <c r="F360" i="1"/>
  <c r="I360" i="1" s="1"/>
  <c r="I361" i="1" s="1"/>
  <c r="H624" i="1" s="1"/>
  <c r="F9" i="1"/>
  <c r="F42" i="1"/>
  <c r="F43" i="1" s="1"/>
  <c r="F112" i="1"/>
  <c r="F113" i="1" s="1"/>
  <c r="F132" i="1" s="1"/>
  <c r="D11" i="13"/>
  <c r="K336" i="1"/>
  <c r="I273" i="1"/>
  <c r="G273" i="1"/>
  <c r="L273" i="1" s="1"/>
  <c r="E110" i="2" s="1"/>
  <c r="J269" i="1"/>
  <c r="H269" i="1"/>
  <c r="F269" i="1"/>
  <c r="G268" i="1"/>
  <c r="G282" i="1" s="1"/>
  <c r="G330" i="1" s="1"/>
  <c r="G344" i="1" s="1"/>
  <c r="F268" i="1"/>
  <c r="L268" i="1" s="1"/>
  <c r="I268" i="1"/>
  <c r="H268" i="1"/>
  <c r="H282" i="1" s="1"/>
  <c r="H330" i="1" s="1"/>
  <c r="H344" i="1" s="1"/>
  <c r="H274" i="1"/>
  <c r="G271" i="1"/>
  <c r="C36" i="12" s="1"/>
  <c r="A40" i="12" s="1"/>
  <c r="I269" i="1"/>
  <c r="J268" i="1"/>
  <c r="J282" i="1" s="1"/>
  <c r="G269" i="1"/>
  <c r="H147" i="1"/>
  <c r="H146" i="1"/>
  <c r="H458" i="1"/>
  <c r="F196" i="1"/>
  <c r="L196" i="1" s="1"/>
  <c r="F214" i="1"/>
  <c r="L214" i="1" s="1"/>
  <c r="F232" i="1"/>
  <c r="I232" i="1"/>
  <c r="I239" i="1" s="1"/>
  <c r="H232" i="1"/>
  <c r="G232" i="1"/>
  <c r="H214" i="1"/>
  <c r="H196" i="1"/>
  <c r="H236" i="1"/>
  <c r="H218" i="1"/>
  <c r="H200" i="1"/>
  <c r="I217" i="1"/>
  <c r="H217" i="1"/>
  <c r="H199" i="1"/>
  <c r="L199" i="1" s="1"/>
  <c r="G217" i="1"/>
  <c r="F217" i="1"/>
  <c r="L217" i="1" s="1"/>
  <c r="I199" i="1"/>
  <c r="G199" i="1"/>
  <c r="F199" i="1"/>
  <c r="K215" i="1"/>
  <c r="I215" i="1"/>
  <c r="H215" i="1"/>
  <c r="G215" i="1"/>
  <c r="F215" i="1"/>
  <c r="L215" i="1" s="1"/>
  <c r="K197" i="1"/>
  <c r="K203" i="1" s="1"/>
  <c r="I197" i="1"/>
  <c r="H197" i="1"/>
  <c r="G197" i="1"/>
  <c r="F197" i="1"/>
  <c r="L197" i="1" s="1"/>
  <c r="K214" i="1"/>
  <c r="G214" i="1"/>
  <c r="K196" i="1"/>
  <c r="G196" i="1"/>
  <c r="H213" i="1"/>
  <c r="F213" i="1"/>
  <c r="H195" i="1"/>
  <c r="G195" i="1"/>
  <c r="L195" i="1" s="1"/>
  <c r="F195" i="1"/>
  <c r="J213" i="1"/>
  <c r="G213" i="1"/>
  <c r="J195" i="1"/>
  <c r="F7" i="13" s="1"/>
  <c r="I213" i="1"/>
  <c r="I195" i="1"/>
  <c r="K212" i="1"/>
  <c r="K221" i="1" s="1"/>
  <c r="K194" i="1"/>
  <c r="G194" i="1"/>
  <c r="F194" i="1"/>
  <c r="F212" i="1"/>
  <c r="F221" i="1" s="1"/>
  <c r="G212" i="1"/>
  <c r="L212" i="1" s="1"/>
  <c r="H212" i="1"/>
  <c r="I212" i="1"/>
  <c r="I194" i="1"/>
  <c r="I203" i="1" s="1"/>
  <c r="I249" i="1" s="1"/>
  <c r="I263" i="1" s="1"/>
  <c r="H194" i="1"/>
  <c r="L194" i="1" s="1"/>
  <c r="G230" i="1"/>
  <c r="J194" i="1"/>
  <c r="F6" i="13" s="1"/>
  <c r="I210" i="1"/>
  <c r="H210" i="1"/>
  <c r="G210" i="1"/>
  <c r="F210" i="1"/>
  <c r="F190" i="1"/>
  <c r="B18" i="12" s="1"/>
  <c r="G190" i="1"/>
  <c r="C18" i="12" s="1"/>
  <c r="H226" i="1"/>
  <c r="J208" i="1"/>
  <c r="J221" i="1" s="1"/>
  <c r="J249" i="1" s="1"/>
  <c r="I208" i="1"/>
  <c r="H208" i="1"/>
  <c r="G208" i="1"/>
  <c r="F208" i="1"/>
  <c r="J190" i="1"/>
  <c r="I190" i="1"/>
  <c r="H190" i="1"/>
  <c r="H225" i="1"/>
  <c r="G207" i="1"/>
  <c r="G221" i="1" s="1"/>
  <c r="G189" i="1"/>
  <c r="L189" i="1" s="1"/>
  <c r="J207" i="1"/>
  <c r="I207" i="1"/>
  <c r="H207" i="1"/>
  <c r="H221" i="1" s="1"/>
  <c r="F207" i="1"/>
  <c r="L207" i="1" s="1"/>
  <c r="J189" i="1"/>
  <c r="F5" i="13" s="1"/>
  <c r="I189" i="1"/>
  <c r="H189" i="1"/>
  <c r="F189" i="1"/>
  <c r="J458" i="1"/>
  <c r="F30" i="1"/>
  <c r="F25" i="1"/>
  <c r="F33" i="1" s="1"/>
  <c r="F488" i="1"/>
  <c r="K488" i="1" s="1"/>
  <c r="C60" i="2"/>
  <c r="B2" i="13"/>
  <c r="F8" i="13"/>
  <c r="G8" i="13"/>
  <c r="L232" i="1"/>
  <c r="D39" i="13"/>
  <c r="F13" i="13"/>
  <c r="G13" i="13"/>
  <c r="L198" i="1"/>
  <c r="C114" i="2" s="1"/>
  <c r="L216" i="1"/>
  <c r="L234" i="1"/>
  <c r="F16" i="13"/>
  <c r="G16" i="13"/>
  <c r="L201" i="1"/>
  <c r="C117" i="2" s="1"/>
  <c r="L219" i="1"/>
  <c r="L237" i="1"/>
  <c r="G5" i="13"/>
  <c r="G7" i="13"/>
  <c r="G14" i="13"/>
  <c r="G15" i="13"/>
  <c r="G17" i="13"/>
  <c r="G18" i="13"/>
  <c r="G19" i="13"/>
  <c r="G29" i="13"/>
  <c r="L191" i="1"/>
  <c r="C103" i="2" s="1"/>
  <c r="L192" i="1"/>
  <c r="L208" i="1"/>
  <c r="L209" i="1"/>
  <c r="L210" i="1"/>
  <c r="L225" i="1"/>
  <c r="L226" i="1"/>
  <c r="L227" i="1"/>
  <c r="L228" i="1"/>
  <c r="L230" i="1"/>
  <c r="L239" i="1" s="1"/>
  <c r="L213" i="1"/>
  <c r="L231" i="1"/>
  <c r="F12" i="13"/>
  <c r="L233" i="1"/>
  <c r="F14" i="13"/>
  <c r="L235" i="1"/>
  <c r="F15" i="13"/>
  <c r="L200" i="1"/>
  <c r="L218" i="1"/>
  <c r="C116" i="2" s="1"/>
  <c r="L236" i="1"/>
  <c r="G641" i="1" s="1"/>
  <c r="J641" i="1" s="1"/>
  <c r="F17" i="13"/>
  <c r="L243" i="1"/>
  <c r="D17" i="13" s="1"/>
  <c r="C17" i="13" s="1"/>
  <c r="F18" i="13"/>
  <c r="L244" i="1"/>
  <c r="D18" i="13" s="1"/>
  <c r="C18" i="13" s="1"/>
  <c r="F19" i="13"/>
  <c r="L245" i="1"/>
  <c r="D19" i="13" s="1"/>
  <c r="C19" i="13" s="1"/>
  <c r="F29" i="13"/>
  <c r="L352" i="1"/>
  <c r="I359" i="1"/>
  <c r="F22" i="13"/>
  <c r="C22" i="13" s="1"/>
  <c r="J301" i="1"/>
  <c r="J320" i="1"/>
  <c r="K282" i="1"/>
  <c r="G31" i="13" s="1"/>
  <c r="K301" i="1"/>
  <c r="K320" i="1"/>
  <c r="L269" i="1"/>
  <c r="L270" i="1"/>
  <c r="L274" i="1"/>
  <c r="E111" i="2" s="1"/>
  <c r="L275" i="1"/>
  <c r="E112" i="2" s="1"/>
  <c r="L276" i="1"/>
  <c r="L277" i="1"/>
  <c r="E114" i="2" s="1"/>
  <c r="L278" i="1"/>
  <c r="E115" i="2" s="1"/>
  <c r="L279" i="1"/>
  <c r="F652" i="1" s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C25" i="10" s="1"/>
  <c r="L333" i="1"/>
  <c r="L334" i="1"/>
  <c r="L247" i="1"/>
  <c r="L328" i="1"/>
  <c r="C11" i="13"/>
  <c r="C10" i="13"/>
  <c r="C9" i="13"/>
  <c r="L353" i="1"/>
  <c r="B4" i="12"/>
  <c r="B40" i="12"/>
  <c r="C40" i="12"/>
  <c r="B27" i="12"/>
  <c r="A31" i="12" s="1"/>
  <c r="C27" i="12"/>
  <c r="C31" i="12"/>
  <c r="C13" i="12"/>
  <c r="B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4" i="2" s="1"/>
  <c r="G53" i="2"/>
  <c r="F2" i="11"/>
  <c r="L603" i="1"/>
  <c r="H653" i="1"/>
  <c r="L602" i="1"/>
  <c r="G653" i="1"/>
  <c r="L601" i="1"/>
  <c r="L604" i="1" s="1"/>
  <c r="F653" i="1"/>
  <c r="I653" i="1" s="1"/>
  <c r="C40" i="10"/>
  <c r="F52" i="1"/>
  <c r="C35" i="10" s="1"/>
  <c r="G52" i="1"/>
  <c r="D48" i="2" s="1"/>
  <c r="H52" i="1"/>
  <c r="I52" i="1"/>
  <c r="F71" i="1"/>
  <c r="C49" i="2" s="1"/>
  <c r="F86" i="1"/>
  <c r="C50" i="2" s="1"/>
  <c r="F103" i="1"/>
  <c r="G103" i="1"/>
  <c r="H71" i="1"/>
  <c r="E49" i="2" s="1"/>
  <c r="E54" i="2" s="1"/>
  <c r="H86" i="1"/>
  <c r="H103" i="1"/>
  <c r="I103" i="1"/>
  <c r="I104" i="1" s="1"/>
  <c r="J103" i="1"/>
  <c r="J104" i="1"/>
  <c r="C37" i="10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F161" i="1" s="1"/>
  <c r="F154" i="1"/>
  <c r="G139" i="1"/>
  <c r="G161" i="1" s="1"/>
  <c r="G154" i="1"/>
  <c r="H139" i="1"/>
  <c r="H154" i="1"/>
  <c r="I139" i="1"/>
  <c r="I161" i="1" s="1"/>
  <c r="I154" i="1"/>
  <c r="C21" i="10"/>
  <c r="L242" i="1"/>
  <c r="C23" i="10" s="1"/>
  <c r="L324" i="1"/>
  <c r="L246" i="1"/>
  <c r="C24" i="10"/>
  <c r="L260" i="1"/>
  <c r="C26" i="10" s="1"/>
  <c r="L261" i="1"/>
  <c r="L341" i="1"/>
  <c r="L342" i="1"/>
  <c r="I655" i="1"/>
  <c r="I660" i="1"/>
  <c r="H652" i="1"/>
  <c r="I659" i="1"/>
  <c r="C42" i="10"/>
  <c r="L366" i="1"/>
  <c r="L374" i="1" s="1"/>
  <c r="G626" i="1" s="1"/>
  <c r="J626" i="1" s="1"/>
  <c r="L367" i="1"/>
  <c r="L368" i="1"/>
  <c r="L369" i="1"/>
  <c r="L370" i="1"/>
  <c r="L371" i="1"/>
  <c r="L372" i="1"/>
  <c r="F122" i="2" s="1"/>
  <c r="F136" i="2" s="1"/>
  <c r="C29" i="10"/>
  <c r="B2" i="10"/>
  <c r="L336" i="1"/>
  <c r="L343" i="1" s="1"/>
  <c r="L337" i="1"/>
  <c r="E127" i="2" s="1"/>
  <c r="L338" i="1"/>
  <c r="E129" i="2" s="1"/>
  <c r="L339" i="1"/>
  <c r="K343" i="1"/>
  <c r="L513" i="1"/>
  <c r="F541" i="1" s="1"/>
  <c r="K541" i="1" s="1"/>
  <c r="L518" i="1"/>
  <c r="G541" i="1"/>
  <c r="L523" i="1"/>
  <c r="H541" i="1" s="1"/>
  <c r="L527" i="1"/>
  <c r="I540" i="1" s="1"/>
  <c r="L528" i="1"/>
  <c r="I541" i="1"/>
  <c r="L531" i="1"/>
  <c r="J539" i="1" s="1"/>
  <c r="J542" i="1" s="1"/>
  <c r="L532" i="1"/>
  <c r="J540" i="1"/>
  <c r="L533" i="1"/>
  <c r="J541" i="1" s="1"/>
  <c r="E124" i="2"/>
  <c r="E123" i="2"/>
  <c r="K262" i="1"/>
  <c r="J262" i="1"/>
  <c r="I262" i="1"/>
  <c r="H262" i="1"/>
  <c r="G262" i="1"/>
  <c r="F262" i="1"/>
  <c r="C123" i="2"/>
  <c r="A1" i="2"/>
  <c r="A2" i="2"/>
  <c r="C9" i="2"/>
  <c r="C10" i="2"/>
  <c r="C11" i="2"/>
  <c r="C12" i="2"/>
  <c r="C13" i="2"/>
  <c r="C14" i="2"/>
  <c r="C16" i="2"/>
  <c r="C17" i="2"/>
  <c r="C18" i="2"/>
  <c r="C19" i="2"/>
  <c r="D9" i="2"/>
  <c r="D19" i="2" s="1"/>
  <c r="E9" i="2"/>
  <c r="E19" i="2" s="1"/>
  <c r="E10" i="2"/>
  <c r="E12" i="2"/>
  <c r="E13" i="2"/>
  <c r="E14" i="2"/>
  <c r="E16" i="2"/>
  <c r="E17" i="2"/>
  <c r="E18" i="2"/>
  <c r="F9" i="2"/>
  <c r="I431" i="1"/>
  <c r="J9" i="1"/>
  <c r="D10" i="2"/>
  <c r="F10" i="2"/>
  <c r="F19" i="2" s="1"/>
  <c r="I432" i="1"/>
  <c r="J10" i="1"/>
  <c r="G10" i="2" s="1"/>
  <c r="D12" i="2"/>
  <c r="F12" i="2"/>
  <c r="I433" i="1"/>
  <c r="J12" i="1" s="1"/>
  <c r="G12" i="2" s="1"/>
  <c r="D13" i="2"/>
  <c r="F13" i="2"/>
  <c r="I434" i="1"/>
  <c r="J13" i="1" s="1"/>
  <c r="G13" i="2" s="1"/>
  <c r="D14" i="2"/>
  <c r="F14" i="2"/>
  <c r="I435" i="1"/>
  <c r="J14" i="1" s="1"/>
  <c r="G14" i="2" s="1"/>
  <c r="F15" i="2"/>
  <c r="D16" i="2"/>
  <c r="F16" i="2"/>
  <c r="D17" i="2"/>
  <c r="F17" i="2"/>
  <c r="I436" i="1"/>
  <c r="J17" i="1"/>
  <c r="G17" i="2" s="1"/>
  <c r="D18" i="2"/>
  <c r="F18" i="2"/>
  <c r="I437" i="1"/>
  <c r="J18" i="1" s="1"/>
  <c r="G18" i="2" s="1"/>
  <c r="C22" i="2"/>
  <c r="D22" i="2"/>
  <c r="D32" i="2" s="1"/>
  <c r="E22" i="2"/>
  <c r="E32" i="2" s="1"/>
  <c r="F22" i="2"/>
  <c r="F32" i="2" s="1"/>
  <c r="I440" i="1"/>
  <c r="J23" i="1"/>
  <c r="G22" i="2" s="1"/>
  <c r="C23" i="2"/>
  <c r="D23" i="2"/>
  <c r="E23" i="2"/>
  <c r="F23" i="2"/>
  <c r="F24" i="2"/>
  <c r="F25" i="2"/>
  <c r="F26" i="2"/>
  <c r="F27" i="2"/>
  <c r="F28" i="2"/>
  <c r="F29" i="2"/>
  <c r="F30" i="2"/>
  <c r="F31" i="2"/>
  <c r="I441" i="1"/>
  <c r="J24" i="1"/>
  <c r="G23" i="2" s="1"/>
  <c r="D24" i="2"/>
  <c r="D25" i="2"/>
  <c r="D28" i="2"/>
  <c r="D29" i="2"/>
  <c r="D30" i="2"/>
  <c r="D31" i="2"/>
  <c r="E24" i="2"/>
  <c r="I442" i="1"/>
  <c r="J25" i="1"/>
  <c r="G24" i="2" s="1"/>
  <c r="C25" i="2"/>
  <c r="E25" i="2"/>
  <c r="C26" i="2"/>
  <c r="C27" i="2"/>
  <c r="C28" i="2"/>
  <c r="E28" i="2"/>
  <c r="C29" i="2"/>
  <c r="E29" i="2"/>
  <c r="C30" i="2"/>
  <c r="E30" i="2"/>
  <c r="E31" i="2"/>
  <c r="C31" i="2"/>
  <c r="I443" i="1"/>
  <c r="J32" i="1"/>
  <c r="J33" i="1" s="1"/>
  <c r="G31" i="2"/>
  <c r="C34" i="2"/>
  <c r="D34" i="2"/>
  <c r="D42" i="2" s="1"/>
  <c r="E34" i="2"/>
  <c r="E42" i="2" s="1"/>
  <c r="E43" i="2" s="1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E41" i="2"/>
  <c r="F40" i="2"/>
  <c r="I449" i="1"/>
  <c r="J41" i="1" s="1"/>
  <c r="G40" i="2" s="1"/>
  <c r="C41" i="2"/>
  <c r="C42" i="2" s="1"/>
  <c r="D41" i="2"/>
  <c r="F41" i="2"/>
  <c r="C48" i="2"/>
  <c r="E48" i="2"/>
  <c r="E55" i="2" s="1"/>
  <c r="E96" i="2" s="1"/>
  <c r="F48" i="2"/>
  <c r="E50" i="2"/>
  <c r="C51" i="2"/>
  <c r="D51" i="2"/>
  <c r="E51" i="2"/>
  <c r="F51" i="2"/>
  <c r="F54" i="2" s="1"/>
  <c r="F55" i="2" s="1"/>
  <c r="F53" i="2"/>
  <c r="D52" i="2"/>
  <c r="D54" i="2" s="1"/>
  <c r="D53" i="2"/>
  <c r="C53" i="2"/>
  <c r="E53" i="2"/>
  <c r="C58" i="2"/>
  <c r="C59" i="2"/>
  <c r="D61" i="2"/>
  <c r="D62" i="2" s="1"/>
  <c r="E61" i="2"/>
  <c r="E62" i="2"/>
  <c r="F61" i="2"/>
  <c r="F62" i="2" s="1"/>
  <c r="G61" i="2"/>
  <c r="G62" i="2"/>
  <c r="C64" i="2"/>
  <c r="F64" i="2"/>
  <c r="F70" i="2" s="1"/>
  <c r="C65" i="2"/>
  <c r="C70" i="2" s="1"/>
  <c r="F65" i="2"/>
  <c r="C66" i="2"/>
  <c r="C67" i="2"/>
  <c r="C68" i="2"/>
  <c r="C69" i="2"/>
  <c r="E68" i="2"/>
  <c r="E70" i="2" s="1"/>
  <c r="E73" i="2" s="1"/>
  <c r="F68" i="2"/>
  <c r="D69" i="2"/>
  <c r="D70" i="2" s="1"/>
  <c r="D73" i="2" s="1"/>
  <c r="D71" i="2"/>
  <c r="E69" i="2"/>
  <c r="F69" i="2"/>
  <c r="G69" i="2"/>
  <c r="G70" i="2" s="1"/>
  <c r="G73" i="2" s="1"/>
  <c r="E71" i="2"/>
  <c r="E72" i="2"/>
  <c r="C71" i="2"/>
  <c r="C72" i="2"/>
  <c r="C77" i="2"/>
  <c r="D77" i="2"/>
  <c r="D83" i="2" s="1"/>
  <c r="E77" i="2"/>
  <c r="C79" i="2"/>
  <c r="E79" i="2"/>
  <c r="F79" i="2"/>
  <c r="C80" i="2"/>
  <c r="C81" i="2"/>
  <c r="C82" i="2"/>
  <c r="C83" i="2"/>
  <c r="D80" i="2"/>
  <c r="E80" i="2"/>
  <c r="F80" i="2"/>
  <c r="D81" i="2"/>
  <c r="E81" i="2"/>
  <c r="F81" i="2"/>
  <c r="C85" i="2"/>
  <c r="F85" i="2"/>
  <c r="C86" i="2"/>
  <c r="C95" i="2" s="1"/>
  <c r="F86" i="2"/>
  <c r="F95" i="2" s="1"/>
  <c r="F88" i="2"/>
  <c r="F89" i="2"/>
  <c r="F91" i="2"/>
  <c r="F92" i="2"/>
  <c r="F93" i="2"/>
  <c r="F94" i="2"/>
  <c r="D88" i="2"/>
  <c r="E88" i="2"/>
  <c r="G88" i="2"/>
  <c r="C89" i="2"/>
  <c r="D89" i="2"/>
  <c r="D95" i="2" s="1"/>
  <c r="D90" i="2"/>
  <c r="D91" i="2"/>
  <c r="D92" i="2"/>
  <c r="D93" i="2"/>
  <c r="D94" i="2"/>
  <c r="E89" i="2"/>
  <c r="E95" i="2" s="1"/>
  <c r="G89" i="2"/>
  <c r="G95" i="2" s="1"/>
  <c r="C90" i="2"/>
  <c r="E90" i="2"/>
  <c r="G90" i="2"/>
  <c r="C91" i="2"/>
  <c r="E91" i="2"/>
  <c r="C92" i="2"/>
  <c r="E92" i="2"/>
  <c r="C93" i="2"/>
  <c r="E93" i="2"/>
  <c r="C94" i="2"/>
  <c r="E94" i="2"/>
  <c r="E102" i="2"/>
  <c r="E103" i="2"/>
  <c r="E105" i="2"/>
  <c r="E106" i="2"/>
  <c r="D107" i="2"/>
  <c r="F107" i="2"/>
  <c r="G107" i="2"/>
  <c r="E113" i="2"/>
  <c r="E117" i="2"/>
  <c r="D126" i="2"/>
  <c r="D136" i="2"/>
  <c r="F120" i="2"/>
  <c r="F137" i="2" s="1"/>
  <c r="G120" i="2"/>
  <c r="C122" i="2"/>
  <c r="E122" i="2"/>
  <c r="F126" i="2"/>
  <c r="E134" i="2"/>
  <c r="E135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153" i="2" s="1"/>
  <c r="C153" i="2"/>
  <c r="D153" i="2"/>
  <c r="E153" i="2"/>
  <c r="F153" i="2"/>
  <c r="G490" i="1"/>
  <c r="H490" i="1"/>
  <c r="I490" i="1"/>
  <c r="J490" i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B156" i="2"/>
  <c r="G156" i="2" s="1"/>
  <c r="G493" i="1"/>
  <c r="C156" i="2"/>
  <c r="D156" i="2"/>
  <c r="E156" i="2"/>
  <c r="F156" i="2"/>
  <c r="H493" i="1"/>
  <c r="I493" i="1"/>
  <c r="J493" i="1"/>
  <c r="F19" i="1"/>
  <c r="G19" i="1"/>
  <c r="G608" i="1" s="1"/>
  <c r="J608" i="1" s="1"/>
  <c r="H19" i="1"/>
  <c r="G609" i="1" s="1"/>
  <c r="I19" i="1"/>
  <c r="G33" i="1"/>
  <c r="H33" i="1"/>
  <c r="I33" i="1"/>
  <c r="G43" i="1"/>
  <c r="G44" i="1" s="1"/>
  <c r="H608" i="1" s="1"/>
  <c r="H43" i="1"/>
  <c r="G614" i="1" s="1"/>
  <c r="J614" i="1" s="1"/>
  <c r="H44" i="1"/>
  <c r="H609" i="1" s="1"/>
  <c r="I43" i="1"/>
  <c r="I44" i="1"/>
  <c r="H610" i="1" s="1"/>
  <c r="J610" i="1" s="1"/>
  <c r="F169" i="1"/>
  <c r="F184" i="1" s="1"/>
  <c r="I169" i="1"/>
  <c r="F175" i="1"/>
  <c r="G175" i="1"/>
  <c r="H175" i="1"/>
  <c r="I175" i="1"/>
  <c r="I184" i="1" s="1"/>
  <c r="J175" i="1"/>
  <c r="J184" i="1" s="1"/>
  <c r="F180" i="1"/>
  <c r="G180" i="1"/>
  <c r="G184" i="1" s="1"/>
  <c r="H180" i="1"/>
  <c r="H184" i="1" s="1"/>
  <c r="I180" i="1"/>
  <c r="J203" i="1"/>
  <c r="I221" i="1"/>
  <c r="F239" i="1"/>
  <c r="G239" i="1"/>
  <c r="H239" i="1"/>
  <c r="J239" i="1"/>
  <c r="K239" i="1"/>
  <c r="F248" i="1"/>
  <c r="L248" i="1" s="1"/>
  <c r="G248" i="1"/>
  <c r="H248" i="1"/>
  <c r="I248" i="1"/>
  <c r="J248" i="1"/>
  <c r="K248" i="1"/>
  <c r="L262" i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G329" i="1"/>
  <c r="H329" i="1"/>
  <c r="L329" i="1" s="1"/>
  <c r="I329" i="1"/>
  <c r="J329" i="1"/>
  <c r="K329" i="1"/>
  <c r="K330" i="1"/>
  <c r="K344" i="1"/>
  <c r="F354" i="1"/>
  <c r="G354" i="1"/>
  <c r="J354" i="1"/>
  <c r="K354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F399" i="1"/>
  <c r="G399" i="1"/>
  <c r="G400" i="1" s="1"/>
  <c r="H635" i="1" s="1"/>
  <c r="H399" i="1"/>
  <c r="H400" i="1" s="1"/>
  <c r="H634" i="1" s="1"/>
  <c r="J634" i="1" s="1"/>
  <c r="I399" i="1"/>
  <c r="F400" i="1"/>
  <c r="H633" i="1" s="1"/>
  <c r="I400" i="1"/>
  <c r="L405" i="1"/>
  <c r="L406" i="1"/>
  <c r="L407" i="1"/>
  <c r="L408" i="1"/>
  <c r="L409" i="1"/>
  <c r="L411" i="1" s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6" i="1"/>
  <c r="L417" i="1"/>
  <c r="L419" i="1" s="1"/>
  <c r="L418" i="1"/>
  <c r="F419" i="1"/>
  <c r="G419" i="1"/>
  <c r="H419" i="1"/>
  <c r="I419" i="1"/>
  <c r="J419" i="1"/>
  <c r="L421" i="1"/>
  <c r="L425" i="1"/>
  <c r="L422" i="1"/>
  <c r="L423" i="1"/>
  <c r="L424" i="1"/>
  <c r="F425" i="1"/>
  <c r="F426" i="1" s="1"/>
  <c r="G425" i="1"/>
  <c r="H425" i="1"/>
  <c r="I425" i="1"/>
  <c r="J425" i="1"/>
  <c r="F438" i="1"/>
  <c r="G438" i="1"/>
  <c r="H438" i="1"/>
  <c r="G631" i="1" s="1"/>
  <c r="J631" i="1" s="1"/>
  <c r="I438" i="1"/>
  <c r="G632" i="1" s="1"/>
  <c r="F444" i="1"/>
  <c r="F451" i="1" s="1"/>
  <c r="H629" i="1" s="1"/>
  <c r="G444" i="1"/>
  <c r="G451" i="1" s="1"/>
  <c r="H630" i="1" s="1"/>
  <c r="J630" i="1" s="1"/>
  <c r="H444" i="1"/>
  <c r="I444" i="1"/>
  <c r="F450" i="1"/>
  <c r="G450" i="1"/>
  <c r="H450" i="1"/>
  <c r="H451" i="1"/>
  <c r="H631" i="1" s="1"/>
  <c r="F460" i="1"/>
  <c r="G460" i="1"/>
  <c r="G466" i="1" s="1"/>
  <c r="H613" i="1" s="1"/>
  <c r="H460" i="1"/>
  <c r="I460" i="1"/>
  <c r="I466" i="1" s="1"/>
  <c r="H615" i="1" s="1"/>
  <c r="J460" i="1"/>
  <c r="J466" i="1" s="1"/>
  <c r="H616" i="1" s="1"/>
  <c r="F464" i="1"/>
  <c r="F466" i="1"/>
  <c r="H612" i="1" s="1"/>
  <c r="G464" i="1"/>
  <c r="H464" i="1"/>
  <c r="H466" i="1"/>
  <c r="H614" i="1"/>
  <c r="I464" i="1"/>
  <c r="J464" i="1"/>
  <c r="K485" i="1"/>
  <c r="K486" i="1"/>
  <c r="K487" i="1"/>
  <c r="K489" i="1"/>
  <c r="K490" i="1"/>
  <c r="K491" i="1"/>
  <c r="K492" i="1"/>
  <c r="F507" i="1"/>
  <c r="G507" i="1"/>
  <c r="H507" i="1"/>
  <c r="I507" i="1"/>
  <c r="I514" i="1"/>
  <c r="I535" i="1" s="1"/>
  <c r="K514" i="1"/>
  <c r="G519" i="1"/>
  <c r="J519" i="1"/>
  <c r="H524" i="1"/>
  <c r="I524" i="1"/>
  <c r="J524" i="1"/>
  <c r="K524" i="1"/>
  <c r="F529" i="1"/>
  <c r="G529" i="1"/>
  <c r="I529" i="1"/>
  <c r="J529" i="1"/>
  <c r="K529" i="1"/>
  <c r="F534" i="1"/>
  <c r="G534" i="1"/>
  <c r="H534" i="1"/>
  <c r="I534" i="1"/>
  <c r="J534" i="1"/>
  <c r="K534" i="1"/>
  <c r="L547" i="1"/>
  <c r="L548" i="1"/>
  <c r="L550" i="1" s="1"/>
  <c r="L561" i="1" s="1"/>
  <c r="L549" i="1"/>
  <c r="F550" i="1"/>
  <c r="F561" i="1" s="1"/>
  <c r="G550" i="1"/>
  <c r="H550" i="1"/>
  <c r="H561" i="1" s="1"/>
  <c r="I550" i="1"/>
  <c r="J550" i="1"/>
  <c r="J561" i="1" s="1"/>
  <c r="K550" i="1"/>
  <c r="L552" i="1"/>
  <c r="L555" i="1"/>
  <c r="L553" i="1"/>
  <c r="L554" i="1"/>
  <c r="F555" i="1"/>
  <c r="G555" i="1"/>
  <c r="G561" i="1" s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I561" i="1" s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 s="1"/>
  <c r="J588" i="1"/>
  <c r="K592" i="1"/>
  <c r="K593" i="1"/>
  <c r="H595" i="1"/>
  <c r="I595" i="1"/>
  <c r="J595" i="1"/>
  <c r="F604" i="1"/>
  <c r="G604" i="1"/>
  <c r="H604" i="1"/>
  <c r="I604" i="1"/>
  <c r="J604" i="1"/>
  <c r="K604" i="1"/>
  <c r="G607" i="1"/>
  <c r="G610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G633" i="1"/>
  <c r="G634" i="1"/>
  <c r="H637" i="1"/>
  <c r="G639" i="1"/>
  <c r="H639" i="1"/>
  <c r="J639" i="1"/>
  <c r="H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G9" i="2"/>
  <c r="F104" i="1"/>
  <c r="H161" i="1"/>
  <c r="E83" i="2"/>
  <c r="C6" i="10"/>
  <c r="K588" i="1"/>
  <c r="G637" i="1" s="1"/>
  <c r="J637" i="1" s="1"/>
  <c r="J263" i="1" l="1"/>
  <c r="G32" i="2"/>
  <c r="C39" i="10"/>
  <c r="J185" i="1"/>
  <c r="D55" i="2"/>
  <c r="D96" i="2" s="1"/>
  <c r="G55" i="2"/>
  <c r="G96" i="2" s="1"/>
  <c r="H33" i="13"/>
  <c r="C25" i="13"/>
  <c r="C10" i="10"/>
  <c r="C101" i="2"/>
  <c r="C111" i="2"/>
  <c r="D7" i="13"/>
  <c r="C7" i="13" s="1"/>
  <c r="C16" i="10"/>
  <c r="K249" i="1"/>
  <c r="K263" i="1" s="1"/>
  <c r="C112" i="2"/>
  <c r="E8" i="13"/>
  <c r="C17" i="10"/>
  <c r="I539" i="1"/>
  <c r="I542" i="1" s="1"/>
  <c r="L529" i="1"/>
  <c r="J633" i="1"/>
  <c r="G137" i="2"/>
  <c r="C133" i="2"/>
  <c r="A22" i="12"/>
  <c r="C62" i="2"/>
  <c r="C73" i="2" s="1"/>
  <c r="G539" i="1"/>
  <c r="K595" i="1"/>
  <c r="G638" i="1" s="1"/>
  <c r="J609" i="1"/>
  <c r="F73" i="2"/>
  <c r="F96" i="2" s="1"/>
  <c r="I185" i="1"/>
  <c r="G620" i="1" s="1"/>
  <c r="J620" i="1" s="1"/>
  <c r="H650" i="1"/>
  <c r="H654" i="1" s="1"/>
  <c r="J607" i="1"/>
  <c r="J43" i="1"/>
  <c r="G37" i="2"/>
  <c r="L426" i="1"/>
  <c r="G628" i="1" s="1"/>
  <c r="J628" i="1" s="1"/>
  <c r="E120" i="2"/>
  <c r="K540" i="1"/>
  <c r="L282" i="1"/>
  <c r="E101" i="2"/>
  <c r="E107" i="2" s="1"/>
  <c r="J19" i="1"/>
  <c r="G611" i="1" s="1"/>
  <c r="L400" i="1"/>
  <c r="C130" i="2"/>
  <c r="J330" i="1"/>
  <c r="J344" i="1" s="1"/>
  <c r="F31" i="13"/>
  <c r="F185" i="1"/>
  <c r="G617" i="1" s="1"/>
  <c r="J617" i="1" s="1"/>
  <c r="L524" i="1"/>
  <c r="H539" i="1"/>
  <c r="H542" i="1" s="1"/>
  <c r="F651" i="1"/>
  <c r="D119" i="2"/>
  <c r="D120" i="2" s="1"/>
  <c r="D137" i="2" s="1"/>
  <c r="D29" i="13"/>
  <c r="C29" i="13" s="1"/>
  <c r="L354" i="1"/>
  <c r="C20" i="10"/>
  <c r="C115" i="2"/>
  <c r="D14" i="13"/>
  <c r="C14" i="13" s="1"/>
  <c r="G19" i="2"/>
  <c r="F33" i="13"/>
  <c r="L514" i="1"/>
  <c r="F539" i="1"/>
  <c r="J624" i="1"/>
  <c r="G42" i="2"/>
  <c r="G43" i="2" s="1"/>
  <c r="D43" i="2"/>
  <c r="H651" i="1"/>
  <c r="L221" i="1"/>
  <c r="G650" i="1" s="1"/>
  <c r="C110" i="2"/>
  <c r="C15" i="10"/>
  <c r="C113" i="2"/>
  <c r="C18" i="10"/>
  <c r="C38" i="10"/>
  <c r="G535" i="1"/>
  <c r="G651" i="1"/>
  <c r="C54" i="2"/>
  <c r="C55" i="2" s="1"/>
  <c r="F44" i="1"/>
  <c r="H607" i="1" s="1"/>
  <c r="G612" i="1"/>
  <c r="J612" i="1" s="1"/>
  <c r="H203" i="1"/>
  <c r="H249" i="1" s="1"/>
  <c r="H263" i="1" s="1"/>
  <c r="G12" i="13"/>
  <c r="D12" i="13" s="1"/>
  <c r="C12" i="13" s="1"/>
  <c r="G203" i="1"/>
  <c r="G249" i="1" s="1"/>
  <c r="G263" i="1" s="1"/>
  <c r="C9" i="12"/>
  <c r="E13" i="13"/>
  <c r="C13" i="13" s="1"/>
  <c r="D15" i="13"/>
  <c r="C15" i="13" s="1"/>
  <c r="F524" i="1"/>
  <c r="F203" i="1"/>
  <c r="F249" i="1" s="1"/>
  <c r="F263" i="1" s="1"/>
  <c r="E116" i="2"/>
  <c r="C124" i="2"/>
  <c r="C136" i="2" s="1"/>
  <c r="G652" i="1"/>
  <c r="I652" i="1" s="1"/>
  <c r="C19" i="10"/>
  <c r="L190" i="1"/>
  <c r="D5" i="13" s="1"/>
  <c r="G6" i="13"/>
  <c r="G33" i="13" s="1"/>
  <c r="G613" i="1"/>
  <c r="J613" i="1" s="1"/>
  <c r="H354" i="1"/>
  <c r="C106" i="2"/>
  <c r="C24" i="2"/>
  <c r="C32" i="2" s="1"/>
  <c r="C43" i="2" s="1"/>
  <c r="B9" i="12"/>
  <c r="A13" i="12" s="1"/>
  <c r="L271" i="1"/>
  <c r="E104" i="2" s="1"/>
  <c r="F282" i="1"/>
  <c r="F330" i="1" s="1"/>
  <c r="F344" i="1" s="1"/>
  <c r="G640" i="1"/>
  <c r="J640" i="1" s="1"/>
  <c r="K519" i="1"/>
  <c r="K535" i="1" s="1"/>
  <c r="F514" i="1"/>
  <c r="I450" i="1"/>
  <c r="I451" i="1" s="1"/>
  <c r="H632" i="1" s="1"/>
  <c r="J632" i="1" s="1"/>
  <c r="E126" i="2"/>
  <c r="E136" i="2" s="1"/>
  <c r="H529" i="1"/>
  <c r="H535" i="1" s="1"/>
  <c r="C105" i="2"/>
  <c r="H104" i="1"/>
  <c r="H185" i="1" s="1"/>
  <c r="G619" i="1" s="1"/>
  <c r="J619" i="1" s="1"/>
  <c r="E16" i="13"/>
  <c r="C16" i="13" s="1"/>
  <c r="L534" i="1"/>
  <c r="C104" i="2"/>
  <c r="F77" i="2"/>
  <c r="F83" i="2" s="1"/>
  <c r="L517" i="1"/>
  <c r="G540" i="1" s="1"/>
  <c r="C32" i="10"/>
  <c r="C12" i="10"/>
  <c r="G104" i="1"/>
  <c r="G185" i="1" s="1"/>
  <c r="G618" i="1" s="1"/>
  <c r="J618" i="1" s="1"/>
  <c r="F361" i="1"/>
  <c r="G635" i="1"/>
  <c r="J635" i="1" s="1"/>
  <c r="C61" i="2"/>
  <c r="C96" i="2" l="1"/>
  <c r="C5" i="13"/>
  <c r="D33" i="13"/>
  <c r="D36" i="13" s="1"/>
  <c r="J44" i="1"/>
  <c r="H611" i="1" s="1"/>
  <c r="J611" i="1" s="1"/>
  <c r="G616" i="1"/>
  <c r="J616" i="1" s="1"/>
  <c r="F542" i="1"/>
  <c r="K539" i="1"/>
  <c r="K542" i="1" s="1"/>
  <c r="I651" i="1"/>
  <c r="C8" i="13"/>
  <c r="E33" i="13"/>
  <c r="D35" i="13" s="1"/>
  <c r="E137" i="2"/>
  <c r="H657" i="1"/>
  <c r="H662" i="1"/>
  <c r="G636" i="1"/>
  <c r="G621" i="1"/>
  <c r="J621" i="1" s="1"/>
  <c r="D31" i="13"/>
  <c r="C31" i="13" s="1"/>
  <c r="L330" i="1"/>
  <c r="L344" i="1" s="1"/>
  <c r="G623" i="1" s="1"/>
  <c r="J623" i="1" s="1"/>
  <c r="C36" i="10"/>
  <c r="D6" i="13"/>
  <c r="C6" i="13" s="1"/>
  <c r="F535" i="1"/>
  <c r="C102" i="2"/>
  <c r="C107" i="2" s="1"/>
  <c r="C137" i="2" s="1"/>
  <c r="C11" i="10"/>
  <c r="C120" i="2"/>
  <c r="G654" i="1"/>
  <c r="L519" i="1"/>
  <c r="L535" i="1" s="1"/>
  <c r="G627" i="1"/>
  <c r="J627" i="1" s="1"/>
  <c r="H636" i="1"/>
  <c r="G542" i="1"/>
  <c r="L203" i="1"/>
  <c r="H638" i="1"/>
  <c r="J638" i="1" s="1"/>
  <c r="C27" i="10"/>
  <c r="G625" i="1"/>
  <c r="J625" i="1" s="1"/>
  <c r="C13" i="10"/>
  <c r="D36" i="10" l="1"/>
  <c r="C41" i="10"/>
  <c r="G657" i="1"/>
  <c r="G662" i="1"/>
  <c r="C5" i="10" s="1"/>
  <c r="H646" i="1"/>
  <c r="D13" i="10"/>
  <c r="D27" i="10"/>
  <c r="L249" i="1"/>
  <c r="L263" i="1" s="1"/>
  <c r="G622" i="1" s="1"/>
  <c r="J622" i="1" s="1"/>
  <c r="F650" i="1"/>
  <c r="J636" i="1"/>
  <c r="C28" i="10"/>
  <c r="D22" i="10" l="1"/>
  <c r="C30" i="10"/>
  <c r="D25" i="10"/>
  <c r="D26" i="10"/>
  <c r="D23" i="10"/>
  <c r="D21" i="10"/>
  <c r="D24" i="10"/>
  <c r="D15" i="10"/>
  <c r="D19" i="10"/>
  <c r="D16" i="10"/>
  <c r="D20" i="10"/>
  <c r="D10" i="10"/>
  <c r="D12" i="10"/>
  <c r="D18" i="10"/>
  <c r="D17" i="10"/>
  <c r="I650" i="1"/>
  <c r="I654" i="1" s="1"/>
  <c r="F654" i="1"/>
  <c r="D40" i="10"/>
  <c r="D37" i="10"/>
  <c r="D35" i="10"/>
  <c r="D39" i="10"/>
  <c r="D38" i="10"/>
  <c r="D11" i="10"/>
  <c r="D28" i="10" l="1"/>
  <c r="D41" i="10"/>
  <c r="F662" i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D8FA926-5146-4672-B3EE-0922A5303FF0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A760F55-B44C-419A-97F8-8E975E9C8302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67599B1-046E-477A-8B4A-BA09C540D54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4F005E8A-1BF5-41FA-8D56-5B1AF68E204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FD63CD4-2919-45F8-B0D9-F7F44AD8599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899C91E-FCCF-40C8-B365-C0E35EECA686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C9E35C4-07D5-457B-8984-0C8358070BD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6CFAEDA-F11D-4BAF-83CD-6DE56DFF5A6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42E543A-D577-49AD-8959-6AE986BEF79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CE8FF86-9BBE-48A5-A6E5-92F660C14FC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6358199-3B05-4CED-925D-FBCBD312133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DD23F945-AEE7-45BA-8AB9-CC642694D25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<sst xmlns="http://schemas.openxmlformats.org/spreadsheetml/2006/main" count="3861" uniqueCount="897">
  <si>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</si>
  <si>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</si>
  <si>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</si>
  <si>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</si>
  <si>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</si>
  <si>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</si>
  <si>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</si>
  <si>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</si>
  <si>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</si>
  <si>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</si>
  <si>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</si>
  <si>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</si>
  <si>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</si>
  <si>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</si>
  <si>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</si>
  <si>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</si>
  <si>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</si>
  <si>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</si>
  <si>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</si>
  <si>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</si>
  <si>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</si>
  <si>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</si>
  <si>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</si>
  <si>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</si>
  <si>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</si>
  <si>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</si>
  <si>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</si>
  <si>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</si>
  <si>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</si>
  <si>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</si>
  <si>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</si>
  <si>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</si>
  <si>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</si>
  <si>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</si>
  <si>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</si>
  <si>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</si>
  <si>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</si>
  <si>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</si>
  <si>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</si>
  <si>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</si>
  <si>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</si>
  <si>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</si>
  <si>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</si>
  <si>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</si>
  <si>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</si>
  <si>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</si>
  <si>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</si>
  <si>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</si>
  <si>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</si>
  <si>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</si>
  <si>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</si>
  <si>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</si>
  <si>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</si>
  <si>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</si>
  <si>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</si>
  <si>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</si>
  <si>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</si>
  <si>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</si>
  <si>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</si>
  <si>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</si>
  <si>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</si>
  <si>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</si>
  <si>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</si>
  <si>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</si>
  <si>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</si>
  <si>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</si>
  <si>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</si>
  <si>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</si>
  <si>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</si>
  <si>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</si>
  <si>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</si>
  <si>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</si>
  <si>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</si>
  <si>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</si>
  <si>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</si>
  <si>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</si>
  <si>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</si>
  <si>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</si>
  <si>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</si>
  <si>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</si>
  <si>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</si>
  <si>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</si>
  <si>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</si>
  <si>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</si>
  <si>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</si>
  <si>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</si>
  <si>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</si>
  <si>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</si>
  <si>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</si>
  <si>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</si>
  <si>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</si>
  <si>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</si>
  <si>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</si>
  <si>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</si>
  <si>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</si>
  <si>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</si>
  <si>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</si>
  <si>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</si>
  <si>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</si>
  <si>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</si>
  <si>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</si>
  <si>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</si>
  <si>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</si>
  <si>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</si>
  <si>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</si>
  <si>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</si>
  <si>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</si>
  <si>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</si>
  <si>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</si>
  <si>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</si>
  <si>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</si>
  <si>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</si>
  <si>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</si>
  <si>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</si>
  <si>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</si>
  <si>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</si>
  <si>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</si>
  <si>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</si>
  <si>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</si>
  <si>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</si>
  <si>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</si>
  <si>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</si>
  <si>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</si>
  <si>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</si>
  <si>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</si>
  <si>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</si>
  <si>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</si>
  <si>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</si>
  <si>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</si>
  <si>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</si>
  <si>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</si>
  <si>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</si>
  <si>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</si>
  <si>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</si>
  <si>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</si>
  <si>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</si>
  <si>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</si>
  <si>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</si>
  <si>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</si>
  <si>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</si>
  <si>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</si>
  <si>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</si>
  <si>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</si>
  <si>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</si>
  <si>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</si>
  <si>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</si>
  <si>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</si>
  <si>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</si>
  <si>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</si>
  <si>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</si>
  <si>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</si>
  <si>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</si>
  <si>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</si>
  <si>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</si>
  <si>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</si>
  <si>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</si>
  <si>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</si>
  <si>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</si>
  <si>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</si>
  <si>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</si>
  <si>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</si>
  <si>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</si>
  <si>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</si>
  <si>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</si>
  <si>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</si>
  <si>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</si>
  <si>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</si>
  <si>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</si>
  <si>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</si>
  <si>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</si>
  <si>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</si>
  <si>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</si>
  <si>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</si>
  <si>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</si>
  <si>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</si>
  <si>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</si>
  <si>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</si>
  <si>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</si>
  <si>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</si>
  <si>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</si>
  <si>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</si>
  <si>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</si>
  <si>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</si>
  <si>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</si>
  <si>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</si>
  <si>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</si>
  <si>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</si>
  <si>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</si>
  <si>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</si>
  <si>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</si>
  <si>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</si>
  <si>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</si>
  <si>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</si>
  <si>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</si>
  <si>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</si>
  <si>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</si>
  <si>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</si>
  <si>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</si>
  <si>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</si>
  <si>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</si>
  <si>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</si>
  <si>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</si>
  <si>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</si>
  <si>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</si>
  <si>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</si>
  <si>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</si>
  <si>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</si>
  <si>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</si>
  <si>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</si>
  <si>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</si>
  <si>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</si>
  <si>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</si>
  <si>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</si>
  <si>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</si>
  <si>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</si>
  <si>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</si>
  <si>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</si>
  <si>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</si>
  <si>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</si>
  <si>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</si>
  <si>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</si>
  <si>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</si>
  <si>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</si>
  <si>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</si>
  <si>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</si>
  <si>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</si>
  <si>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</si>
  <si>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</si>
  <si>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</si>
  <si>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</si>
  <si>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</si>
  <si>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</si>
  <si>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</si>
  <si>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</si>
  <si>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</si>
  <si>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</si>
  <si>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</si>
  <si>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</si>
  <si>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</si>
  <si>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</si>
  <si>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</si>
  <si>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</si>
  <si>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</si>
  <si>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</si>
  <si>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</si>
  <si>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</si>
  <si>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</si>
  <si>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</si>
  <si>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</si>
  <si>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</si>
  <si>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</si>
  <si>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</si>
  <si>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</si>
  <si>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</si>
  <si>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</si>
  <si>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</si>
  <si>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</si>
  <si>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</si>
  <si>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</si>
  <si>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</si>
  <si>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</si>
  <si>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</si>
  <si>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</si>
  <si>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</si>
  <si>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</si>
  <si>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</si>
  <si>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</si>
  <si>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</si>
  <si>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</si>
  <si>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</si>
  <si>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</si>
  <si>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</si>
  <si>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</si>
  <si>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</si>
  <si>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</si>
  <si>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</si>
  <si>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</si>
  <si>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</si>
  <si>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</si>
  <si>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</si>
  <si>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</si>
  <si>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</si>
  <si>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</si>
  <si>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</si>
  <si>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</si>
  <si>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</si>
  <si>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</si>
  <si>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</si>
  <si>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</si>
  <si>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</si>
  <si>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</si>
  <si>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</si>
  <si>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</si>
  <si>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</si>
  <si>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</si>
  <si>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</si>
  <si>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</si>
  <si>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</si>
  <si>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</si>
  <si>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</si>
  <si>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</si>
  <si>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</si>
  <si>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</si>
  <si>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</si>
  <si>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</si>
  <si>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</si>
  <si>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</si>
  <si>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</si>
  <si>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</si>
  <si>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</si>
  <si>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</si>
  <si>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</si>
  <si>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</si>
  <si>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</si>
  <si>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</si>
  <si>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</si>
  <si>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</si>
  <si>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</si>
  <si>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</si>
  <si>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</si>
  <si>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</si>
  <si>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</si>
  <si>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</si>
  <si>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</si>
  <si>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</si>
  <si>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</si>
  <si>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</si>
  <si>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</si>
  <si>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</si>
  <si>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</si>
  <si>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</si>
  <si>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</si>
  <si>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</si>
  <si>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</si>
  <si>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</si>
  <si>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</si>
  <si>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</si>
  <si>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</si>
  <si>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</si>
  <si>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</si>
  <si>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</si>
  <si>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</si>
  <si>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</si>
  <si>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</si>
  <si>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</si>
  <si>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</si>
  <si>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</si>
  <si>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</si>
  <si>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</si>
  <si>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</si>
  <si>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</si>
  <si>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</si>
  <si>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</si>
  <si>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</si>
  <si>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</si>
  <si>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</si>
  <si>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</si>
  <si>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</si>
  <si>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</si>
  <si>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</si>
  <si>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</si>
  <si>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</si>
  <si>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</si>
  <si>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</si>
  <si>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</si>
  <si>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</si>
  <si>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</si>
  <si>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</si>
  <si>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</si>
  <si>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</si>
  <si>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</si>
  <si>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</si>
  <si>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</si>
  <si>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</si>
  <si>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</si>
  <si>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</si>
  <si>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</si>
  <si>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</si>
  <si>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</si>
  <si>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</si>
  <si>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</si>
  <si>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</si>
  <si>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</si>
  <si>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</si>
  <si>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</si>
  <si>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</si>
  <si>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</si>
  <si>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</si>
  <si>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</si>
  <si>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</si>
  <si>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</si>
  <si>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</si>
  <si>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</si>
  <si>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</si>
  <si>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</si>
  <si>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</si>
  <si>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</si>
  <si>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</si>
  <si>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</si>
  <si>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</si>
  <si>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</si>
  <si>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</si>
  <si>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</si>
  <si>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</si>
  <si>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</si>
  <si>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</si>
  <si>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</si>
  <si>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</si>
  <si>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</si>
  <si>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</si>
  <si>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</si>
  <si>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</si>
  <si>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</si>
  <si>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</si>
  <si>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</si>
  <si>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</si>
  <si>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</si>
  <si>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</si>
  <si>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</si>
  <si>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</si>
  <si>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</si>
  <si>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</si>
  <si>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</si>
  <si>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</si>
  <si>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</si>
  <si>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</si>
  <si>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</si>
  <si>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</si>
  <si>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</si>
  <si>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</si>
  <si>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</si>
  <si>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</si>
  <si>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</si>
  <si>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</si>
  <si>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</si>
  <si>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</si>
  <si>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</si>
  <si>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</si>
  <si>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</si>
  <si>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</si>
  <si>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</si>
  <si>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</si>
  <si>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</si>
  <si>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</si>
  <si>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</si>
  <si>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</si>
  <si>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</si>
  <si>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</si>
  <si>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</si>
  <si>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</si>
  <si>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</si>
  <si>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</si>
  <si>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</si>
  <si>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</si>
  <si>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</si>
  <si>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</si>
  <si>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</si>
  <si>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</si>
  <si>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</si>
  <si>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</si>
  <si>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</si>
  <si>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</si>
  <si>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</si>
  <si>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</si>
  <si>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</si>
  <si>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</si>
  <si>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</si>
  <si>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</si>
  <si>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</si>
  <si>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</si>
  <si>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</si>
  <si>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</si>
  <si>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</si>
  <si>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</si>
  <si>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</si>
  <si>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</si>
  <si>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</si>
  <si>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</si>
  <si>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</si>
  <si>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</si>
  <si>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</si>
  <si>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</si>
  <si>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</si>
  <si>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</si>
  <si>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</si>
  <si>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</si>
  <si>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</si>
  <si>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</si>
  <si>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</si>
  <si>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</si>
  <si>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</si>
  <si>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</si>
  <si>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</si>
  <si>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</si>
  <si>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</si>
  <si>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</si>
  <si>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</si>
  <si>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</si>
  <si>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</si>
  <si>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</si>
  <si>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</si>
  <si>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</si>
  <si>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</si>
  <si>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</si>
  <si>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</si>
  <si>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</si>
  <si>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</si>
  <si>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</si>
  <si>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</si>
  <si>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</si>
  <si>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</si>
  <si>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</si>
  <si>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</si>
  <si>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</si>
  <si>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</si>
  <si>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</si>
  <si>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</si>
  <si>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</si>
  <si>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</si>
  <si>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</si>
  <si>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</si>
  <si>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</si>
  <si>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</si>
  <si>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</si>
  <si>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</si>
  <si>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</si>
  <si>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</si>
  <si>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</si>
  <si>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</si>
  <si>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</si>
  <si>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</si>
  <si>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</si>
  <si>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</si>
  <si>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</si>
  <si>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</si>
  <si>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</si>
  <si>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</si>
  <si>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</si>
  <si>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</si>
  <si>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</si>
  <si>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</si>
  <si>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</si>
  <si>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</si>
  <si>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</si>
  <si>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</si>
  <si>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</si>
  <si>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</si>
  <si>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</si>
  <si>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</si>
  <si>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</si>
  <si>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</si>
  <si>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</si>
  <si>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</si>
  <si>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</si>
  <si>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</si>
  <si>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</si>
  <si>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</si>
  <si>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</si>
  <si>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</si>
  <si>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</si>
  <si>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</si>
  <si>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</si>
  <si>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</si>
  <si>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</si>
  <si>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</si>
  <si>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</si>
  <si>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</si>
  <si>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</si>
  <si>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</si>
  <si>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</si>
  <si>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</si>
  <si>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</si>
  <si>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</si>
  <si>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</si>
  <si>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</si>
  <si>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</si>
  <si>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</si>
  <si>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</si>
  <si>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</si>
  <si>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</si>
  <si>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</si>
  <si>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</si>
  <si>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</si>
  <si>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</si>
  <si>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</si>
  <si>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</si>
  <si>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</si>
  <si>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</si>
  <si>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</si>
  <si>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</si>
  <si>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</si>
  <si>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</si>
  <si>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</si>
  <si>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</si>
  <si>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</si>
  <si>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</si>
  <si>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</si>
  <si>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</si>
  <si>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</si>
  <si>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</si>
  <si>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</si>
  <si>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</si>
  <si>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</si>
  <si>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</si>
  <si>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</si>
  <si>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</si>
  <si>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</si>
  <si>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</si>
  <si>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</si>
  <si>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</si>
  <si>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</si>
  <si>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</si>
  <si>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</si>
  <si>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</si>
  <si>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</si>
  <si>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</si>
  <si>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</si>
  <si>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</si>
  <si>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</si>
  <si>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</si>
  <si>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</si>
  <si>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</si>
  <si>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</si>
  <si>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</si>
  <si>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</si>
  <si>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</si>
  <si>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</si>
  <si>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</si>
  <si>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</si>
  <si>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</si>
  <si>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</si>
  <si>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</si>
  <si>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</si>
  <si>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</si>
  <si>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</si>
  <si>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</si>
  <si>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</si>
  <si>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</si>
  <si>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</si>
  <si>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</si>
  <si>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</si>
  <si>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</si>
  <si>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</si>
  <si>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</si>
  <si>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</si>
  <si>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</si>
  <si>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</si>
  <si>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</si>
  <si>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</si>
  <si>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</si>
  <si>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</si>
  <si>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</si>
  <si>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</si>
  <si>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</si>
  <si>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</si>
  <si>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</si>
  <si>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</si>
  <si>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</si>
  <si>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</si>
  <si>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</si>
  <si>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</si>
  <si>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</si>
  <si>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</si>
  <si>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</si>
  <si>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</si>
  <si>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</si>
  <si>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</si>
  <si>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</si>
  <si>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</si>
  <si>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</si>
  <si>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</si>
  <si>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</si>
  <si>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</si>
  <si>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</si>
  <si>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</si>
  <si>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</si>
  <si>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</si>
  <si>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</si>
  <si>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</si>
  <si>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</si>
  <si>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</si>
  <si>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</si>
  <si>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</si>
  <si>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</si>
  <si>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</si>
  <si>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</si>
  <si>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</si>
  <si>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</si>
  <si>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</si>
  <si>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</si>
  <si>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</si>
  <si>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</si>
  <si>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</si>
  <si>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</si>
  <si>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</si>
  <si>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</si>
  <si>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</si>
  <si>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</si>
  <si>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</si>
  <si>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</si>
  <si>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</si>
  <si>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</si>
  <si>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</si>
  <si>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</si>
  <si>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</si>
  <si>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</si>
  <si>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</si>
  <si>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</si>
  <si>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</si>
  <si>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</si>
  <si>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</si>
  <si>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</si>
  <si>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</si>
  <si>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</si>
  <si>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</si>
  <si>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</si>
  <si>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</si>
  <si>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</si>
  <si>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</si>
  <si>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</si>
  <si>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</si>
  <si>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</si>
  <si>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</si>
  <si>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</si>
  <si>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</si>
  <si>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</si>
  <si>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</si>
  <si>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</si>
  <si>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</si>
  <si>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</si>
  <si>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</si>
  <si>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</si>
  <si>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</si>
  <si>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</si>
  <si>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</si>
  <si>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</si>
  <si>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</si>
  <si>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</si>
  <si>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</si>
  <si>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</si>
  <si>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</si>
  <si>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</si>
  <si>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</si>
  <si>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</si>
  <si>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</si>
  <si>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</si>
  <si>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</si>
  <si>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</si>
  <si>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</si>
  <si>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</si>
  <si>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</si>
  <si>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</si>
  <si>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</si>
  <si>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</si>
  <si>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</si>
  <si>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</si>
  <si>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</si>
  <si>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</si>
  <si>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</si>
  <si>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</si>
  <si>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</si>
  <si>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</si>
  <si>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</si>
  <si>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</si>
  <si>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</si>
  <si>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</si>
  <si>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</si>
  <si>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</si>
  <si>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</si>
  <si>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</si>
  <si>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</si>
  <si>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</si>
  <si>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</si>
  <si>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</si>
  <si>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</si>
  <si>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</si>
  <si>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</si>
  <si>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</si>
  <si>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</si>
  <si>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</si>
  <si>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</si>
  <si>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</si>
  <si>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</si>
  <si>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</si>
  <si>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</si>
  <si>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</si>
  <si>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</si>
  <si>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</si>
  <si>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</si>
  <si>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</si>
  <si>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</si>
  <si>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</si>
  <si>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</si>
  <si>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</si>
  <si>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</si>
  <si>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</si>
  <si>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</si>
  <si>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</si>
  <si>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</si>
  <si>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</si>
  <si>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</si>
  <si>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</si>
  <si>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</si>
  <si>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</si>
  <si>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</si>
  <si>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</si>
  <si>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</si>
  <si>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</si>
  <si>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</si>
  <si>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</si>
  <si>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</si>
  <si>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</si>
  <si>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</si>
  <si>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</si>
  <si>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</si>
  <si>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</si>
  <si>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</si>
  <si>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</si>
  <si>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</si>
  <si>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</si>
  <si>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</si>
  <si>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</si>
  <si>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</si>
  <si>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</si>
  <si>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</si>
  <si>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</si>
  <si>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</si>
  <si>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</si>
  <si>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</si>
  <si>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</si>
  <si>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</si>
  <si>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</si>
  <si>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</si>
  <si>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</si>
  <si>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</si>
  <si>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</si>
  <si>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</si>
  <si>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</si>
  <si>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</si>
  <si>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</si>
  <si>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</si>
  <si>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</si>
  <si>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</si>
  <si>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</si>
  <si>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</si>
  <si>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</si>
  <si>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</si>
  <si>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</si>
  <si>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</si>
  <si>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</si>
  <si>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</si>
  <si>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</si>
  <si>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</si>
  <si>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</si>
  <si>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</si>
  <si>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</si>
  <si>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</si>
  <si>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</si>
  <si>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</si>
  <si>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</si>
  <si>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</si>
  <si>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</si>
  <si>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</si>
  <si>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</si>
  <si>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</si>
  <si>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</si>
  <si>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</si>
  <si>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</si>
  <si>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</si>
  <si>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</si>
  <si>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</si>
  <si>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</si>
  <si>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</si>
  <si>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</si>
  <si>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</si>
  <si>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</si>
  <si>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</si>
  <si>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</si>
  <si>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</si>
  <si>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</si>
  <si>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</si>
  <si>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</si>
  <si>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</si>
  <si>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</si>
  <si>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</si>
  <si>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</si>
  <si>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</si>
  <si>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</si>
  <si>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</si>
  <si>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</si>
  <si>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</si>
  <si>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</si>
  <si>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</si>
  <si>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</si>
  <si>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12/02</t>
  </si>
  <si>
    <t>10/22</t>
  </si>
  <si>
    <t>Barrington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</si>
</sst>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FC78-826D-47A9-B96F-2FA056EC9E3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33</v>
      </c>
      <c r="C2" s="21">
        <v>33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862239.59</f>
        <v>862239.59</v>
      </c>
      <c r="G9" s="18">
        <v>-2169.29</v>
      </c>
      <c r="H9" s="18">
        <v>139493.31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6951.74</v>
      </c>
      <c r="G10" s="18"/>
      <c r="H10" s="18"/>
      <c r="I10" s="18"/>
      <c r="J10" s="67">
        <f>SUM(I432)</f>
        <v>1094890.6200000001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119963.86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15116.97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151.01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1004423.1699999999</v>
      </c>
      <c r="G19" s="41">
        <f>SUM(G9:G18)</f>
        <v>-2169.29</v>
      </c>
      <c r="H19" s="41">
        <f>SUM(H9:H18)</f>
        <v>139493.31</v>
      </c>
      <c r="I19" s="41">
        <f>SUM(I9:I18)</f>
        <v>0</v>
      </c>
      <c r="J19" s="41">
        <f>SUM(J9:J18)</f>
        <v>1094890.6200000001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35439.8</f>
        <v>35439.800000000003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178473.18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550+220.5+6951.74</f>
        <v>7722.24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221635.21999999997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192778.59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-2169.29</v>
      </c>
      <c r="H41" s="18">
        <v>139493.31</v>
      </c>
      <c r="I41" s="18"/>
      <c r="J41" s="13">
        <f>SUM(I449)</f>
        <v>1094890.6200000001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764472-174462.64</f>
        <v>590009.36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782787.95</v>
      </c>
      <c r="G43" s="41">
        <f>SUM(G35:G42)</f>
        <v>-2169.29</v>
      </c>
      <c r="H43" s="41">
        <f>SUM(H35:H42)</f>
        <v>139493.31</v>
      </c>
      <c r="I43" s="41">
        <f>SUM(I35:I42)</f>
        <v>0</v>
      </c>
      <c r="J43" s="41">
        <f>SUM(J35:J42)</f>
        <v>1094890.6200000001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1004423.1699999999</v>
      </c>
      <c r="G44" s="41">
        <f>G43+G33</f>
        <v>-2169.29</v>
      </c>
      <c r="H44" s="41">
        <f>H43+H33</f>
        <v>139493.31</v>
      </c>
      <c r="I44" s="41">
        <f>I43+I33</f>
        <v>0</v>
      </c>
      <c r="J44" s="41">
        <f>J43+J33</f>
        <v>1094890.6200000001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9740052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9740052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40267.5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105693.43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145960.93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1513.69</v>
      </c>
      <c r="G88" s="18"/>
      <c r="H88" s="18"/>
      <c r="I88" s="18"/>
      <c r="J88" s="18">
        <v>2871.92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208957.27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135376.42000000001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136890.11000000002</v>
      </c>
      <c r="G103" s="41">
        <f>SUM(G88:G102)</f>
        <v>208957.27</v>
      </c>
      <c r="H103" s="41">
        <f>SUM(H88:H102)</f>
        <v>0</v>
      </c>
      <c r="I103" s="41">
        <f>SUM(I88:I102)</f>
        <v>0</v>
      </c>
      <c r="J103" s="41">
        <f>SUM(J88:J102)</f>
        <v>2871.92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10022903.039999999</v>
      </c>
      <c r="G104" s="41">
        <f>G52+G103</f>
        <v>208957.27</v>
      </c>
      <c r="H104" s="41">
        <f>H52+H71+H86+H103</f>
        <v>0</v>
      </c>
      <c r="I104" s="41">
        <f>I52+I103</f>
        <v>0</v>
      </c>
      <c r="J104" s="41">
        <f>J52+J103</f>
        <v>2871.92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2836892.53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2006220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1088427.47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f>17315.47+8184+3610.75</f>
        <v>29110.22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5960650.2199999988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232129.28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189400.39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3481.39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421529.67000000004</v>
      </c>
      <c r="G128" s="41">
        <f>SUM(G115:G127)</f>
        <v>3481.39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6382179.8899999987</v>
      </c>
      <c r="G132" s="41">
        <f>G113+SUM(G128:G129)</f>
        <v>3481.39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69000+5834.08+44890.01+14931.38</f>
        <v>134655.47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181000+12298.73+4704.96+93000+24828.18+2354.13+479.66+1500+5621.72+28130.7+23332.2+1755.28</f>
        <v>379005.56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92603.65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264092.83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265774.34000000003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265774.34000000003</v>
      </c>
      <c r="G154" s="41">
        <f>SUM(G142:G153)</f>
        <v>92603.65</v>
      </c>
      <c r="H154" s="41">
        <f>SUM(H142:H153)</f>
        <v>777753.8600000001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265774.34000000003</v>
      </c>
      <c r="G161" s="41">
        <f>G139+G154+SUM(G155:G160)</f>
        <v>92603.65</v>
      </c>
      <c r="H161" s="41">
        <f>H139+H154+SUM(H155:H160)</f>
        <v>777753.8600000001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5898.13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5898.13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5898.13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16670857.269999998</v>
      </c>
      <c r="G185" s="47">
        <f>G104+G132+G161+G184</f>
        <v>310940.44</v>
      </c>
      <c r="H185" s="47">
        <f>H104+H132+H161+H184</f>
        <v>777753.8600000001</v>
      </c>
      <c r="I185" s="47">
        <f>I104+I132+I161+I184</f>
        <v>0</v>
      </c>
      <c r="J185" s="47">
        <f>J104+J132+J184</f>
        <v>2871.92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4419.09+1311097.61+60390+45453.92+16882.75+97903.08</f>
        <v>1536146.4500000002</v>
      </c>
      <c r="G189" s="18">
        <f>253150.41+13235.9+10297.99+13479.43+1113.48+36+1152+132+2904.07+2721.53+4441.07+98322.95+3189.56+115832.21+5348.95+840.6+145.6+3547.39</f>
        <v>529891.14</v>
      </c>
      <c r="H189" s="18">
        <f>18709.62+186.18+359+90+1357.95</f>
        <v>20702.75</v>
      </c>
      <c r="I189" s="18">
        <f>4666.93+31901.86+2737.18+4696.57+996.33+3230.77+453.32+-57.93+700+249+253.45+2058+-265.73+762.9</f>
        <v>52382.649999999994</v>
      </c>
      <c r="J189" s="18">
        <f>175.48+3000</f>
        <v>3175.48</v>
      </c>
      <c r="K189" s="18">
        <v>0</v>
      </c>
      <c r="L189" s="19">
        <f>SUM(F189:K189)</f>
        <v>2142298.4700000002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238504.62+12849.61+21685.75+287592.95+83845.4+588+1799.64+855+24675</f>
        <v>672395.97</v>
      </c>
      <c r="G190" s="18">
        <f>49591.96+2000+79509.28+24188.88+3489.4+-186.4+828+180+1151.28+177.72+49.58+26380.67+7424.48+17864.13+219.73+2023.98+40662.39+1008.7+8379.14+1268.42+247.93</f>
        <v>266459.27</v>
      </c>
      <c r="H190" s="18">
        <f>68472.72+37500</f>
        <v>105972.72</v>
      </c>
      <c r="I190" s="18">
        <f>4080.57+2931.27</f>
        <v>7011.84</v>
      </c>
      <c r="J190" s="18">
        <f>1845.08+1054.08+1267.13</f>
        <v>4166.29</v>
      </c>
      <c r="K190" s="18">
        <v>0</v>
      </c>
      <c r="L190" s="19">
        <f>SUM(F190:K190)</f>
        <v>1056006.0900000001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101994+50767+18270+875+22681.2+59074.5+35806.4+62904.3+18720.9</f>
        <v>371093.30000000005</v>
      </c>
      <c r="G194" s="18">
        <f>12076.54+856.7+72+224.28+7639.47+7955.37+245.91+10202.08+474.46+54+132+1753.67+3802.5+5654.22+144.42+7464.56+7649.26+434.95+90+183.3+5411.25+3279.92+4672.19+2739+207.8+19035.34+36+45.12+1714.75+1432.19+45.14</f>
        <v>105728.38999999998</v>
      </c>
      <c r="H194" s="18">
        <f>82.75+14263.57</f>
        <v>14346.32</v>
      </c>
      <c r="I194" s="18">
        <f>400+172.88+509.65+64.8+527.15+557.43</f>
        <v>2231.91</v>
      </c>
      <c r="J194" s="18">
        <f>500</f>
        <v>500</v>
      </c>
      <c r="K194" s="18">
        <f>4502.05</f>
        <v>4502.05</v>
      </c>
      <c r="L194" s="19">
        <f t="shared" ref="L194:L200" si="0">SUM(F194:K194)</f>
        <v>498401.97000000003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55513+24322.5+37023.71+4615.85</f>
        <v>121475.06</v>
      </c>
      <c r="G195" s="18">
        <f>13207.74+1353.38+36+122.04+4157.92+4246.84+133.84+8936.05+14014.34+765.52+18+36+53.46+82.68+2227.94+2772.98+1860.69+2832.3+146.57</f>
        <v>57004.290000000008</v>
      </c>
      <c r="H195" s="18">
        <f>15744.38+28280.99</f>
        <v>44025.37</v>
      </c>
      <c r="I195" s="18">
        <f>750.07+-37.02+5775.76+3500</f>
        <v>9988.8100000000013</v>
      </c>
      <c r="J195" s="18">
        <f>988.36+1476.2+40108.2</f>
        <v>42572.759999999995</v>
      </c>
      <c r="K195" s="18">
        <v>1245</v>
      </c>
      <c r="L195" s="19">
        <f t="shared" si="0"/>
        <v>276311.28999999998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433.32+88766.41</f>
        <v>89199.73000000001</v>
      </c>
      <c r="G196" s="18">
        <f>70.55+30489.29</f>
        <v>30559.84</v>
      </c>
      <c r="H196" s="18">
        <f>5986.11+9666.31+303.48</f>
        <v>15955.899999999998</v>
      </c>
      <c r="I196" s="18">
        <v>1220.53</v>
      </c>
      <c r="J196" s="18">
        <v>3486.87</v>
      </c>
      <c r="K196" s="18">
        <f>3313.59+955.7</f>
        <v>4269.29</v>
      </c>
      <c r="L196" s="19">
        <f t="shared" si="0"/>
        <v>144692.16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82800+74520+58647.63</f>
        <v>215967.63</v>
      </c>
      <c r="G197" s="18">
        <f>30163.68+9835.99+3277.68+144+389.28+5372.05+11783.3+16521.91+520.7</f>
        <v>78008.59</v>
      </c>
      <c r="H197" s="18">
        <f>511.67+3201.69+2000</f>
        <v>5713.3600000000006</v>
      </c>
      <c r="I197" s="18">
        <f>82.75</f>
        <v>82.75</v>
      </c>
      <c r="J197" s="18"/>
      <c r="K197" s="18">
        <f>365.18</f>
        <v>365.18</v>
      </c>
      <c r="L197" s="19">
        <f t="shared" si="0"/>
        <v>300137.50999999995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30532.5</v>
      </c>
      <c r="G198" s="18">
        <v>11232.54</v>
      </c>
      <c r="H198" s="18">
        <v>1387.54</v>
      </c>
      <c r="I198" s="18">
        <v>271.93</v>
      </c>
      <c r="J198" s="18"/>
      <c r="K198" s="18"/>
      <c r="L198" s="19">
        <f t="shared" si="0"/>
        <v>43424.51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56603.47+62894.55+11230.24</f>
        <v>130728.26000000001</v>
      </c>
      <c r="G199" s="18">
        <f>25550.18+-7.19+162+206.4+4954.75+557.79+4801.89+994.88+1498.48</f>
        <v>38719.180000000008</v>
      </c>
      <c r="H199" s="18">
        <f>540+22741+7140+2340+3559.8+7720.77+4811.52+41646.57+1050+23792.5+8668.47+190+95+723.16</f>
        <v>125018.79000000001</v>
      </c>
      <c r="I199" s="18">
        <f>9997.76+1593.72+67836.62+58687.23+11992.31</f>
        <v>150107.63999999998</v>
      </c>
      <c r="J199" s="18"/>
      <c r="K199" s="18"/>
      <c r="L199" s="19">
        <f t="shared" si="0"/>
        <v>444573.87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163620+36853.47+35398.23+2746.25</f>
        <v>238617.95</v>
      </c>
      <c r="I200" s="18"/>
      <c r="J200" s="18"/>
      <c r="K200" s="18"/>
      <c r="L200" s="19">
        <f t="shared" si="0"/>
        <v>238617.95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3167538.8999999994</v>
      </c>
      <c r="G203" s="41">
        <f t="shared" si="1"/>
        <v>1117603.24</v>
      </c>
      <c r="H203" s="41">
        <f t="shared" si="1"/>
        <v>571740.69999999995</v>
      </c>
      <c r="I203" s="41">
        <f t="shared" si="1"/>
        <v>223298.05999999997</v>
      </c>
      <c r="J203" s="41">
        <f t="shared" si="1"/>
        <v>53901.4</v>
      </c>
      <c r="K203" s="41">
        <f t="shared" si="1"/>
        <v>10381.52</v>
      </c>
      <c r="L203" s="41">
        <f t="shared" si="1"/>
        <v>5144463.8200000012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4419.09+1268396.95+60390+15272+75667.28</f>
        <v>1424145.32</v>
      </c>
      <c r="G207" s="18">
        <f>260557.18+13235.9+2539.2+15116.33+1113.48+36+1044+132+2690.23+2721.53+301.93+94853.51+3189.56+105726.05+5348.95+840.6+145.6+3277.36</f>
        <v>512869.41</v>
      </c>
      <c r="H207" s="18">
        <f>19741.04+186.18+405.86+90</f>
        <v>20423.080000000002</v>
      </c>
      <c r="I207" s="18">
        <f>4666.93+25743.59+2513.34+991.75+951.66+2714.93+2995.69+997.4+122.42+799.7+641.85+253.45+2047.07+543.9</f>
        <v>45983.68</v>
      </c>
      <c r="J207" s="18">
        <f>79.21+4264.76</f>
        <v>4343.97</v>
      </c>
      <c r="K207" s="18">
        <v>5924.44</v>
      </c>
      <c r="L207" s="19">
        <f>SUM(F207:K207)</f>
        <v>2013689.9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239623.24+12849.61+378120.64+389+1799.64</f>
        <v>632782.13</v>
      </c>
      <c r="G208" s="18">
        <f>66221.14+84907.14+3289.68+900+1269.12+34697.62+49.58+17926.19+219.73+47593.55+1008.7+1489.38</f>
        <v>259571.83000000002</v>
      </c>
      <c r="H208" s="18">
        <f>68472.72+537.6</f>
        <v>69010.320000000007</v>
      </c>
      <c r="I208" s="18">
        <f>3742.89+2180.85+2119.29</f>
        <v>8043.03</v>
      </c>
      <c r="J208" s="18">
        <f>1104.89+1267.13</f>
        <v>2372.0200000000004</v>
      </c>
      <c r="K208" s="18">
        <v>0</v>
      </c>
      <c r="L208" s="19">
        <f>SUM(F208:K208)</f>
        <v>971779.33000000007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4"/>
      <c r="G209" s="4"/>
      <c r="H209" s="4"/>
      <c r="I209" s="4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8700+24475</f>
        <v>33175</v>
      </c>
      <c r="G210" s="18">
        <f>412.2+314.58+665.55+531.28+799.56+1872.35</f>
        <v>4595.5200000000004</v>
      </c>
      <c r="H210" s="18">
        <f>4940.5</f>
        <v>4940.5</v>
      </c>
      <c r="I210" s="18">
        <f>2510.35+175</f>
        <v>2685.35</v>
      </c>
      <c r="J210" s="18"/>
      <c r="K210" s="18"/>
      <c r="L210" s="19">
        <f>SUM(F210:K210)</f>
        <v>45396.37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95654.42+35652+405+22681.2+59074.5+18418.4+62904.3</f>
        <v>294789.82</v>
      </c>
      <c r="G212" s="18">
        <f>17793.14+948.72+72+197.76+7164.43+7317.61+230.62+4000+54+98.76+2670.44+3064.38+107.98+7464.56+7649.26+434.95+90+183.3+5411.25+1687.18+4672.19+1409.1+207.8+19035.34</f>
        <v>91964.77</v>
      </c>
      <c r="H212" s="18">
        <f>82.75+14263.57</f>
        <v>14346.32</v>
      </c>
      <c r="I212" s="18">
        <f>280.85+196.67+1085.17+64.8+527.15+557.43</f>
        <v>2712.0699999999997</v>
      </c>
      <c r="J212" s="18">
        <v>500</v>
      </c>
      <c r="K212" s="18">
        <f>4502.05</f>
        <v>4502.05</v>
      </c>
      <c r="L212" s="19">
        <f t="shared" ref="L212:L218" si="2">SUM(F212:K212)</f>
        <v>408815.03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40543+24322.5+35910+4615.84</f>
        <v>105391.34</v>
      </c>
      <c r="G213" s="18">
        <f>13207.74+36+89.16+3036.72+3101.52+97.75+8936.05+14014.34+765.52+18+36+53.46+78.96+2227.94+2689.69+1860.69+2747.16+146.57</f>
        <v>53143.27</v>
      </c>
      <c r="H213" s="18">
        <f>15744.37+28280.99</f>
        <v>44025.36</v>
      </c>
      <c r="I213" s="18">
        <f>331.29+-37.02+5760.95+1890.47</f>
        <v>7945.6900000000005</v>
      </c>
      <c r="J213" s="18">
        <f>766.8+1180.95+40108.2</f>
        <v>42055.95</v>
      </c>
      <c r="K213" s="18">
        <v>1245</v>
      </c>
      <c r="L213" s="19">
        <f t="shared" si="2"/>
        <v>253806.61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433.32+88766.41</f>
        <v>89199.73000000001</v>
      </c>
      <c r="G214" s="18">
        <f>70.55+30489.29</f>
        <v>30559.84</v>
      </c>
      <c r="H214" s="18">
        <f>5986.11+9666.31+303.48</f>
        <v>15955.899999999998</v>
      </c>
      <c r="I214" s="18">
        <v>1220.54</v>
      </c>
      <c r="J214" s="18">
        <v>3486.88</v>
      </c>
      <c r="K214" s="18">
        <f>3313.59+955.7</f>
        <v>4269.29</v>
      </c>
      <c r="L214" s="19">
        <f t="shared" si="2"/>
        <v>144692.18000000002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84870+69345+52941.78</f>
        <v>207156.78</v>
      </c>
      <c r="G215" s="18">
        <f>18081.84+6986.47+2574.88+144+373.2+4849.39+11550.76+16076.61+499.45</f>
        <v>61136.600000000006</v>
      </c>
      <c r="H215" s="18">
        <f>2511.67+8564.13+1500+3532.3</f>
        <v>16108.099999999999</v>
      </c>
      <c r="I215" s="18">
        <f>649.72</f>
        <v>649.72</v>
      </c>
      <c r="J215" s="18">
        <v>8340</v>
      </c>
      <c r="K215" s="18">
        <f>1018.18+192.9</f>
        <v>1211.08</v>
      </c>
      <c r="L215" s="19">
        <f t="shared" si="2"/>
        <v>294602.27999999997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30532.5</v>
      </c>
      <c r="G216" s="18">
        <v>11232.54</v>
      </c>
      <c r="H216" s="18">
        <v>1387.54</v>
      </c>
      <c r="I216" s="18">
        <v>271.93</v>
      </c>
      <c r="J216" s="18"/>
      <c r="K216" s="18"/>
      <c r="L216" s="19">
        <f t="shared" si="2"/>
        <v>43424.51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56603.47+117025.54+11230.24</f>
        <v>184859.25</v>
      </c>
      <c r="G217" s="18">
        <f>25550.18+25626.79+162+206.4+9907.07+557.79+8809.14+994.88+2494.5</f>
        <v>74308.75</v>
      </c>
      <c r="H217" s="18">
        <f>321+43959+2340+5111.14+6107.61+4811.52+24765.94+1050+23792.5+8668.47+95+723.16</f>
        <v>121745.34000000001</v>
      </c>
      <c r="I217" s="18">
        <f>16517.53+1593.72+127469.56+46843.5</f>
        <v>192424.31</v>
      </c>
      <c r="J217" s="18"/>
      <c r="K217" s="18"/>
      <c r="L217" s="19">
        <f t="shared" si="2"/>
        <v>573337.65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163620+35722.23+6846.75+5667.62</f>
        <v>211856.6</v>
      </c>
      <c r="I218" s="18"/>
      <c r="J218" s="18"/>
      <c r="K218" s="18"/>
      <c r="L218" s="19">
        <f t="shared" si="2"/>
        <v>211856.6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3002031.8699999996</v>
      </c>
      <c r="G221" s="41">
        <f>SUM(G207:G220)</f>
        <v>1099382.53</v>
      </c>
      <c r="H221" s="41">
        <f>SUM(H207:H220)</f>
        <v>519799.06000000006</v>
      </c>
      <c r="I221" s="41">
        <f>SUM(I207:I220)</f>
        <v>261936.31999999998</v>
      </c>
      <c r="J221" s="41">
        <f>SUM(J207:J220)</f>
        <v>61098.819999999992</v>
      </c>
      <c r="K221" s="41">
        <f t="shared" si="3"/>
        <v>17151.86</v>
      </c>
      <c r="L221" s="41">
        <f t="shared" si="3"/>
        <v>4961400.459999999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2313.28+3668215.54+824870.41-1095.13</f>
        <v>4494304.0999999996</v>
      </c>
      <c r="I225" s="18"/>
      <c r="J225" s="18"/>
      <c r="K225" s="18"/>
      <c r="L225" s="19">
        <f>SUM(F225:K225)</f>
        <v>4494304.0999999996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278656.39+164649.71</f>
        <v>443306.1</v>
      </c>
      <c r="I226" s="18"/>
      <c r="J226" s="18"/>
      <c r="K226" s="18"/>
      <c r="L226" s="19">
        <f>SUM(F226:K226)</f>
        <v>443306.1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1568</v>
      </c>
      <c r="I227" s="18"/>
      <c r="J227" s="18"/>
      <c r="K227" s="18"/>
      <c r="L227" s="19">
        <f>SUM(F227:K227)</f>
        <v>1568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22681.200000000001</v>
      </c>
      <c r="G230" s="18">
        <f>7464.55</f>
        <v>7464.55</v>
      </c>
      <c r="H230" s="18"/>
      <c r="I230" s="18">
        <v>64.8</v>
      </c>
      <c r="J230" s="18"/>
      <c r="K230" s="18"/>
      <c r="L230" s="19">
        <f t="shared" ref="L230:L236" si="4">SUM(F230:K230)</f>
        <v>30210.55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88766.41+433.32</f>
        <v>89199.73000000001</v>
      </c>
      <c r="G232" s="18">
        <f>70.55+30489.29</f>
        <v>30559.84</v>
      </c>
      <c r="H232" s="18">
        <f>5986.11+9666.31+303.48</f>
        <v>15955.899999999998</v>
      </c>
      <c r="I232" s="18">
        <f>3313.59+1220.53</f>
        <v>4534.12</v>
      </c>
      <c r="J232" s="18">
        <v>3486.87</v>
      </c>
      <c r="K232" s="18">
        <v>955.7</v>
      </c>
      <c r="L232" s="19">
        <f t="shared" si="4"/>
        <v>144692.16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30532.5</v>
      </c>
      <c r="G234" s="18">
        <v>11232.54</v>
      </c>
      <c r="H234" s="18">
        <v>1387.54</v>
      </c>
      <c r="I234" s="18">
        <v>271.93</v>
      </c>
      <c r="J234" s="18"/>
      <c r="K234" s="18"/>
      <c r="L234" s="19">
        <f t="shared" si="4"/>
        <v>43424.51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138546.5+42315.44</f>
        <v>180861.94</v>
      </c>
      <c r="I236" s="18"/>
      <c r="J236" s="18"/>
      <c r="K236" s="18"/>
      <c r="L236" s="19">
        <f t="shared" si="4"/>
        <v>180861.94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142413.43</v>
      </c>
      <c r="G239" s="41">
        <f t="shared" si="5"/>
        <v>49256.93</v>
      </c>
      <c r="H239" s="41">
        <f t="shared" si="5"/>
        <v>5137383.58</v>
      </c>
      <c r="I239" s="41">
        <f t="shared" si="5"/>
        <v>4870.8500000000004</v>
      </c>
      <c r="J239" s="41">
        <f t="shared" si="5"/>
        <v>3486.87</v>
      </c>
      <c r="K239" s="41">
        <f t="shared" si="5"/>
        <v>955.7</v>
      </c>
      <c r="L239" s="41">
        <f t="shared" si="5"/>
        <v>5338367.3599999994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264515.14</v>
      </c>
      <c r="I247" s="18"/>
      <c r="J247" s="18"/>
      <c r="K247" s="18"/>
      <c r="L247" s="19">
        <f t="shared" si="6"/>
        <v>264515.14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264515.14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264515.14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6311984.1999999993</v>
      </c>
      <c r="G249" s="41">
        <f t="shared" si="8"/>
        <v>2266242.7000000002</v>
      </c>
      <c r="H249" s="41">
        <f t="shared" si="8"/>
        <v>6493438.4799999995</v>
      </c>
      <c r="I249" s="41">
        <f t="shared" si="8"/>
        <v>490105.22999999992</v>
      </c>
      <c r="J249" s="41">
        <f t="shared" si="8"/>
        <v>118487.09</v>
      </c>
      <c r="K249" s="41">
        <f t="shared" si="8"/>
        <v>28489.08</v>
      </c>
      <c r="L249" s="41">
        <f t="shared" si="8"/>
        <v>15708746.780000001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710000</v>
      </c>
      <c r="L252" s="19">
        <f>SUM(F252:K252)</f>
        <v>710000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420675</v>
      </c>
      <c r="L253" s="19">
        <f>SUM(F253:K253)</f>
        <v>420675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5898.13</v>
      </c>
      <c r="L255" s="19">
        <f>SUM(F255:K255)</f>
        <v>5898.13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1136573.1299999999</v>
      </c>
      <c r="L262" s="41">
        <f t="shared" si="9"/>
        <v>1136573.1299999999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6311984.1999999993</v>
      </c>
      <c r="G263" s="42">
        <f t="shared" si="11"/>
        <v>2266242.7000000002</v>
      </c>
      <c r="H263" s="42">
        <f t="shared" si="11"/>
        <v>6493438.4799999995</v>
      </c>
      <c r="I263" s="42">
        <f t="shared" si="11"/>
        <v>490105.22999999992</v>
      </c>
      <c r="J263" s="42">
        <f t="shared" si="11"/>
        <v>118487.09</v>
      </c>
      <c r="K263" s="42">
        <f t="shared" si="11"/>
        <v>1165062.21</v>
      </c>
      <c r="L263" s="42">
        <f t="shared" si="11"/>
        <v>16845319.91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6608.75+62966-1000+2790+5762.5+600+2100+2200</f>
        <v>82027.25</v>
      </c>
      <c r="G268" s="18">
        <f>66.85+440.32+505.62+22622.7+54+138.42+1148.25+151.81+4603.07+4816.89+209.04+213.5+304.57</f>
        <v>35275.040000000001</v>
      </c>
      <c r="H268" s="18">
        <f>122.46+3385+1000+7071.32+3023.11+94.82</f>
        <v>14696.71</v>
      </c>
      <c r="I268" s="18">
        <f>292.66+48.96+2900.57+2266.43+666.8+794.51+744.54</f>
        <v>7714.47</v>
      </c>
      <c r="J268" s="18">
        <f>5226.85</f>
        <v>5226.8500000000004</v>
      </c>
      <c r="K268" s="18"/>
      <c r="L268" s="19">
        <f>SUM(F268:K268)</f>
        <v>144940.32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51323.21+1041+60030+65744.23+12045.77</f>
        <v>190184.21</v>
      </c>
      <c r="G269" s="18">
        <f>5701.88+108+113.16+123.48+4830.26+4068.36+29486+1353.58+90+303.2+303.24+9592.27+10543.23</f>
        <v>66616.659999999989</v>
      </c>
      <c r="H269" s="18">
        <f>14073.5+4946.39+12000+193393.3+3922.85</f>
        <v>228336.04</v>
      </c>
      <c r="I269" s="18">
        <f>997.38+6975.72+5754.17</f>
        <v>13727.27</v>
      </c>
      <c r="J269" s="18">
        <f>6213.24+4177.23</f>
        <v>10390.469999999999</v>
      </c>
      <c r="K269" s="18">
        <v>14131</v>
      </c>
      <c r="L269" s="19">
        <f>SUM(F269:K269)</f>
        <v>523385.65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6069.2</v>
      </c>
      <c r="G271" s="18">
        <f>329.65+464.29</f>
        <v>793.94</v>
      </c>
      <c r="H271" s="18"/>
      <c r="I271" s="18"/>
      <c r="J271" s="18"/>
      <c r="K271" s="18"/>
      <c r="L271" s="19">
        <f>SUM(F271:K271)</f>
        <v>6863.1399999999994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30845.61</v>
      </c>
      <c r="G273" s="18">
        <f>2000+54+66.33+1443+2512.65+226</f>
        <v>6301.98</v>
      </c>
      <c r="H273" s="18"/>
      <c r="I273" s="18">
        <f>149.55+6563.85</f>
        <v>6713.4000000000005</v>
      </c>
      <c r="J273" s="18"/>
      <c r="K273" s="18"/>
      <c r="L273" s="19">
        <f t="shared" ref="L273:L279" si="12">SUM(F273:K273)</f>
        <v>43860.99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1250</v>
      </c>
      <c r="G274" s="18"/>
      <c r="H274" s="18">
        <f>9600+206+2891.66+433.4</f>
        <v>13131.06</v>
      </c>
      <c r="I274" s="18"/>
      <c r="J274" s="18"/>
      <c r="K274" s="18"/>
      <c r="L274" s="19">
        <f t="shared" si="12"/>
        <v>14381.06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310376.26999999996</v>
      </c>
      <c r="G282" s="42">
        <f t="shared" si="13"/>
        <v>108987.61999999998</v>
      </c>
      <c r="H282" s="42">
        <f t="shared" si="13"/>
        <v>256163.81</v>
      </c>
      <c r="I282" s="42">
        <f t="shared" si="13"/>
        <v>28155.140000000003</v>
      </c>
      <c r="J282" s="42">
        <f t="shared" si="13"/>
        <v>15617.32</v>
      </c>
      <c r="K282" s="42">
        <f t="shared" si="13"/>
        <v>14131</v>
      </c>
      <c r="L282" s="41">
        <f t="shared" si="13"/>
        <v>733431.16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310376.26999999996</v>
      </c>
      <c r="G330" s="41">
        <f t="shared" si="20"/>
        <v>108987.61999999998</v>
      </c>
      <c r="H330" s="41">
        <f t="shared" si="20"/>
        <v>256163.81</v>
      </c>
      <c r="I330" s="41">
        <f t="shared" si="20"/>
        <v>28155.140000000003</v>
      </c>
      <c r="J330" s="41">
        <f t="shared" si="20"/>
        <v>15617.32</v>
      </c>
      <c r="K330" s="41">
        <f t="shared" si="20"/>
        <v>14131</v>
      </c>
      <c r="L330" s="41">
        <f t="shared" si="20"/>
        <v>733431.16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252.96-304.57+3256.08+462.65+479.66+131.76+546.85+731.95</f>
        <v>5557.34</v>
      </c>
      <c r="L336" s="19">
        <f t="shared" ref="L336:L342" si="21">SUM(F336:K336)</f>
        <v>5557.34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5557.34</v>
      </c>
      <c r="L343" s="41">
        <f>SUM(L333:L342)</f>
        <v>5557.34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310376.26999999996</v>
      </c>
      <c r="G344" s="41">
        <f>G330</f>
        <v>108987.61999999998</v>
      </c>
      <c r="H344" s="41">
        <f>H330</f>
        <v>256163.81</v>
      </c>
      <c r="I344" s="41">
        <f>I330</f>
        <v>28155.140000000003</v>
      </c>
      <c r="J344" s="41">
        <f>J330</f>
        <v>15617.32</v>
      </c>
      <c r="K344" s="47">
        <f>K330+K343</f>
        <v>19688.34</v>
      </c>
      <c r="L344" s="41">
        <f>L330+L343</f>
        <v>738988.5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f>SUM(1995.45+303354)/2</f>
        <v>152674.72500000001</v>
      </c>
      <c r="I350" s="18">
        <f>SUM(53.2+4100.75+3606.33)/2</f>
        <v>3880.14</v>
      </c>
      <c r="J350" s="18"/>
      <c r="K350" s="18"/>
      <c r="L350" s="13">
        <f>SUM(F350:K350)</f>
        <v>156554.86500000002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f>SUM(1995.45+303354)/2</f>
        <v>152674.72500000001</v>
      </c>
      <c r="I351" s="18">
        <f>SUM(53.2+4100.75+3606.33)/2</f>
        <v>3880.14</v>
      </c>
      <c r="J351" s="18"/>
      <c r="K351" s="18"/>
      <c r="L351" s="19">
        <f>SUM(F351:K351)</f>
        <v>156554.86500000002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305349.45</v>
      </c>
      <c r="I354" s="47">
        <f t="shared" si="22"/>
        <v>7760.28</v>
      </c>
      <c r="J354" s="47">
        <f t="shared" si="22"/>
        <v>0</v>
      </c>
      <c r="K354" s="47">
        <f t="shared" si="22"/>
        <v>0</v>
      </c>
      <c r="L354" s="47">
        <f t="shared" si="22"/>
        <v>313109.73000000004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 t="s">
        <v>310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SUM(53.2+4100.75+3606.33)/2</f>
        <v>3880.14</v>
      </c>
      <c r="G360" s="63">
        <f>SUM(53.2+4100.75+3606.33)/2</f>
        <v>3880.14</v>
      </c>
      <c r="H360" s="63"/>
      <c r="I360" s="56">
        <f>SUM(F360:H360)</f>
        <v>7760.28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3880.14</v>
      </c>
      <c r="G361" s="47">
        <f>SUM(G359:G360)</f>
        <v>3880.14</v>
      </c>
      <c r="H361" s="47">
        <f>SUM(H359:H360)</f>
        <v>0</v>
      </c>
      <c r="I361" s="47">
        <f>SUM(I359:I360)</f>
        <v>7760.28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1922.81</v>
      </c>
      <c r="I380" s="18"/>
      <c r="J380" s="24" t="s">
        <v>312</v>
      </c>
      <c r="K380" s="24" t="s">
        <v>312</v>
      </c>
      <c r="L380" s="56">
        <f t="shared" si="25"/>
        <v>1922.81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1922.81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1922.81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949.11</v>
      </c>
      <c r="I389" s="18"/>
      <c r="J389" s="24" t="s">
        <v>312</v>
      </c>
      <c r="K389" s="24" t="s">
        <v>312</v>
      </c>
      <c r="L389" s="56">
        <f t="shared" si="26"/>
        <v>949.11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949.11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949.11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2871.92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2871.92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1094890.6200000001</v>
      </c>
      <c r="G432" s="18"/>
      <c r="H432" s="18"/>
      <c r="I432" s="56">
        <f t="shared" si="33"/>
        <v>1094890.6200000001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1094890.6200000001</v>
      </c>
      <c r="G438" s="13">
        <f>SUM(G431:G437)</f>
        <v>0</v>
      </c>
      <c r="H438" s="13">
        <f>SUM(H431:H437)</f>
        <v>0</v>
      </c>
      <c r="I438" s="13">
        <f>SUM(I431:I437)</f>
        <v>1094890.6200000001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1094890.6200000001</v>
      </c>
      <c r="G449" s="18"/>
      <c r="H449" s="18"/>
      <c r="I449" s="56">
        <f>SUM(F449:H449)</f>
        <v>1094890.6200000001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1094890.6200000001</v>
      </c>
      <c r="G450" s="83">
        <f>SUM(G446:G449)</f>
        <v>0</v>
      </c>
      <c r="H450" s="83">
        <f>SUM(H446:H449)</f>
        <v>0</v>
      </c>
      <c r="I450" s="83">
        <f>SUM(I446:I449)</f>
        <v>1094890.6200000001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1094890.6200000001</v>
      </c>
      <c r="G451" s="42">
        <f>G444+G450</f>
        <v>0</v>
      </c>
      <c r="H451" s="42">
        <f>H444+H450</f>
        <v>0</v>
      </c>
      <c r="I451" s="42">
        <f>I444+I450</f>
        <v>1094890.6200000001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957250.59</v>
      </c>
      <c r="G455" s="18">
        <v>0</v>
      </c>
      <c r="H455" s="18">
        <v>100727.95</v>
      </c>
      <c r="I455" s="18">
        <v>0</v>
      </c>
      <c r="J455" s="18">
        <v>1092018.7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16670857.27</v>
      </c>
      <c r="G458" s="18">
        <v>310940.44</v>
      </c>
      <c r="H458" s="18">
        <f>513661.03+264092.83</f>
        <v>777753.8600000001</v>
      </c>
      <c r="I458" s="18">
        <v>0</v>
      </c>
      <c r="J458" s="18">
        <f>2871.92</f>
        <v>2871.92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16670857.27</v>
      </c>
      <c r="G460" s="53">
        <f>SUM(G458:G459)</f>
        <v>310940.44</v>
      </c>
      <c r="H460" s="53">
        <f>SUM(H458:H459)</f>
        <v>777753.8600000001</v>
      </c>
      <c r="I460" s="53">
        <f>SUM(I458:I459)</f>
        <v>0</v>
      </c>
      <c r="J460" s="53">
        <f>SUM(J458:J459)</f>
        <v>2871.92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16845319.91</v>
      </c>
      <c r="G462" s="18">
        <v>313109.73</v>
      </c>
      <c r="H462" s="18">
        <v>738988.5</v>
      </c>
      <c r="I462" s="18">
        <v>0</v>
      </c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16845319.91</v>
      </c>
      <c r="G464" s="53">
        <f>SUM(G462:G463)</f>
        <v>313109.73</v>
      </c>
      <c r="H464" s="53">
        <f>SUM(H462:H463)</f>
        <v>738988.5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782787.94999999925</v>
      </c>
      <c r="G466" s="53">
        <f>(G455+G460)- G464</f>
        <v>-2169.289999999979</v>
      </c>
      <c r="H466" s="53">
        <f>(H455+H460)- H464</f>
        <v>139493.31000000006</v>
      </c>
      <c r="I466" s="53">
        <f>(I455+I460)- I464</f>
        <v>0</v>
      </c>
      <c r="J466" s="53">
        <f>(J455+J460)- J464</f>
        <v>1094890.6199999999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14144129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9230000</v>
      </c>
      <c r="G485" s="18"/>
      <c r="H485" s="18"/>
      <c r="I485" s="18"/>
      <c r="J485" s="18"/>
      <c r="K485" s="53">
        <f>SUM(F485:J485)</f>
        <v>9230000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710000</v>
      </c>
      <c r="G487" s="18"/>
      <c r="H487" s="18"/>
      <c r="I487" s="18"/>
      <c r="J487" s="18"/>
      <c r="K487" s="53">
        <f t="shared" si="34"/>
        <v>710000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8520000</v>
      </c>
      <c r="G488" s="205"/>
      <c r="H488" s="205"/>
      <c r="I488" s="205"/>
      <c r="J488" s="205"/>
      <c r="K488" s="206">
        <f t="shared" si="34"/>
        <v>8520000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27411132.5</v>
      </c>
      <c r="G489" s="18"/>
      <c r="H489" s="18"/>
      <c r="I489" s="18"/>
      <c r="J489" s="18"/>
      <c r="K489" s="53">
        <f t="shared" si="34"/>
        <v>27411132.5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35931132.5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35931132.5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710000</v>
      </c>
      <c r="G491" s="205"/>
      <c r="H491" s="205"/>
      <c r="I491" s="205"/>
      <c r="J491" s="205"/>
      <c r="K491" s="206">
        <f t="shared" si="34"/>
        <v>710000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392275</v>
      </c>
      <c r="G492" s="18"/>
      <c r="H492" s="18"/>
      <c r="I492" s="18"/>
      <c r="J492" s="18"/>
      <c r="K492" s="53">
        <f t="shared" si="34"/>
        <v>392275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1102275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1102275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238504.62+12849.61+21685.75+287592.95+83845.4+588+1799.64+855</f>
        <v>647720.97</v>
      </c>
      <c r="G511" s="18">
        <f>49591.96+2000+79509.28+24188.88+3489.4-186.4+828+180+1151.28+177.72+49.58+26380.67+7424.48+17864.13+219.73+2023.98+40662.39+1008.7+8379.14+1268.42+247.93</f>
        <v>266459.27</v>
      </c>
      <c r="H511" s="18">
        <f>68472.72+37500</f>
        <v>105972.72</v>
      </c>
      <c r="I511" s="18">
        <f>4080.57+2931.27</f>
        <v>7011.84</v>
      </c>
      <c r="J511" s="18">
        <f>1845.08+1054.08+1267.13</f>
        <v>4166.29</v>
      </c>
      <c r="K511" s="18"/>
      <c r="L511" s="88">
        <f>SUM(F511:K511)</f>
        <v>1031331.09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239623.24+12849.61+378120.64+389+1799.64+24675</f>
        <v>657457.13</v>
      </c>
      <c r="G512" s="18">
        <f>66221.14+84907.14+3289.68+900+1269.12+34697.62+49.58+17926.19+219.73+47593.55+1008.7+1489.38</f>
        <v>259571.83000000002</v>
      </c>
      <c r="H512" s="18">
        <f>68472.72+537.6</f>
        <v>69010.320000000007</v>
      </c>
      <c r="I512" s="18">
        <f>3742.89+2180.85</f>
        <v>5923.74</v>
      </c>
      <c r="J512" s="18">
        <f>2119.29+1104.89+1267.13</f>
        <v>4491.3100000000004</v>
      </c>
      <c r="K512" s="18"/>
      <c r="L512" s="88">
        <f>SUM(F512:K512)</f>
        <v>996454.33000000007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164649.71+278656.39+1568</f>
        <v>444874.1</v>
      </c>
      <c r="I513" s="18"/>
      <c r="J513" s="18"/>
      <c r="K513" s="18"/>
      <c r="L513" s="88">
        <f>SUM(F513:K513)</f>
        <v>444874.1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1305178.1000000001</v>
      </c>
      <c r="G514" s="108">
        <f t="shared" ref="G514:L514" si="35">SUM(G511:G513)</f>
        <v>526031.10000000009</v>
      </c>
      <c r="H514" s="108">
        <f t="shared" si="35"/>
        <v>619857.14</v>
      </c>
      <c r="I514" s="108">
        <f t="shared" si="35"/>
        <v>12935.58</v>
      </c>
      <c r="J514" s="108">
        <f t="shared" si="35"/>
        <v>8657.6</v>
      </c>
      <c r="K514" s="108">
        <f t="shared" si="35"/>
        <v>0</v>
      </c>
      <c r="L514" s="89">
        <f t="shared" si="35"/>
        <v>2472659.52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101994+50767+18270+875+22681.2+59074.5+35806.4+62904.3+18720.9</f>
        <v>371093.30000000005</v>
      </c>
      <c r="G516" s="18">
        <f>12076.54+856.7+72+224.28+7639.47+7955.37+245.91+10202.08+474.46+54+132+1753.67+3802.5+5654.22+144.42+7464.56+7649.26+434.95+90+183.3+5411.25+3279.92+4672.19+2739+207.8+19035.34+36+45.12+1714.75+1432.19+45.14</f>
        <v>105728.38999999998</v>
      </c>
      <c r="H516" s="18">
        <f>82.75+14263.57</f>
        <v>14346.32</v>
      </c>
      <c r="I516" s="18">
        <f>400+172.88+509.65+64.8+527.15+557.43</f>
        <v>2231.91</v>
      </c>
      <c r="J516" s="18">
        <f>500</f>
        <v>500</v>
      </c>
      <c r="K516" s="18">
        <f>4502.05</f>
        <v>4502.05</v>
      </c>
      <c r="L516" s="88">
        <f>SUM(F516:K516)</f>
        <v>498401.97000000003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95654.42+35652+405+22681.2+59074.5+18418.4+62904.3</f>
        <v>294789.82</v>
      </c>
      <c r="G517" s="18">
        <f>17793.14+948.72+72+197.76+7164.43+7317.61+230.62+4000+54+98.76+2670.44+3064.38+107.98+7464.56+7649.26+434.95+90+183.3+5411.25+1687.18+4672.19+1409.1+207.8+19035.34</f>
        <v>91964.77</v>
      </c>
      <c r="H517" s="18">
        <f>82.75+14263.57</f>
        <v>14346.32</v>
      </c>
      <c r="I517" s="18">
        <f>280.85+196.67+1085.17+64.8+527.15+557.43</f>
        <v>2712.0699999999997</v>
      </c>
      <c r="J517" s="18">
        <v>500</v>
      </c>
      <c r="K517" s="18">
        <f>4502.05</f>
        <v>4502.05</v>
      </c>
      <c r="L517" s="88">
        <f>SUM(F517:K517)</f>
        <v>408815.03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22681.200000000001</v>
      </c>
      <c r="G518" s="18">
        <f>7464.55</f>
        <v>7464.55</v>
      </c>
      <c r="H518" s="18"/>
      <c r="I518" s="18">
        <v>64.8</v>
      </c>
      <c r="J518" s="18"/>
      <c r="K518" s="18"/>
      <c r="L518" s="88">
        <f>SUM(F518:K518)</f>
        <v>30210.55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688564.32000000007</v>
      </c>
      <c r="G519" s="89">
        <f t="shared" ref="G519:L519" si="36">SUM(G516:G518)</f>
        <v>205157.70999999996</v>
      </c>
      <c r="H519" s="89">
        <f t="shared" si="36"/>
        <v>28692.639999999999</v>
      </c>
      <c r="I519" s="89">
        <f t="shared" si="36"/>
        <v>5008.78</v>
      </c>
      <c r="J519" s="89">
        <f t="shared" si="36"/>
        <v>1000</v>
      </c>
      <c r="K519" s="89">
        <f t="shared" si="36"/>
        <v>9004.1</v>
      </c>
      <c r="L519" s="89">
        <f t="shared" si="36"/>
        <v>937427.55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SUM(87958.44+33384)/3</f>
        <v>40447.480000000003</v>
      </c>
      <c r="G521" s="18">
        <f>SUM(14300.26+11500+2567.8+12000+9282.4+11114.97)/3</f>
        <v>20255.143333333333</v>
      </c>
      <c r="H521" s="18"/>
      <c r="I521" s="18"/>
      <c r="J521" s="18"/>
      <c r="K521" s="18"/>
      <c r="L521" s="88">
        <f>SUM(F521:K521)</f>
        <v>60702.623333333337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SUM(87958.44+33384)/3</f>
        <v>40447.480000000003</v>
      </c>
      <c r="G522" s="18">
        <f>SUM(14300.26+11500+2567.8+12000+9282.4+11114.97)/3</f>
        <v>20255.143333333333</v>
      </c>
      <c r="H522" s="18"/>
      <c r="I522" s="18"/>
      <c r="J522" s="18"/>
      <c r="K522" s="18"/>
      <c r="L522" s="88">
        <f>SUM(F522:K522)</f>
        <v>60702.623333333337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SUM(87958.44+33384)/3</f>
        <v>40447.480000000003</v>
      </c>
      <c r="G523" s="18">
        <f>SUM(14300.26+11500+2567.8+12000+9282.4+11114.97)/3</f>
        <v>20255.143333333333</v>
      </c>
      <c r="H523" s="18"/>
      <c r="I523" s="18"/>
      <c r="J523" s="18"/>
      <c r="K523" s="18"/>
      <c r="L523" s="88">
        <f>SUM(F523:K523)</f>
        <v>60702.623333333337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121342.44</v>
      </c>
      <c r="G524" s="89">
        <f t="shared" ref="G524:L524" si="37">SUM(G521:G523)</f>
        <v>60765.43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182107.87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9140.44/3</f>
        <v>3046.8133333333335</v>
      </c>
      <c r="I526" s="18"/>
      <c r="J526" s="18"/>
      <c r="K526" s="18"/>
      <c r="L526" s="88">
        <f>SUM(F526:K526)</f>
        <v>3046.8133333333335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9140.44/3</f>
        <v>3046.8133333333335</v>
      </c>
      <c r="I527" s="18"/>
      <c r="J527" s="18"/>
      <c r="K527" s="18"/>
      <c r="L527" s="88">
        <f>SUM(F527:K527)</f>
        <v>3046.8133333333335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9140.44/3</f>
        <v>3046.8133333333335</v>
      </c>
      <c r="I528" s="18"/>
      <c r="J528" s="18"/>
      <c r="K528" s="18"/>
      <c r="L528" s="88">
        <f>SUM(F528:K528)</f>
        <v>3046.8133333333335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9140.44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9140.44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36853.47+35398.23</f>
        <v>72251.700000000012</v>
      </c>
      <c r="I531" s="18"/>
      <c r="J531" s="18"/>
      <c r="K531" s="18"/>
      <c r="L531" s="88">
        <f>SUM(F531:K531)</f>
        <v>72251.700000000012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35722.230000000003</v>
      </c>
      <c r="I532" s="18"/>
      <c r="J532" s="18"/>
      <c r="K532" s="18"/>
      <c r="L532" s="88">
        <f>SUM(F532:K532)</f>
        <v>35722.230000000003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42315.44</v>
      </c>
      <c r="I533" s="18"/>
      <c r="J533" s="18"/>
      <c r="K533" s="18"/>
      <c r="L533" s="88">
        <f>SUM(F533:K533)</f>
        <v>42315.44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150289.37000000002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150289.37000000002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2115084.8600000003</v>
      </c>
      <c r="G535" s="89">
        <f t="shared" ref="G535:L535" si="40">G514+G519+G524+G529+G534</f>
        <v>791954.24000000011</v>
      </c>
      <c r="H535" s="89">
        <f t="shared" si="40"/>
        <v>807979.59</v>
      </c>
      <c r="I535" s="89">
        <f t="shared" si="40"/>
        <v>17944.36</v>
      </c>
      <c r="J535" s="89">
        <f t="shared" si="40"/>
        <v>9657.6</v>
      </c>
      <c r="K535" s="89">
        <f t="shared" si="40"/>
        <v>9004.1</v>
      </c>
      <c r="L535" s="89">
        <f t="shared" si="40"/>
        <v>3751624.7500000005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1031331.09</v>
      </c>
      <c r="G539" s="87">
        <f>L516</f>
        <v>498401.97000000003</v>
      </c>
      <c r="H539" s="87">
        <f>L521</f>
        <v>60702.623333333337</v>
      </c>
      <c r="I539" s="87">
        <f>L526</f>
        <v>3046.8133333333335</v>
      </c>
      <c r="J539" s="87">
        <f>L531</f>
        <v>72251.700000000012</v>
      </c>
      <c r="K539" s="87">
        <f>SUM(F539:J539)</f>
        <v>1665734.1966666665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996454.33000000007</v>
      </c>
      <c r="G540" s="87">
        <f>L517</f>
        <v>408815.03</v>
      </c>
      <c r="H540" s="87">
        <f>L522</f>
        <v>60702.623333333337</v>
      </c>
      <c r="I540" s="87">
        <f>L527</f>
        <v>3046.8133333333335</v>
      </c>
      <c r="J540" s="87">
        <f>L532</f>
        <v>35722.230000000003</v>
      </c>
      <c r="K540" s="87">
        <f>SUM(F540:J540)</f>
        <v>1504741.0266666666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444874.1</v>
      </c>
      <c r="G541" s="87">
        <f>L518</f>
        <v>30210.55</v>
      </c>
      <c r="H541" s="87">
        <f>L523</f>
        <v>60702.623333333337</v>
      </c>
      <c r="I541" s="87">
        <f>L528</f>
        <v>3046.8133333333335</v>
      </c>
      <c r="J541" s="87">
        <f>L533</f>
        <v>42315.44</v>
      </c>
      <c r="K541" s="87">
        <f>SUM(F541:J541)</f>
        <v>581149.52666666661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2472659.52</v>
      </c>
      <c r="G542" s="89">
        <f t="shared" si="41"/>
        <v>937427.55</v>
      </c>
      <c r="H542" s="89">
        <f t="shared" si="41"/>
        <v>182107.87</v>
      </c>
      <c r="I542" s="89">
        <f t="shared" si="41"/>
        <v>9140.44</v>
      </c>
      <c r="J542" s="89">
        <f t="shared" si="41"/>
        <v>150289.37000000002</v>
      </c>
      <c r="K542" s="89">
        <f t="shared" si="41"/>
        <v>3751624.75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3668245.54</v>
      </c>
      <c r="I565" s="87">
        <f>SUM(F565:H565)</f>
        <v>3668245.54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824870.41</v>
      </c>
      <c r="I567" s="87">
        <f t="shared" si="46"/>
        <v>824870.41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537.6</v>
      </c>
      <c r="H569" s="18">
        <v>164649.71</v>
      </c>
      <c r="I569" s="87">
        <f t="shared" si="46"/>
        <v>165187.31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37500</v>
      </c>
      <c r="G572" s="18"/>
      <c r="H572" s="18">
        <v>278656.39</v>
      </c>
      <c r="I572" s="87">
        <f t="shared" si="46"/>
        <v>316156.39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163620</f>
        <v>163620</v>
      </c>
      <c r="I581" s="18">
        <v>163620</v>
      </c>
      <c r="J581" s="18">
        <v>138546.5</v>
      </c>
      <c r="K581" s="104">
        <f t="shared" ref="K581:K587" si="47">SUM(H581:J581)</f>
        <v>465786.5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36853.47+35398.23</f>
        <v>72251.700000000012</v>
      </c>
      <c r="I582" s="18">
        <v>35722.230000000003</v>
      </c>
      <c r="J582" s="18">
        <v>42315.44</v>
      </c>
      <c r="K582" s="104">
        <f t="shared" si="47"/>
        <v>150289.37000000002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5667.62</v>
      </c>
      <c r="J584" s="18"/>
      <c r="K584" s="104">
        <f t="shared" si="47"/>
        <v>5667.62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2746.25</v>
      </c>
      <c r="I585" s="18">
        <v>6846.75</v>
      </c>
      <c r="J585" s="18"/>
      <c r="K585" s="104">
        <f t="shared" si="47"/>
        <v>9593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238617.95</v>
      </c>
      <c r="I588" s="108">
        <f>SUM(I581:I587)</f>
        <v>211856.6</v>
      </c>
      <c r="J588" s="108">
        <f>SUM(J581:J587)</f>
        <v>180861.94</v>
      </c>
      <c r="K588" s="108">
        <f>SUM(K581:K587)</f>
        <v>631336.49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175.48+3000+1845.08+1054.08+1267.13+500+988.36+1476.2+40108.2+3486.86+5226.85+6213.24+4177.23-2119.29</f>
        <v>67399.42</v>
      </c>
      <c r="I594" s="18">
        <f>79.21+4264.76+2119.29+1104.89+1267.13+500+766.8+1180.97+40108.2+3486.87+8340</f>
        <v>63218.12</v>
      </c>
      <c r="J594" s="18">
        <v>3486.87</v>
      </c>
      <c r="K594" s="104">
        <f>SUM(H594:J594)</f>
        <v>134104.41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67399.42</v>
      </c>
      <c r="I595" s="108">
        <f>SUM(I592:I594)</f>
        <v>63218.12</v>
      </c>
      <c r="J595" s="108">
        <f>SUM(J592:J594)</f>
        <v>3486.87</v>
      </c>
      <c r="K595" s="108">
        <f>SUM(K592:K594)</f>
        <v>134104.41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6069.2+12849.61</f>
        <v>18918.810000000001</v>
      </c>
      <c r="G601" s="18">
        <f>329.65+464.29+491.5</f>
        <v>1285.44</v>
      </c>
      <c r="H601" s="18"/>
      <c r="I601" s="18"/>
      <c r="J601" s="18"/>
      <c r="K601" s="18"/>
      <c r="L601" s="88">
        <f>SUM(F601:K601)</f>
        <v>20204.25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12849.61</v>
      </c>
      <c r="G602" s="18">
        <v>491.5</v>
      </c>
      <c r="H602" s="18"/>
      <c r="I602" s="18"/>
      <c r="J602" s="18"/>
      <c r="K602" s="18"/>
      <c r="L602" s="88">
        <f>SUM(F602:K602)</f>
        <v>13341.11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31768.420000000002</v>
      </c>
      <c r="G604" s="108">
        <f t="shared" si="48"/>
        <v>1776.94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33545.360000000001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1004423.1699999999</v>
      </c>
      <c r="H607" s="109">
        <f>SUM(F44)</f>
        <v>1004423.1699999999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-2169.29</v>
      </c>
      <c r="H608" s="109">
        <f>SUM(G44)</f>
        <v>-2169.29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139493.31</v>
      </c>
      <c r="H609" s="109">
        <f>SUM(H44)</f>
        <v>139493.31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1094890.6200000001</v>
      </c>
      <c r="H611" s="109">
        <f>SUM(J44)</f>
        <v>1094890.6200000001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782787.95</v>
      </c>
      <c r="H612" s="109">
        <f>F466</f>
        <v>782787.94999999925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-2169.29</v>
      </c>
      <c r="H613" s="109">
        <f>G466</f>
        <v>-2169.289999999979</v>
      </c>
      <c r="I613" s="121" t="s">
        <v>108</v>
      </c>
      <c r="J613" s="109">
        <f t="shared" si="49"/>
        <v>-2.0918378140777349E-11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139493.31</v>
      </c>
      <c r="H614" s="109">
        <f>H466</f>
        <v>139493.31000000006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1094890.6200000001</v>
      </c>
      <c r="H616" s="109">
        <f>J466</f>
        <v>1094890.6199999999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16670857.269999998</v>
      </c>
      <c r="H617" s="104">
        <f>SUM(F458)</f>
        <v>16670857.27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310940.44</v>
      </c>
      <c r="H618" s="104">
        <f>SUM(G458)</f>
        <v>310940.44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777753.8600000001</v>
      </c>
      <c r="H619" s="104">
        <f>SUM(H458)</f>
        <v>777753.8600000001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2871.92</v>
      </c>
      <c r="H621" s="104">
        <f>SUM(J458)</f>
        <v>2871.92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16845319.91</v>
      </c>
      <c r="H622" s="104">
        <f>SUM(F462)</f>
        <v>16845319.91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738988.5</v>
      </c>
      <c r="H623" s="104">
        <f>SUM(H462)</f>
        <v>738988.5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7760.28</v>
      </c>
      <c r="H624" s="104">
        <f>I361</f>
        <v>7760.28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313109.73000000004</v>
      </c>
      <c r="H625" s="104">
        <f>SUM(G462)</f>
        <v>313109.73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2871.92</v>
      </c>
      <c r="H627" s="164">
        <f>SUM(J458)</f>
        <v>2871.92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1094890.6200000001</v>
      </c>
      <c r="H629" s="104">
        <f>SUM(F451)</f>
        <v>1094890.6200000001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1094890.6200000001</v>
      </c>
      <c r="H632" s="104">
        <f>SUM(I451)</f>
        <v>1094890.6200000001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2871.92</v>
      </c>
      <c r="H634" s="104">
        <f>H400</f>
        <v>2871.92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2871.92</v>
      </c>
      <c r="H636" s="104">
        <f>L400</f>
        <v>2871.92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631336.49</v>
      </c>
      <c r="H637" s="104">
        <f>L200+L218+L236</f>
        <v>631336.49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134104.41</v>
      </c>
      <c r="H638" s="104">
        <f>(J249+J330)-(J247+J328)</f>
        <v>134104.41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238617.95</v>
      </c>
      <c r="H639" s="104">
        <f>H588</f>
        <v>238617.95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211856.6</v>
      </c>
      <c r="H640" s="104">
        <f>I588</f>
        <v>211856.6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180861.94</v>
      </c>
      <c r="H641" s="104">
        <f>J588</f>
        <v>180861.94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5898.13</v>
      </c>
      <c r="H642" s="104">
        <f>K255+K337</f>
        <v>5898.13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6034449.8450000016</v>
      </c>
      <c r="G650" s="19">
        <f>(L221+L301+L351)</f>
        <v>5117955.3249999993</v>
      </c>
      <c r="H650" s="19">
        <f>(L239+L320+L352)</f>
        <v>5338367.3599999994</v>
      </c>
      <c r="I650" s="19">
        <f>SUM(F650:H650)</f>
        <v>16490772.530000001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104478.63499999999</v>
      </c>
      <c r="G651" s="19">
        <f>(L351/IF(SUM(L350:L352)=0,1,SUM(L350:L352))*(SUM(G89:G102)))</f>
        <v>104478.63499999999</v>
      </c>
      <c r="H651" s="19">
        <f>(L352/IF(SUM(L350:L352)=0,1,SUM(L350:L352))*(SUM(G89:G102)))</f>
        <v>0</v>
      </c>
      <c r="I651" s="19">
        <f>SUM(F651:H651)</f>
        <v>208957.27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238617.95</v>
      </c>
      <c r="G652" s="19">
        <f>(L218+L298)-(J218+J298)</f>
        <v>211856.6</v>
      </c>
      <c r="H652" s="19">
        <f>(L236+L317)-(J236+J317)</f>
        <v>180861.94</v>
      </c>
      <c r="I652" s="19">
        <f>SUM(F652:H652)</f>
        <v>631336.49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125103.67</v>
      </c>
      <c r="G653" s="200">
        <f>SUM(G565:G577)+SUM(I592:I594)+L602</f>
        <v>77096.83</v>
      </c>
      <c r="H653" s="200">
        <f>SUM(H565:H577)+SUM(J592:J594)+L603</f>
        <v>4939908.92</v>
      </c>
      <c r="I653" s="19">
        <f>SUM(F653:H653)</f>
        <v>5142109.42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5566249.5900000017</v>
      </c>
      <c r="G654" s="19">
        <f>G650-SUM(G651:G653)</f>
        <v>4724523.2599999988</v>
      </c>
      <c r="H654" s="19">
        <f>H650-SUM(H651:H653)</f>
        <v>217596.49999999907</v>
      </c>
      <c r="I654" s="19">
        <f>I650-SUM(I651:I653)</f>
        <v>10508369.350000001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476.75</v>
      </c>
      <c r="G655" s="249">
        <v>416.35</v>
      </c>
      <c r="H655" s="249"/>
      <c r="I655" s="19">
        <f>SUM(F655:H655)</f>
        <v>893.1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11675.41</v>
      </c>
      <c r="G657" s="19">
        <f>ROUND(G654/G655,2)</f>
        <v>11347.48</v>
      </c>
      <c r="H657" s="19" t="e">
        <f>ROUND(H654/H655,2)</f>
        <v>#DIV/0!</v>
      </c>
      <c r="I657" s="19">
        <f>ROUND(I654/I655,2)</f>
        <v>11766.17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-217596.5</v>
      </c>
      <c r="I659" s="19">
        <f>SUM(F659:H659)</f>
        <v>-217596.5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11675.41</v>
      </c>
      <c r="G662" s="19">
        <f>ROUND((G654+G659)/(G655+G660),2)</f>
        <v>11347.48</v>
      </c>
      <c r="H662" s="19" t="e">
        <f>ROUND((H654+H659)/(H655+H660),2)</f>
        <v>#DIV/0!</v>
      </c>
      <c r="I662" s="19">
        <f>ROUND((I654+I659)/(I655+I660),2)</f>
        <v>11522.53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9184-1E20-4B90-917B-39B1ED68CE60}">
  <sheetPr>
    <tabColor indexed="20"/>
  </sheetPr>
  <dimension ref="A1:C52"/>
  <sheetViews>
    <sheetView topLeftCell="A17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Barrington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3042319.0200000005</v>
      </c>
      <c r="C9" s="230">
        <f>'DOE25'!G189+'DOE25'!G207+'DOE25'!G225+'DOE25'!G268+'DOE25'!G287+'DOE25'!G306</f>
        <v>1078035.5900000001</v>
      </c>
    </row>
    <row r="10" spans="1:3" x14ac:dyDescent="0.2">
      <c r="A10" t="s">
        <v>813</v>
      </c>
      <c r="B10" s="241">
        <f>8838.18+1311097.61+1268396.95+62966+2790+5762.5+600+2100+2200</f>
        <v>2664751.2400000002</v>
      </c>
      <c r="C10" s="241">
        <f>253150.41+260557.18+13479.43+15116.33+1152+1044+2904.07+2690.23+98322.95+94853.51+115832.21+3547.39+22622.7+54+138.42+1148.25+151.81+4603.07+4816.89+209.04+213.5+108339.03</f>
        <v>1004946.4199999999</v>
      </c>
    </row>
    <row r="11" spans="1:3" x14ac:dyDescent="0.2">
      <c r="A11" t="s">
        <v>814</v>
      </c>
      <c r="B11" s="241">
        <f>45453.92+15272</f>
        <v>60725.919999999998</v>
      </c>
      <c r="C11" s="241">
        <f>10297.99+2539.2+4441.07+301.93+3277.36</f>
        <v>20857.55</v>
      </c>
    </row>
    <row r="12" spans="1:3" x14ac:dyDescent="0.2">
      <c r="A12" t="s">
        <v>815</v>
      </c>
      <c r="B12" s="241">
        <f>120780+16882.75+97903.08+75667.28+6608.75-1000</f>
        <v>316841.86</v>
      </c>
      <c r="C12" s="241">
        <f>26471.8+2226.96+5443.06+6379.12+10697.89+66.85+440.32+505.62</f>
        <v>52231.62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3042319.02</v>
      </c>
      <c r="C13" s="232">
        <f>SUM(C10:C12)</f>
        <v>1078035.5900000001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1495362.31</v>
      </c>
      <c r="C18" s="230">
        <f>'DOE25'!G190+'DOE25'!G208+'DOE25'!G226+'DOE25'!G269+'DOE25'!G288+'DOE25'!G307</f>
        <v>592647.76000000013</v>
      </c>
    </row>
    <row r="19" spans="1:3" x14ac:dyDescent="0.2">
      <c r="A19" t="s">
        <v>813</v>
      </c>
      <c r="B19" s="241">
        <f>238504.62+239623.24+25699.21+21685.75+60030+65744.23+12045.77+24675</f>
        <v>688007.82000000007</v>
      </c>
      <c r="C19" s="241">
        <f>49591.96+66221.14+2000+79509.28+84907.14+24188.88+3489.4+3289.68-186.4+828+900+180+1151.28+1269.12+177.72+29486+1353.58+90+303.2+303.24+9592.27+10543.23+1008.7</f>
        <v>370197.42000000004</v>
      </c>
    </row>
    <row r="20" spans="1:3" x14ac:dyDescent="0.2">
      <c r="A20" t="s">
        <v>814</v>
      </c>
      <c r="B20" s="241">
        <f>287592.95+378120.64+83845.4+51323.22</f>
        <v>800882.21000000008</v>
      </c>
      <c r="C20" s="241">
        <f>34697.62+99.16+26380.67+7424.48+17864.13+17926.19+439.46+2023.98+40662.39+47593.55+1008.7+8379.14+1268.42+5701.88+108+113.16+123.48+4830.26+4068.36</f>
        <v>220713.03000000006</v>
      </c>
    </row>
    <row r="21" spans="1:3" x14ac:dyDescent="0.2">
      <c r="A21" t="s">
        <v>815</v>
      </c>
      <c r="B21" s="241">
        <f>588+389+3599.28+855+1041</f>
        <v>6472.2800000000007</v>
      </c>
      <c r="C21" s="241">
        <f>1489.38+247.93</f>
        <v>1737.3100000000002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1495362.3100000003</v>
      </c>
      <c r="C22" s="232">
        <f>SUM(C19:C21)</f>
        <v>592647.76000000013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'DOE25'!F191+'DOE25'!F210+'DOE25'!F227+'DOE25'!F270+'DOE25'!F289+'DOE25'!F308</f>
        <v>33175</v>
      </c>
      <c r="C27" s="235">
        <f>'DOE25'!G191+'DOE25'!G210+'DOE25'!G227+'DOE25'!G270+'DOE25'!G289+'DOE25'!G308</f>
        <v>4595.5200000000004</v>
      </c>
    </row>
    <row r="28" spans="1:3" x14ac:dyDescent="0.2">
      <c r="A28" t="s">
        <v>813</v>
      </c>
      <c r="B28" s="241">
        <v>0</v>
      </c>
      <c r="C28" s="241">
        <v>0</v>
      </c>
    </row>
    <row r="29" spans="1:3" x14ac:dyDescent="0.2">
      <c r="A29" t="s">
        <v>814</v>
      </c>
      <c r="B29" s="241">
        <v>0</v>
      </c>
      <c r="C29" s="241">
        <v>0</v>
      </c>
    </row>
    <row r="30" spans="1:3" x14ac:dyDescent="0.2">
      <c r="A30" t="s">
        <v>815</v>
      </c>
      <c r="B30" s="241">
        <f>24475+8700</f>
        <v>33175</v>
      </c>
      <c r="C30" s="241">
        <v>4595.5200000000004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33175</v>
      </c>
      <c r="C31" s="232">
        <f>SUM(C28:C30)</f>
        <v>4595.5200000000004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39244.199999999997</v>
      </c>
      <c r="C36" s="236">
        <f>'DOE25'!G192+'DOE25'!G210+'DOE25'!G228+'DOE25'!G271+'DOE25'!G290+'DOE25'!G309</f>
        <v>5389.4600000000009</v>
      </c>
    </row>
    <row r="37" spans="1:3" x14ac:dyDescent="0.2">
      <c r="A37" t="s">
        <v>813</v>
      </c>
      <c r="B37" s="241">
        <v>39244.199999999997</v>
      </c>
      <c r="C37" s="241">
        <v>5389.46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39244.199999999997</v>
      </c>
      <c r="C40" s="232">
        <f>SUM(C37:C39)</f>
        <v>5389.46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C726-A6BC-46A6-A833-CF8B36918BED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Barrington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11168348.359999999</v>
      </c>
      <c r="D5" s="20">
        <f>SUM('DOE25'!L189:L192)+SUM('DOE25'!L207:L210)+SUM('DOE25'!L225:L228)-F5-G5</f>
        <v>11148366.16</v>
      </c>
      <c r="E5" s="244"/>
      <c r="F5" s="256">
        <f>SUM('DOE25'!J189:J192)+SUM('DOE25'!J207:J210)+SUM('DOE25'!J225:J228)</f>
        <v>14057.760000000002</v>
      </c>
      <c r="G5" s="53">
        <f>SUM('DOE25'!K189:K192)+SUM('DOE25'!K207:K210)+SUM('DOE25'!K225:K228)</f>
        <v>5924.44</v>
      </c>
      <c r="H5" s="260"/>
    </row>
    <row r="6" spans="1:9" x14ac:dyDescent="0.2">
      <c r="A6" s="32">
        <v>2100</v>
      </c>
      <c r="B6" t="s">
        <v>835</v>
      </c>
      <c r="C6" s="246">
        <f t="shared" si="0"/>
        <v>937427.55</v>
      </c>
      <c r="D6" s="20">
        <f>'DOE25'!L194+'DOE25'!L212+'DOE25'!L230-F6-G6</f>
        <v>927423.45000000007</v>
      </c>
      <c r="E6" s="244"/>
      <c r="F6" s="256">
        <f>'DOE25'!J194+'DOE25'!J212+'DOE25'!J230</f>
        <v>1000</v>
      </c>
      <c r="G6" s="53">
        <f>'DOE25'!K194+'DOE25'!K212+'DOE25'!K230</f>
        <v>9004.1</v>
      </c>
      <c r="H6" s="260"/>
    </row>
    <row r="7" spans="1:9" x14ac:dyDescent="0.2">
      <c r="A7" s="32">
        <v>2200</v>
      </c>
      <c r="B7" t="s">
        <v>868</v>
      </c>
      <c r="C7" s="246">
        <f t="shared" si="0"/>
        <v>530117.89999999991</v>
      </c>
      <c r="D7" s="20">
        <f>'DOE25'!L195+'DOE25'!L213+'DOE25'!L231-F7-G7</f>
        <v>442999.18999999994</v>
      </c>
      <c r="E7" s="244"/>
      <c r="F7" s="256">
        <f>'DOE25'!J195+'DOE25'!J213+'DOE25'!J231</f>
        <v>84628.709999999992</v>
      </c>
      <c r="G7" s="53">
        <f>'DOE25'!K195+'DOE25'!K213+'DOE25'!K231</f>
        <v>2490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259708.96</v>
      </c>
      <c r="D8" s="244"/>
      <c r="E8" s="20">
        <f>'DOE25'!L196+'DOE25'!L214+'DOE25'!L232-F8-G8-D9-D11</f>
        <v>239754.06</v>
      </c>
      <c r="F8" s="256">
        <f>'DOE25'!J196+'DOE25'!J214+'DOE25'!J232</f>
        <v>10460.619999999999</v>
      </c>
      <c r="G8" s="53">
        <f>'DOE25'!K196+'DOE25'!K214+'DOE25'!K232</f>
        <v>9494.2800000000007</v>
      </c>
      <c r="H8" s="260"/>
    </row>
    <row r="9" spans="1:9" x14ac:dyDescent="0.2">
      <c r="A9" s="32">
        <v>2310</v>
      </c>
      <c r="B9" t="s">
        <v>852</v>
      </c>
      <c r="C9" s="246">
        <f t="shared" si="0"/>
        <v>29410.74</v>
      </c>
      <c r="D9" s="245">
        <v>29410.74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6100.8</v>
      </c>
      <c r="D10" s="244"/>
      <c r="E10" s="245">
        <v>6100.8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144956.79999999999</v>
      </c>
      <c r="D11" s="245">
        <f>108120+36836.8</f>
        <v>144956.79999999999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594739.78999999992</v>
      </c>
      <c r="D12" s="20">
        <f>'DOE25'!L197+'DOE25'!L215+'DOE25'!L233-F12-G12</f>
        <v>584823.52999999991</v>
      </c>
      <c r="E12" s="244"/>
      <c r="F12" s="256">
        <f>'DOE25'!J197+'DOE25'!J215+'DOE25'!J233</f>
        <v>8340</v>
      </c>
      <c r="G12" s="53">
        <f>'DOE25'!K197+'DOE25'!K215+'DOE25'!K233</f>
        <v>1576.26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130273.53</v>
      </c>
      <c r="D13" s="244"/>
      <c r="E13" s="20">
        <f>'DOE25'!L198+'DOE25'!L216+'DOE25'!L234-F13-G13</f>
        <v>130273.53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1017911.52</v>
      </c>
      <c r="D14" s="20">
        <f>'DOE25'!L199+'DOE25'!L217+'DOE25'!L235-F14-G14</f>
        <v>1017911.52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631336.49</v>
      </c>
      <c r="D15" s="20">
        <f>'DOE25'!L200+'DOE25'!L218+'DOE25'!L236-F15-G15</f>
        <v>631336.49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264515.14</v>
      </c>
      <c r="D22" s="244"/>
      <c r="E22" s="244"/>
      <c r="F22" s="256">
        <f>'DOE25'!L247+'DOE25'!L328</f>
        <v>264515.14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1130675</v>
      </c>
      <c r="D25" s="244"/>
      <c r="E25" s="244"/>
      <c r="F25" s="259"/>
      <c r="G25" s="257"/>
      <c r="H25" s="258">
        <f>'DOE25'!L252+'DOE25'!L253+'DOE25'!L333+'DOE25'!L334</f>
        <v>1130675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313109.73000000004</v>
      </c>
      <c r="D29" s="20">
        <f>'DOE25'!L350+'DOE25'!L351+'DOE25'!L352-'DOE25'!I359-F29-G29</f>
        <v>313109.73000000004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733431.16</v>
      </c>
      <c r="D31" s="20">
        <f>'DOE25'!L282+'DOE25'!L301+'DOE25'!L320+'DOE25'!L325+'DOE25'!L326+'DOE25'!L327-F31-G31</f>
        <v>703682.84000000008</v>
      </c>
      <c r="E31" s="244"/>
      <c r="F31" s="256">
        <f>'DOE25'!J282+'DOE25'!J301+'DOE25'!J320+'DOE25'!J325+'DOE25'!J326+'DOE25'!J327</f>
        <v>15617.32</v>
      </c>
      <c r="G31" s="53">
        <f>'DOE25'!K282+'DOE25'!K301+'DOE25'!K320+'DOE25'!K325+'DOE25'!K326+'DOE25'!K327</f>
        <v>14131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15944020.449999999</v>
      </c>
      <c r="E33" s="247">
        <f>SUM(E5:E31)</f>
        <v>376128.39</v>
      </c>
      <c r="F33" s="247">
        <f>SUM(F5:F31)</f>
        <v>398619.55</v>
      </c>
      <c r="G33" s="247">
        <f>SUM(G5:G31)</f>
        <v>42620.08</v>
      </c>
      <c r="H33" s="247">
        <f>SUM(H5:H31)</f>
        <v>1130675</v>
      </c>
    </row>
    <row r="35" spans="2:8" ht="12" thickBot="1" x14ac:dyDescent="0.25">
      <c r="B35" s="254" t="s">
        <v>881</v>
      </c>
      <c r="D35" s="255">
        <f>E33</f>
        <v>376128.39</v>
      </c>
      <c r="E35" s="250"/>
    </row>
    <row r="36" spans="2:8" ht="12" thickTop="1" x14ac:dyDescent="0.2">
      <c r="B36" t="s">
        <v>849</v>
      </c>
      <c r="D36" s="20">
        <f>D33</f>
        <v>15944020.449999999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542F-1FAF-49C0-876E-665DB76DF52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Barrington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862239.59</v>
      </c>
      <c r="D9" s="95">
        <f>'DOE25'!G9</f>
        <v>-2169.29</v>
      </c>
      <c r="E9" s="95">
        <f>'DOE25'!H9</f>
        <v>139493.31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6951.74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1094890.6200000001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119963.86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15116.97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151.01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1004423.1699999999</v>
      </c>
      <c r="D19" s="41">
        <f>SUM(D9:D18)</f>
        <v>-2169.29</v>
      </c>
      <c r="E19" s="41">
        <f>SUM(E9:E18)</f>
        <v>139493.31</v>
      </c>
      <c r="F19" s="41">
        <f>SUM(F9:F18)</f>
        <v>0</v>
      </c>
      <c r="G19" s="41">
        <f>SUM(G9:G18)</f>
        <v>1094890.6200000001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35439.800000000003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178473.18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7722.24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221635.21999999997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192778.59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-2169.29</v>
      </c>
      <c r="E40" s="95">
        <f>'DOE25'!H41</f>
        <v>139493.31</v>
      </c>
      <c r="F40" s="95">
        <f>'DOE25'!I41</f>
        <v>0</v>
      </c>
      <c r="G40" s="95">
        <f>'DOE25'!J41</f>
        <v>1094890.6200000001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590009.36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782787.95</v>
      </c>
      <c r="D42" s="41">
        <f>SUM(D34:D41)</f>
        <v>-2169.29</v>
      </c>
      <c r="E42" s="41">
        <f>SUM(E34:E41)</f>
        <v>139493.31</v>
      </c>
      <c r="F42" s="41">
        <f>SUM(F34:F41)</f>
        <v>0</v>
      </c>
      <c r="G42" s="41">
        <f>SUM(G34:G41)</f>
        <v>1094890.6200000001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1004423.1699999999</v>
      </c>
      <c r="D43" s="41">
        <f>D42+D32</f>
        <v>-2169.29</v>
      </c>
      <c r="E43" s="41">
        <f>E42+E32</f>
        <v>139493.31</v>
      </c>
      <c r="F43" s="41">
        <f>F42+F32</f>
        <v>0</v>
      </c>
      <c r="G43" s="41">
        <f>G42+G32</f>
        <v>1094890.6200000001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9740052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145960.93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1513.69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2871.92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208957.27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135376.42000000001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282851.04000000004</v>
      </c>
      <c r="D54" s="130">
        <f>SUM(D49:D53)</f>
        <v>208957.27</v>
      </c>
      <c r="E54" s="130">
        <f>SUM(E49:E53)</f>
        <v>0</v>
      </c>
      <c r="F54" s="130">
        <f>SUM(F49:F53)</f>
        <v>0</v>
      </c>
      <c r="G54" s="130">
        <f>SUM(G49:G53)</f>
        <v>2871.92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10022903.039999999</v>
      </c>
      <c r="D55" s="22">
        <f>D48+D54</f>
        <v>208957.27</v>
      </c>
      <c r="E55" s="22">
        <f>E48+E54</f>
        <v>0</v>
      </c>
      <c r="F55" s="22">
        <f>F48+F54</f>
        <v>0</v>
      </c>
      <c r="G55" s="22">
        <f>G48+G54</f>
        <v>2871.92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2836892.53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2006220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1088427.47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29110.22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5960650.2199999988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232129.28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189400.39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3481.39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421529.67000000004</v>
      </c>
      <c r="D70" s="130">
        <f>SUM(D64:D69)</f>
        <v>3481.39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6382179.8899999987</v>
      </c>
      <c r="D73" s="130">
        <f>SUM(D71:D72)+D70+D62</f>
        <v>3481.39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265774.34000000003</v>
      </c>
      <c r="D80" s="95">
        <f>SUM('DOE25'!G145:G153)</f>
        <v>92603.65</v>
      </c>
      <c r="E80" s="95">
        <f>SUM('DOE25'!H145:H153)</f>
        <v>777753.8600000001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265774.34000000003</v>
      </c>
      <c r="D83" s="131">
        <f>SUM(D77:D82)</f>
        <v>92603.65</v>
      </c>
      <c r="E83" s="131">
        <f>SUM(E77:E82)</f>
        <v>777753.8600000001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5898.13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5898.13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16670857.269999998</v>
      </c>
      <c r="D96" s="86">
        <f>D55+D73+D83+D95</f>
        <v>310940.44</v>
      </c>
      <c r="E96" s="86">
        <f>E55+E73+E83+E95</f>
        <v>777753.8600000001</v>
      </c>
      <c r="F96" s="86">
        <f>F55+F73+F83+F95</f>
        <v>0</v>
      </c>
      <c r="G96" s="86">
        <f>G55+G73+G95</f>
        <v>2871.92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8650292.4699999988</v>
      </c>
      <c r="D101" s="24" t="s">
        <v>312</v>
      </c>
      <c r="E101" s="95">
        <f>('DOE25'!L268)+('DOE25'!L287)+('DOE25'!L306)</f>
        <v>144940.32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2471091.52</v>
      </c>
      <c r="D102" s="24" t="s">
        <v>312</v>
      </c>
      <c r="E102" s="95">
        <f>('DOE25'!L269)+('DOE25'!L288)+('DOE25'!L307)</f>
        <v>523385.65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1568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45396.37</v>
      </c>
      <c r="D104" s="24" t="s">
        <v>312</v>
      </c>
      <c r="E104" s="95">
        <f>+('DOE25'!L271)+('DOE25'!L290)+('DOE25'!L309)</f>
        <v>6863.1399999999994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11168348.359999998</v>
      </c>
      <c r="D107" s="86">
        <f>SUM(D101:D106)</f>
        <v>0</v>
      </c>
      <c r="E107" s="86">
        <f>SUM(E101:E106)</f>
        <v>675189.11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937427.55</v>
      </c>
      <c r="D110" s="24" t="s">
        <v>312</v>
      </c>
      <c r="E110" s="95">
        <f>+('DOE25'!L273)+('DOE25'!L292)+('DOE25'!L311)</f>
        <v>43860.99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530117.89999999991</v>
      </c>
      <c r="D111" s="24" t="s">
        <v>312</v>
      </c>
      <c r="E111" s="95">
        <f>+('DOE25'!L274)+('DOE25'!L293)+('DOE25'!L312)</f>
        <v>14381.06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434076.5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594739.78999999992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130273.53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1017911.52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631336.49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313109.73000000004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4275883.2799999993</v>
      </c>
      <c r="D120" s="86">
        <f>SUM(D110:D119)</f>
        <v>313109.73000000004</v>
      </c>
      <c r="E120" s="86">
        <f>SUM(E110:E119)</f>
        <v>58242.049999999996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264515.14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710000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420675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5557.34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5898.13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1922.81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949.11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-2871.92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1401088.2700000003</v>
      </c>
      <c r="D136" s="141">
        <f>SUM(D122:D135)</f>
        <v>0</v>
      </c>
      <c r="E136" s="141">
        <f>SUM(E122:E135)</f>
        <v>5557.34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16845319.909999996</v>
      </c>
      <c r="D137" s="86">
        <f>(D107+D120+D136)</f>
        <v>313109.73000000004</v>
      </c>
      <c r="E137" s="86">
        <f>(E107+E120+E136)</f>
        <v>738988.5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14144129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9230000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9230000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710000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710000</v>
      </c>
    </row>
    <row r="151" spans="1:7" x14ac:dyDescent="0.2">
      <c r="A151" s="22" t="s">
        <v>35</v>
      </c>
      <c r="B151" s="137">
        <f>'DOE25'!F488</f>
        <v>8520000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8520000</v>
      </c>
    </row>
    <row r="152" spans="1:7" x14ac:dyDescent="0.2">
      <c r="A152" s="22" t="s">
        <v>36</v>
      </c>
      <c r="B152" s="137">
        <f>'DOE25'!F489</f>
        <v>27411132.5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27411132.5</v>
      </c>
    </row>
    <row r="153" spans="1:7" x14ac:dyDescent="0.2">
      <c r="A153" s="22" t="s">
        <v>37</v>
      </c>
      <c r="B153" s="137">
        <f>'DOE25'!F490</f>
        <v>35931132.5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35931132.5</v>
      </c>
    </row>
    <row r="154" spans="1:7" x14ac:dyDescent="0.2">
      <c r="A154" s="22" t="s">
        <v>38</v>
      </c>
      <c r="B154" s="137">
        <f>'DOE25'!F491</f>
        <v>710000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710000</v>
      </c>
    </row>
    <row r="155" spans="1:7" x14ac:dyDescent="0.2">
      <c r="A155" s="22" t="s">
        <v>39</v>
      </c>
      <c r="B155" s="137">
        <f>'DOE25'!F492</f>
        <v>392275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392275</v>
      </c>
    </row>
    <row r="156" spans="1:7" x14ac:dyDescent="0.2">
      <c r="A156" s="22" t="s">
        <v>269</v>
      </c>
      <c r="B156" s="137">
        <f>'DOE25'!F493</f>
        <v>1102275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1102275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B825-944F-4A43-B393-055042B2A8E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Barrington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11675</v>
      </c>
    </row>
    <row r="5" spans="1:4" x14ac:dyDescent="0.2">
      <c r="B5" t="s">
        <v>735</v>
      </c>
      <c r="C5" s="179">
        <f>IF('DOE25'!G655+'DOE25'!G660=0,0,ROUND('DOE25'!G662,0))</f>
        <v>11347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11523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8795233</v>
      </c>
      <c r="D10" s="182">
        <f>ROUND((C10/$C$28)*100,1)</f>
        <v>52.7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2994477</v>
      </c>
      <c r="D11" s="182">
        <f>ROUND((C11/$C$28)*100,1)</f>
        <v>17.899999999999999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1568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52260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981289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544499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434077</v>
      </c>
      <c r="D17" s="182">
        <f t="shared" si="0"/>
        <v>2.6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594740</v>
      </c>
      <c r="D18" s="182">
        <f t="shared" si="0"/>
        <v>3.6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130274</v>
      </c>
      <c r="D19" s="182">
        <f t="shared" si="0"/>
        <v>0.8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1017912</v>
      </c>
      <c r="D20" s="182">
        <f t="shared" si="0"/>
        <v>6.1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631336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420675</v>
      </c>
      <c r="D25" s="182">
        <f t="shared" si="0"/>
        <v>2.5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104152.73000000001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16702492.73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264515</v>
      </c>
    </row>
    <row r="30" spans="1:4" x14ac:dyDescent="0.2">
      <c r="B30" s="187" t="s">
        <v>760</v>
      </c>
      <c r="C30" s="180">
        <f>SUM(C28:C29)</f>
        <v>16967007.73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710000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9740052</v>
      </c>
      <c r="D35" s="182">
        <f t="shared" ref="D35:D40" si="1">ROUND((C35/$C$41)*100,1)</f>
        <v>55.5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285722.95999999903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4843113</v>
      </c>
      <c r="D37" s="182">
        <f t="shared" si="1"/>
        <v>27.6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1542549</v>
      </c>
      <c r="D38" s="182">
        <f t="shared" si="1"/>
        <v>8.8000000000000007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1136132</v>
      </c>
      <c r="D39" s="182">
        <f t="shared" si="1"/>
        <v>6.5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17547568.960000001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EF28-EEA5-432F-99B4-910A1EBEDFD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Barrington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2010-10-06T12:11:35Z</cp:lastPrinted>
  <dcterms:created xsi:type="dcterms:W3CDTF">1997-12-04T19:04:30Z</dcterms:created>
  <dcterms:modified xsi:type="dcterms:W3CDTF">2025-01-02T14:39:56Z</dcterms:modified>
</cp:coreProperties>
</file>