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BB8C790-FB23-4B77-A0D2-50763CDC996E}" xr6:coauthVersionLast="47" xr6:coauthVersionMax="47" xr10:uidLastSave="{00000000-0000-0000-0000-000000000000}"/>
  <workbookProtection workbookPassword="B70A" lockStructure="1"/>
  <bookViews>
    <workbookView xWindow="2805" yWindow="2805" windowWidth="21600" windowHeight="11505" tabRatio="855" xr2:uid="{ED45492F-F8F4-4D04-928C-D57B4CD608A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E13" i="13" s="1"/>
  <c r="C13" i="13" s="1"/>
  <c r="L234" i="1"/>
  <c r="F16" i="13"/>
  <c r="E16" i="13" s="1"/>
  <c r="C16" i="13" s="1"/>
  <c r="G16" i="13"/>
  <c r="L201" i="1"/>
  <c r="L219" i="1"/>
  <c r="L237" i="1"/>
  <c r="F5" i="13"/>
  <c r="G5" i="13"/>
  <c r="G33" i="13" s="1"/>
  <c r="L189" i="1"/>
  <c r="L203" i="1" s="1"/>
  <c r="L190" i="1"/>
  <c r="L191" i="1"/>
  <c r="C12" i="10" s="1"/>
  <c r="L192" i="1"/>
  <c r="C13" i="10" s="1"/>
  <c r="L207" i="1"/>
  <c r="L208" i="1"/>
  <c r="L209" i="1"/>
  <c r="L210" i="1"/>
  <c r="L225" i="1"/>
  <c r="L239" i="1" s="1"/>
  <c r="L226" i="1"/>
  <c r="C11" i="10" s="1"/>
  <c r="L227" i="1"/>
  <c r="L228" i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H651" i="1" s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L269" i="1"/>
  <c r="L282" i="1" s="1"/>
  <c r="L270" i="1"/>
  <c r="L271" i="1"/>
  <c r="L273" i="1"/>
  <c r="L274" i="1"/>
  <c r="L275" i="1"/>
  <c r="L276" i="1"/>
  <c r="L277" i="1"/>
  <c r="L278" i="1"/>
  <c r="L279" i="1"/>
  <c r="C21" i="10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L334" i="1"/>
  <c r="E124" i="2" s="1"/>
  <c r="L247" i="1"/>
  <c r="C122" i="2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96" i="2" s="1"/>
  <c r="G51" i="2"/>
  <c r="G54" i="2" s="1"/>
  <c r="G53" i="2"/>
  <c r="F2" i="11"/>
  <c r="L603" i="1"/>
  <c r="L604" i="1" s="1"/>
  <c r="H653" i="1"/>
  <c r="L602" i="1"/>
  <c r="G653" i="1"/>
  <c r="L601" i="1"/>
  <c r="F653" i="1" s="1"/>
  <c r="I653" i="1" s="1"/>
  <c r="C40" i="10"/>
  <c r="F52" i="1"/>
  <c r="C48" i="2" s="1"/>
  <c r="G52" i="1"/>
  <c r="H52" i="1"/>
  <c r="I52" i="1"/>
  <c r="F71" i="1"/>
  <c r="F104" i="1" s="1"/>
  <c r="F86" i="1"/>
  <c r="C50" i="2" s="1"/>
  <c r="F103" i="1"/>
  <c r="G103" i="1"/>
  <c r="G104" i="1" s="1"/>
  <c r="G185" i="1" s="1"/>
  <c r="G618" i="1" s="1"/>
  <c r="J618" i="1" s="1"/>
  <c r="H71" i="1"/>
  <c r="E49" i="2" s="1"/>
  <c r="E54" i="2" s="1"/>
  <c r="E55" i="2" s="1"/>
  <c r="H86" i="1"/>
  <c r="E50" i="2" s="1"/>
  <c r="H103" i="1"/>
  <c r="I103" i="1"/>
  <c r="I104" i="1"/>
  <c r="J103" i="1"/>
  <c r="J104" i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54" i="1"/>
  <c r="H161" i="1"/>
  <c r="I139" i="1"/>
  <c r="I161" i="1" s="1"/>
  <c r="I154" i="1"/>
  <c r="C18" i="10"/>
  <c r="C19" i="10"/>
  <c r="L242" i="1"/>
  <c r="C23" i="10" s="1"/>
  <c r="L324" i="1"/>
  <c r="E105" i="2" s="1"/>
  <c r="L246" i="1"/>
  <c r="L260" i="1"/>
  <c r="L261" i="1"/>
  <c r="C26" i="10" s="1"/>
  <c r="L341" i="1"/>
  <c r="E134" i="2" s="1"/>
  <c r="L342" i="1"/>
  <c r="E135" i="2" s="1"/>
  <c r="I655" i="1"/>
  <c r="I660" i="1"/>
  <c r="L221" i="1"/>
  <c r="G650" i="1" s="1"/>
  <c r="H652" i="1"/>
  <c r="I659" i="1"/>
  <c r="C6" i="10"/>
  <c r="C5" i="10"/>
  <c r="C42" i="10"/>
  <c r="L366" i="1"/>
  <c r="L367" i="1"/>
  <c r="L368" i="1"/>
  <c r="L369" i="1"/>
  <c r="L370" i="1"/>
  <c r="C29" i="10" s="1"/>
  <c r="L371" i="1"/>
  <c r="L372" i="1"/>
  <c r="B2" i="10"/>
  <c r="L336" i="1"/>
  <c r="L337" i="1"/>
  <c r="L338" i="1"/>
  <c r="L339" i="1"/>
  <c r="K343" i="1"/>
  <c r="L511" i="1"/>
  <c r="F539" i="1" s="1"/>
  <c r="L512" i="1"/>
  <c r="F540" i="1" s="1"/>
  <c r="L513" i="1"/>
  <c r="F541" i="1"/>
  <c r="L516" i="1"/>
  <c r="G539" i="1"/>
  <c r="L517" i="1"/>
  <c r="G540" i="1" s="1"/>
  <c r="L518" i="1"/>
  <c r="G541" i="1" s="1"/>
  <c r="K541" i="1" s="1"/>
  <c r="L521" i="1"/>
  <c r="H539" i="1" s="1"/>
  <c r="L522" i="1"/>
  <c r="H540" i="1"/>
  <c r="L523" i="1"/>
  <c r="H541" i="1" s="1"/>
  <c r="L526" i="1"/>
  <c r="I539" i="1" s="1"/>
  <c r="I542" i="1" s="1"/>
  <c r="L527" i="1"/>
  <c r="I540" i="1" s="1"/>
  <c r="L528" i="1"/>
  <c r="I541" i="1"/>
  <c r="L531" i="1"/>
  <c r="J539" i="1"/>
  <c r="L532" i="1"/>
  <c r="J540" i="1" s="1"/>
  <c r="L533" i="1"/>
  <c r="L534" i="1" s="1"/>
  <c r="J541" i="1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/>
  <c r="G12" i="2" s="1"/>
  <c r="C13" i="2"/>
  <c r="D13" i="2"/>
  <c r="D19" i="2" s="1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E34" i="2"/>
  <c r="F34" i="2"/>
  <c r="F42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E42" i="2" s="1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8" i="2"/>
  <c r="E48" i="2"/>
  <c r="F48" i="2"/>
  <c r="C51" i="2"/>
  <c r="D51" i="2"/>
  <c r="E51" i="2"/>
  <c r="F51" i="2"/>
  <c r="F54" i="2" s="1"/>
  <c r="D52" i="2"/>
  <c r="C53" i="2"/>
  <c r="D53" i="2"/>
  <c r="D54" i="2" s="1"/>
  <c r="D55" i="2" s="1"/>
  <c r="E53" i="2"/>
  <c r="F53" i="2"/>
  <c r="C58" i="2"/>
  <c r="C62" i="2" s="1"/>
  <c r="C59" i="2"/>
  <c r="C61" i="2"/>
  <c r="D61" i="2"/>
  <c r="D62" i="2" s="1"/>
  <c r="E61" i="2"/>
  <c r="F61" i="2"/>
  <c r="G61" i="2"/>
  <c r="E62" i="2"/>
  <c r="E73" i="2" s="1"/>
  <c r="F62" i="2"/>
  <c r="G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C71" i="2"/>
  <c r="D71" i="2"/>
  <c r="E71" i="2"/>
  <c r="C72" i="2"/>
  <c r="E72" i="2"/>
  <c r="C77" i="2"/>
  <c r="D77" i="2"/>
  <c r="E77" i="2"/>
  <c r="C79" i="2"/>
  <c r="C83" i="2" s="1"/>
  <c r="E79" i="2"/>
  <c r="E83" i="2" s="1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95" i="2"/>
  <c r="G95" i="2"/>
  <c r="E101" i="2"/>
  <c r="C102" i="2"/>
  <c r="C103" i="2"/>
  <c r="E103" i="2"/>
  <c r="C104" i="2"/>
  <c r="E104" i="2"/>
  <c r="D107" i="2"/>
  <c r="F107" i="2"/>
  <c r="G107" i="2"/>
  <c r="G137" i="2" s="1"/>
  <c r="C110" i="2"/>
  <c r="E110" i="2"/>
  <c r="E111" i="2"/>
  <c r="E112" i="2"/>
  <c r="E113" i="2"/>
  <c r="C114" i="2"/>
  <c r="E114" i="2"/>
  <c r="C116" i="2"/>
  <c r="C117" i="2"/>
  <c r="F120" i="2"/>
  <c r="G120" i="2"/>
  <c r="E122" i="2"/>
  <c r="D126" i="2"/>
  <c r="D136" i="2" s="1"/>
  <c r="E126" i="2"/>
  <c r="F126" i="2"/>
  <c r="K411" i="1"/>
  <c r="K419" i="1"/>
  <c r="K426" i="1" s="1"/>
  <c r="G126" i="2" s="1"/>
  <c r="G136" i="2" s="1"/>
  <c r="K425" i="1"/>
  <c r="L255" i="1"/>
  <c r="C127" i="2" s="1"/>
  <c r="E127" i="2"/>
  <c r="L256" i="1"/>
  <c r="C128" i="2" s="1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G490" i="1"/>
  <c r="C153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 s="1"/>
  <c r="H493" i="1"/>
  <c r="D156" i="2" s="1"/>
  <c r="I493" i="1"/>
  <c r="E156" i="2"/>
  <c r="J493" i="1"/>
  <c r="F156" i="2" s="1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G615" i="1" s="1"/>
  <c r="F44" i="1"/>
  <c r="H607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F203" i="1"/>
  <c r="F249" i="1" s="1"/>
  <c r="F263" i="1" s="1"/>
  <c r="G203" i="1"/>
  <c r="G249" i="1" s="1"/>
  <c r="G263" i="1" s="1"/>
  <c r="H203" i="1"/>
  <c r="I203" i="1"/>
  <c r="J203" i="1"/>
  <c r="J249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K249" i="1"/>
  <c r="K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H399" i="1"/>
  <c r="H400" i="1" s="1"/>
  <c r="H634" i="1" s="1"/>
  <c r="J634" i="1" s="1"/>
  <c r="I399" i="1"/>
  <c r="G400" i="1"/>
  <c r="H635" i="1" s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438" i="1"/>
  <c r="H438" i="1"/>
  <c r="G631" i="1" s="1"/>
  <c r="I438" i="1"/>
  <c r="G632" i="1" s="1"/>
  <c r="F444" i="1"/>
  <c r="F451" i="1" s="1"/>
  <c r="H629" i="1" s="1"/>
  <c r="G444" i="1"/>
  <c r="H444" i="1"/>
  <c r="F450" i="1"/>
  <c r="G450" i="1"/>
  <c r="H450" i="1"/>
  <c r="H451" i="1" s="1"/>
  <c r="H631" i="1" s="1"/>
  <c r="I450" i="1"/>
  <c r="G451" i="1"/>
  <c r="F460" i="1"/>
  <c r="F466" i="1" s="1"/>
  <c r="H612" i="1" s="1"/>
  <c r="J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J464" i="1"/>
  <c r="J466" i="1" s="1"/>
  <c r="H616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K514" i="1"/>
  <c r="K535" i="1" s="1"/>
  <c r="L514" i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G612" i="1"/>
  <c r="G613" i="1"/>
  <c r="J613" i="1" s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H630" i="1"/>
  <c r="J630" i="1"/>
  <c r="G633" i="1"/>
  <c r="G634" i="1"/>
  <c r="H637" i="1"/>
  <c r="G639" i="1"/>
  <c r="G640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629" i="1" l="1"/>
  <c r="J185" i="1"/>
  <c r="H33" i="13"/>
  <c r="C25" i="13"/>
  <c r="H638" i="1"/>
  <c r="J638" i="1" s="1"/>
  <c r="J263" i="1"/>
  <c r="G156" i="2"/>
  <c r="J542" i="1"/>
  <c r="G542" i="1"/>
  <c r="C55" i="2"/>
  <c r="L330" i="1"/>
  <c r="L344" i="1" s="1"/>
  <c r="G623" i="1" s="1"/>
  <c r="J623" i="1" s="1"/>
  <c r="D31" i="13"/>
  <c r="C31" i="13" s="1"/>
  <c r="L249" i="1"/>
  <c r="L263" i="1" s="1"/>
  <c r="G622" i="1" s="1"/>
  <c r="J622" i="1" s="1"/>
  <c r="F650" i="1"/>
  <c r="J641" i="1"/>
  <c r="J631" i="1"/>
  <c r="F43" i="2"/>
  <c r="G23" i="2"/>
  <c r="G32" i="2" s="1"/>
  <c r="J33" i="1"/>
  <c r="I185" i="1"/>
  <c r="G620" i="1" s="1"/>
  <c r="J620" i="1" s="1"/>
  <c r="J639" i="1"/>
  <c r="F55" i="2"/>
  <c r="G42" i="2"/>
  <c r="D43" i="2"/>
  <c r="K540" i="1"/>
  <c r="E96" i="2"/>
  <c r="H650" i="1"/>
  <c r="H654" i="1" s="1"/>
  <c r="G19" i="2"/>
  <c r="K539" i="1"/>
  <c r="K542" i="1" s="1"/>
  <c r="F542" i="1"/>
  <c r="L400" i="1"/>
  <c r="C130" i="2"/>
  <c r="C133" i="2" s="1"/>
  <c r="J633" i="1"/>
  <c r="J607" i="1"/>
  <c r="J19" i="1"/>
  <c r="G611" i="1" s="1"/>
  <c r="J615" i="1"/>
  <c r="C73" i="2"/>
  <c r="E43" i="2"/>
  <c r="E136" i="2"/>
  <c r="D96" i="2"/>
  <c r="C38" i="10"/>
  <c r="F185" i="1"/>
  <c r="G617" i="1" s="1"/>
  <c r="J617" i="1" s="1"/>
  <c r="L426" i="1"/>
  <c r="G628" i="1" s="1"/>
  <c r="J628" i="1" s="1"/>
  <c r="H542" i="1"/>
  <c r="L519" i="1"/>
  <c r="L535" i="1" s="1"/>
  <c r="C101" i="2"/>
  <c r="F77" i="2"/>
  <c r="F83" i="2" s="1"/>
  <c r="C17" i="10"/>
  <c r="C35" i="10"/>
  <c r="I44" i="1"/>
  <c r="H610" i="1" s="1"/>
  <c r="J610" i="1" s="1"/>
  <c r="C113" i="2"/>
  <c r="L343" i="1"/>
  <c r="F652" i="1"/>
  <c r="I652" i="1" s="1"/>
  <c r="C16" i="10"/>
  <c r="D6" i="13"/>
  <c r="C6" i="13" s="1"/>
  <c r="E8" i="13"/>
  <c r="I444" i="1"/>
  <c r="I451" i="1" s="1"/>
  <c r="H632" i="1" s="1"/>
  <c r="J632" i="1" s="1"/>
  <c r="C106" i="2"/>
  <c r="C25" i="10"/>
  <c r="H104" i="1"/>
  <c r="H185" i="1" s="1"/>
  <c r="G619" i="1" s="1"/>
  <c r="J619" i="1" s="1"/>
  <c r="D119" i="2"/>
  <c r="D120" i="2" s="1"/>
  <c r="D137" i="2" s="1"/>
  <c r="C24" i="10"/>
  <c r="F22" i="13"/>
  <c r="C22" i="13" s="1"/>
  <c r="G635" i="1"/>
  <c r="J635" i="1" s="1"/>
  <c r="B153" i="2"/>
  <c r="G153" i="2" s="1"/>
  <c r="C105" i="2"/>
  <c r="C32" i="10"/>
  <c r="G651" i="1"/>
  <c r="G654" i="1" s="1"/>
  <c r="J43" i="1"/>
  <c r="C111" i="2"/>
  <c r="C120" i="2" s="1"/>
  <c r="C49" i="2"/>
  <c r="C54" i="2" s="1"/>
  <c r="F651" i="1"/>
  <c r="L354" i="1"/>
  <c r="K493" i="1"/>
  <c r="E116" i="2"/>
  <c r="E120" i="2" s="1"/>
  <c r="C10" i="10"/>
  <c r="L374" i="1"/>
  <c r="G626" i="1" s="1"/>
  <c r="J626" i="1" s="1"/>
  <c r="F122" i="2"/>
  <c r="F136" i="2" s="1"/>
  <c r="F137" i="2" s="1"/>
  <c r="C123" i="2"/>
  <c r="C136" i="2" s="1"/>
  <c r="D14" i="13"/>
  <c r="C14" i="13" s="1"/>
  <c r="D5" i="13"/>
  <c r="C115" i="2"/>
  <c r="E102" i="2"/>
  <c r="E107" i="2" s="1"/>
  <c r="G657" i="1" l="1"/>
  <c r="G662" i="1"/>
  <c r="C27" i="10"/>
  <c r="G625" i="1"/>
  <c r="J625" i="1" s="1"/>
  <c r="D17" i="10"/>
  <c r="E137" i="2"/>
  <c r="D25" i="10"/>
  <c r="G627" i="1"/>
  <c r="J627" i="1" s="1"/>
  <c r="H636" i="1"/>
  <c r="F96" i="2"/>
  <c r="I650" i="1"/>
  <c r="F654" i="1"/>
  <c r="C36" i="10"/>
  <c r="C41" i="10"/>
  <c r="I651" i="1"/>
  <c r="G43" i="2"/>
  <c r="C107" i="2"/>
  <c r="C137" i="2" s="1"/>
  <c r="D38" i="10"/>
  <c r="C5" i="13"/>
  <c r="D33" i="13"/>
  <c r="D36" i="13" s="1"/>
  <c r="G616" i="1"/>
  <c r="J616" i="1" s="1"/>
  <c r="J44" i="1"/>
  <c r="H611" i="1" s="1"/>
  <c r="F33" i="13"/>
  <c r="E33" i="13"/>
  <c r="D35" i="13" s="1"/>
  <c r="C8" i="13"/>
  <c r="C28" i="10"/>
  <c r="D16" i="10" s="1"/>
  <c r="D10" i="10"/>
  <c r="C96" i="2"/>
  <c r="J611" i="1"/>
  <c r="H662" i="1"/>
  <c r="H657" i="1"/>
  <c r="G621" i="1"/>
  <c r="J621" i="1" s="1"/>
  <c r="G636" i="1"/>
  <c r="J636" i="1" s="1"/>
  <c r="D24" i="10"/>
  <c r="F662" i="1" l="1"/>
  <c r="C4" i="10" s="1"/>
  <c r="F657" i="1"/>
  <c r="I654" i="1"/>
  <c r="D37" i="10"/>
  <c r="D40" i="10"/>
  <c r="D39" i="10"/>
  <c r="D27" i="10"/>
  <c r="C30" i="10"/>
  <c r="D22" i="10"/>
  <c r="D18" i="10"/>
  <c r="D21" i="10"/>
  <c r="D23" i="10"/>
  <c r="D11" i="10"/>
  <c r="D19" i="10"/>
  <c r="D13" i="10"/>
  <c r="D15" i="10"/>
  <c r="D12" i="10"/>
  <c r="D28" i="10" s="1"/>
  <c r="D26" i="10"/>
  <c r="D20" i="10"/>
  <c r="D35" i="10"/>
  <c r="H646" i="1"/>
  <c r="D36" i="10"/>
  <c r="D41" i="10" l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ED2B3C7-3A79-47F8-BC6C-1E4FAFAABF1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66DAD6E-688B-4B2E-AE3B-BF968FDD527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73F37E6-9F36-4DC5-885E-99A390F0414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E6CB435-C9CF-471A-B628-374837FF1A1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9CC171C-CDF7-45F2-B5A5-9C911C68C84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0F20866-3551-4874-86A0-4849E674675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FEDF744-51AF-472C-BA5D-F7E9D556A5F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E87F732-57CC-4E42-89B2-63334A6ACF7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B83BC16-1BB2-481C-8872-429AD6C34A3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B173219-90BB-47A5-99D0-2D15145EB17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775F940-FAD8-4819-8D5D-9E62652C792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3513508-DF6D-4017-B08F-3D4A785671F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<sst xmlns="http://schemas.openxmlformats.org/spreadsheetml/2006/main" count="3858" uniqueCount="895">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</sst>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99E3-7A29-4630-A9A9-961D632F29E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35</v>
      </c>
      <c r="C2" s="21">
        <v>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217241.79+300</f>
        <v>217541.79</v>
      </c>
      <c r="G9" s="18">
        <v>69795.17</v>
      </c>
      <c r="H9" s="18">
        <v>0</v>
      </c>
      <c r="I9" s="18"/>
      <c r="J9" s="67">
        <f>SUM(I431)</f>
        <v>307714.36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168442.47</v>
      </c>
      <c r="G12" s="18">
        <v>6142.02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4710.62</v>
      </c>
      <c r="G13" s="18">
        <v>10766.52</v>
      </c>
      <c r="H13" s="18">
        <v>83681.289999999994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470.77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390694.88</v>
      </c>
      <c r="G19" s="41">
        <f>SUM(G9:G18)</f>
        <v>87174.48000000001</v>
      </c>
      <c r="H19" s="41">
        <f>SUM(H9:H18)</f>
        <v>83681.289999999994</v>
      </c>
      <c r="I19" s="41">
        <f>SUM(I9:I18)</f>
        <v>0</v>
      </c>
      <c r="J19" s="41">
        <f>SUM(J9:J18)</f>
        <v>307714.36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6142.02</v>
      </c>
      <c r="G23" s="18">
        <v>86569.51</v>
      </c>
      <c r="H23" s="18">
        <v>81872.960000000006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33333.69</v>
      </c>
      <c r="G25" s="18">
        <v>87.17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4928.67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21212.720000000001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65617.100000000006</v>
      </c>
      <c r="G33" s="41">
        <f>SUM(G23:G32)</f>
        <v>86656.68</v>
      </c>
      <c r="H33" s="41">
        <f>SUM(H23:H32)</f>
        <v>81872.960000000006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517.79999999999995</v>
      </c>
      <c r="H41" s="18">
        <v>1808.33</v>
      </c>
      <c r="I41" s="18"/>
      <c r="J41" s="13">
        <f>SUM(I449)</f>
        <v>307714.36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325077.78000000003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325077.78000000003</v>
      </c>
      <c r="G43" s="41">
        <f>SUM(G35:G42)</f>
        <v>517.79999999999995</v>
      </c>
      <c r="H43" s="41">
        <f>SUM(H35:H42)</f>
        <v>1808.33</v>
      </c>
      <c r="I43" s="41">
        <f>SUM(I35:I42)</f>
        <v>0</v>
      </c>
      <c r="J43" s="41">
        <f>SUM(J35:J42)</f>
        <v>307714.36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390694.88</v>
      </c>
      <c r="G44" s="41">
        <f>G43+G33</f>
        <v>87174.48</v>
      </c>
      <c r="H44" s="41">
        <f>H43+H33</f>
        <v>83681.290000000008</v>
      </c>
      <c r="I44" s="41">
        <f>I43+I33</f>
        <v>0</v>
      </c>
      <c r="J44" s="41">
        <f>J43+J33</f>
        <v>307714.36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4217416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4217416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200720.21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200720.21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2835.69</v>
      </c>
      <c r="G88" s="18">
        <v>47.25</v>
      </c>
      <c r="H88" s="18"/>
      <c r="I88" s="18"/>
      <c r="J88" s="18">
        <v>1762.34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80834.179999999993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4404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125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13976.42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6602.59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27943.7</v>
      </c>
      <c r="G103" s="41">
        <f>SUM(G88:G102)</f>
        <v>80881.429999999993</v>
      </c>
      <c r="H103" s="41">
        <f>SUM(H88:H102)</f>
        <v>0</v>
      </c>
      <c r="I103" s="41">
        <f>SUM(I88:I102)</f>
        <v>0</v>
      </c>
      <c r="J103" s="41">
        <f>SUM(J88:J102)</f>
        <v>1762.34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4446079.91</v>
      </c>
      <c r="G104" s="41">
        <f>G52+G103</f>
        <v>80881.429999999993</v>
      </c>
      <c r="H104" s="41">
        <f>H52+H71+H86+H103</f>
        <v>0</v>
      </c>
      <c r="I104" s="41">
        <f>I52+I103</f>
        <v>0</v>
      </c>
      <c r="J104" s="41">
        <f>J52+J103</f>
        <v>1762.34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33941.360000000001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2287957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13022.64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2334921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12508.92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224258.93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1537.74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236767.85</v>
      </c>
      <c r="G128" s="41">
        <f>SUM(G115:G127)</f>
        <v>1537.74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2571688.85</v>
      </c>
      <c r="G132" s="41">
        <f>G113+SUM(G128:G129)</f>
        <v>1537.74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78337.600000000006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167237.46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46369.91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83848.539999999994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95982.2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95982.2</v>
      </c>
      <c r="G154" s="41">
        <f>SUM(G142:G153)</f>
        <v>46369.91</v>
      </c>
      <c r="H154" s="41">
        <f>SUM(H142:H153)</f>
        <v>329423.59999999998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19831.87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115814.06999999999</v>
      </c>
      <c r="G161" s="41">
        <f>G139+G154+SUM(G155:G160)</f>
        <v>46369.91</v>
      </c>
      <c r="H161" s="41">
        <f>H139+H154+SUM(H155:H160)</f>
        <v>329423.59999999998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8942.02</v>
      </c>
      <c r="H171" s="18"/>
      <c r="I171" s="18"/>
      <c r="J171" s="18">
        <v>55000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8942.02</v>
      </c>
      <c r="H175" s="41">
        <f>SUM(H171:H174)</f>
        <v>0</v>
      </c>
      <c r="I175" s="41">
        <f>SUM(I171:I174)</f>
        <v>0</v>
      </c>
      <c r="J175" s="41">
        <f>SUM(J171:J174)</f>
        <v>55000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8942.02</v>
      </c>
      <c r="H184" s="41">
        <f>+H175+SUM(H180:H183)</f>
        <v>0</v>
      </c>
      <c r="I184" s="41">
        <f>I169+I175+SUM(I180:I183)</f>
        <v>0</v>
      </c>
      <c r="J184" s="41">
        <f>J175</f>
        <v>55000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7133582.8300000001</v>
      </c>
      <c r="G185" s="47">
        <f>G104+G132+G161+G184</f>
        <v>137731.1</v>
      </c>
      <c r="H185" s="47">
        <f>H104+H132+H161+H184</f>
        <v>329423.59999999998</v>
      </c>
      <c r="I185" s="47">
        <f>I104+I132+I161+I184</f>
        <v>0</v>
      </c>
      <c r="J185" s="47">
        <f>J104+J132+J184</f>
        <v>56762.34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1467550.62</v>
      </c>
      <c r="G189" s="18">
        <v>487556.72</v>
      </c>
      <c r="H189" s="18">
        <v>17568.77</v>
      </c>
      <c r="I189" s="18">
        <v>47183.64</v>
      </c>
      <c r="J189" s="18">
        <v>15408.78</v>
      </c>
      <c r="K189" s="18"/>
      <c r="L189" s="19">
        <f>SUM(F189:K189)</f>
        <v>2035268.53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375309.8</v>
      </c>
      <c r="G190" s="18">
        <v>214596.03</v>
      </c>
      <c r="H190" s="18">
        <v>178819.24</v>
      </c>
      <c r="I190" s="18">
        <v>6092.29</v>
      </c>
      <c r="J190" s="18"/>
      <c r="K190" s="18"/>
      <c r="L190" s="19">
        <f>SUM(F190:K190)</f>
        <v>774817.36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52240</v>
      </c>
      <c r="G192" s="18">
        <v>7736.59</v>
      </c>
      <c r="H192" s="18">
        <v>30835.200000000001</v>
      </c>
      <c r="I192" s="18">
        <v>3638.33</v>
      </c>
      <c r="J192" s="18">
        <v>1959.96</v>
      </c>
      <c r="K192" s="18"/>
      <c r="L192" s="19">
        <f>SUM(F192:K192)</f>
        <v>96410.08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243398.88</v>
      </c>
      <c r="G194" s="18">
        <v>106396.88</v>
      </c>
      <c r="H194" s="18">
        <v>10139.64</v>
      </c>
      <c r="I194" s="18">
        <v>1066.8</v>
      </c>
      <c r="J194" s="18">
        <v>3111.09</v>
      </c>
      <c r="K194" s="18"/>
      <c r="L194" s="19">
        <f t="shared" ref="L194:L200" si="0">SUM(F194:K194)</f>
        <v>364113.29000000004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61997.5</v>
      </c>
      <c r="G195" s="18">
        <v>49191.7</v>
      </c>
      <c r="H195" s="18">
        <v>22469.93</v>
      </c>
      <c r="I195" s="18">
        <v>6904.46</v>
      </c>
      <c r="J195" s="18">
        <v>517.45000000000005</v>
      </c>
      <c r="K195" s="18"/>
      <c r="L195" s="19">
        <f t="shared" si="0"/>
        <v>141081.04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9590</v>
      </c>
      <c r="G196" s="18">
        <v>733.6</v>
      </c>
      <c r="H196" s="18">
        <v>203755.54</v>
      </c>
      <c r="I196" s="18"/>
      <c r="J196" s="18"/>
      <c r="K196" s="18">
        <v>2025.55</v>
      </c>
      <c r="L196" s="19">
        <f t="shared" si="0"/>
        <v>216104.69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162499.15</v>
      </c>
      <c r="G197" s="18">
        <v>64840.31</v>
      </c>
      <c r="H197" s="18">
        <v>13026.5</v>
      </c>
      <c r="I197" s="18">
        <v>5971.59</v>
      </c>
      <c r="J197" s="18"/>
      <c r="K197" s="18">
        <v>2224</v>
      </c>
      <c r="L197" s="19">
        <f t="shared" si="0"/>
        <v>248561.55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125488.98</v>
      </c>
      <c r="G199" s="18">
        <v>39295.61</v>
      </c>
      <c r="H199" s="18">
        <v>80237.600000000006</v>
      </c>
      <c r="I199" s="18">
        <v>132852.57999999999</v>
      </c>
      <c r="J199" s="18">
        <v>6387.42</v>
      </c>
      <c r="K199" s="18"/>
      <c r="L199" s="19">
        <f t="shared" si="0"/>
        <v>384262.19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62985.96</v>
      </c>
      <c r="G200" s="18">
        <v>38971.79</v>
      </c>
      <c r="H200" s="18">
        <v>12795.47</v>
      </c>
      <c r="I200" s="18">
        <v>27878.99</v>
      </c>
      <c r="J200" s="18"/>
      <c r="K200" s="18"/>
      <c r="L200" s="19">
        <f t="shared" si="0"/>
        <v>142632.21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216.6</v>
      </c>
      <c r="I201" s="18"/>
      <c r="J201" s="18"/>
      <c r="K201" s="18"/>
      <c r="L201" s="19">
        <f>SUM(F201:K201)</f>
        <v>216.6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2561060.89</v>
      </c>
      <c r="G203" s="41">
        <f t="shared" si="1"/>
        <v>1009319.2299999999</v>
      </c>
      <c r="H203" s="41">
        <f t="shared" si="1"/>
        <v>569864.48999999987</v>
      </c>
      <c r="I203" s="41">
        <f t="shared" si="1"/>
        <v>231588.68</v>
      </c>
      <c r="J203" s="41">
        <f t="shared" si="1"/>
        <v>27384.700000000004</v>
      </c>
      <c r="K203" s="41">
        <f t="shared" si="1"/>
        <v>4249.55</v>
      </c>
      <c r="L203" s="41">
        <f t="shared" si="1"/>
        <v>4403467.54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1951480</v>
      </c>
      <c r="I225" s="18"/>
      <c r="J225" s="18"/>
      <c r="K225" s="18"/>
      <c r="L225" s="19">
        <f>SUM(F225:K225)</f>
        <v>1951480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440409.3</v>
      </c>
      <c r="I226" s="18"/>
      <c r="J226" s="18"/>
      <c r="K226" s="18"/>
      <c r="L226" s="19">
        <f>SUM(F226:K226)</f>
        <v>440409.3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4110</v>
      </c>
      <c r="G232" s="18">
        <v>314.39999999999998</v>
      </c>
      <c r="H232" s="18">
        <v>87323.8</v>
      </c>
      <c r="I232" s="18"/>
      <c r="J232" s="18"/>
      <c r="K232" s="18">
        <v>868.1</v>
      </c>
      <c r="L232" s="19">
        <f t="shared" si="4"/>
        <v>92616.3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36577.599999999999</v>
      </c>
      <c r="G236" s="18">
        <v>25205.74</v>
      </c>
      <c r="H236" s="18">
        <v>9121.23</v>
      </c>
      <c r="I236" s="18">
        <v>18585.990000000002</v>
      </c>
      <c r="J236" s="18"/>
      <c r="K236" s="18"/>
      <c r="L236" s="19">
        <f t="shared" si="4"/>
        <v>89490.559999999998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144.4</v>
      </c>
      <c r="I237" s="18"/>
      <c r="J237" s="18"/>
      <c r="K237" s="18"/>
      <c r="L237" s="19">
        <f>SUM(F237:K237)</f>
        <v>144.4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40687.599999999999</v>
      </c>
      <c r="G239" s="41">
        <f t="shared" si="5"/>
        <v>25520.140000000003</v>
      </c>
      <c r="H239" s="41">
        <f t="shared" si="5"/>
        <v>2488478.7299999995</v>
      </c>
      <c r="I239" s="41">
        <f t="shared" si="5"/>
        <v>18585.990000000002</v>
      </c>
      <c r="J239" s="41">
        <f t="shared" si="5"/>
        <v>0</v>
      </c>
      <c r="K239" s="41">
        <f t="shared" si="5"/>
        <v>868.1</v>
      </c>
      <c r="L239" s="41">
        <f t="shared" si="5"/>
        <v>2574140.5599999996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2601748.4900000002</v>
      </c>
      <c r="G249" s="41">
        <f t="shared" si="8"/>
        <v>1034839.3699999999</v>
      </c>
      <c r="H249" s="41">
        <f t="shared" si="8"/>
        <v>3058343.2199999993</v>
      </c>
      <c r="I249" s="41">
        <f t="shared" si="8"/>
        <v>250174.66999999998</v>
      </c>
      <c r="J249" s="41">
        <f t="shared" si="8"/>
        <v>27384.700000000004</v>
      </c>
      <c r="K249" s="41">
        <f t="shared" si="8"/>
        <v>5117.6500000000005</v>
      </c>
      <c r="L249" s="41">
        <f t="shared" si="8"/>
        <v>6977608.0999999996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8942.02</v>
      </c>
      <c r="L255" s="19">
        <f>SUM(F255:K255)</f>
        <v>8942.02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</v>
      </c>
      <c r="L258" s="19">
        <f t="shared" si="9"/>
        <v>55000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63942.020000000004</v>
      </c>
      <c r="L262" s="41">
        <f t="shared" si="9"/>
        <v>63942.020000000004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2601748.4900000002</v>
      </c>
      <c r="G263" s="42">
        <f t="shared" si="11"/>
        <v>1034839.3699999999</v>
      </c>
      <c r="H263" s="42">
        <f t="shared" si="11"/>
        <v>3058343.2199999993</v>
      </c>
      <c r="I263" s="42">
        <f t="shared" si="11"/>
        <v>250174.66999999998</v>
      </c>
      <c r="J263" s="42">
        <f t="shared" si="11"/>
        <v>27384.700000000004</v>
      </c>
      <c r="K263" s="42">
        <f t="shared" si="11"/>
        <v>69059.67</v>
      </c>
      <c r="L263" s="42">
        <f t="shared" si="11"/>
        <v>7041550.1199999992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60208.14</v>
      </c>
      <c r="G268" s="18">
        <v>23755.119999999999</v>
      </c>
      <c r="H268" s="18">
        <v>1960.64</v>
      </c>
      <c r="I268" s="18">
        <v>23671.439999999999</v>
      </c>
      <c r="J268" s="18">
        <v>93361.56</v>
      </c>
      <c r="K268" s="18"/>
      <c r="L268" s="19">
        <f>SUM(F268:K268)</f>
        <v>202956.9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15697.5</v>
      </c>
      <c r="G269" s="18">
        <v>7033.92</v>
      </c>
      <c r="H269" s="18"/>
      <c r="I269" s="18">
        <v>7966.77</v>
      </c>
      <c r="J269" s="18">
        <v>14868.31</v>
      </c>
      <c r="K269" s="18"/>
      <c r="L269" s="19">
        <f>SUM(F269:K269)</f>
        <v>45566.5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4900</v>
      </c>
      <c r="G273" s="18">
        <v>792.89</v>
      </c>
      <c r="H273" s="18">
        <v>21890.5</v>
      </c>
      <c r="I273" s="18">
        <v>436.64</v>
      </c>
      <c r="J273" s="18"/>
      <c r="K273" s="18"/>
      <c r="L273" s="19">
        <f t="shared" ref="L273:L279" si="12">SUM(F273:K273)</f>
        <v>28020.03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890.42</v>
      </c>
      <c r="G274" s="18">
        <v>138.52000000000001</v>
      </c>
      <c r="H274" s="18">
        <v>45573.36</v>
      </c>
      <c r="I274" s="18"/>
      <c r="J274" s="18">
        <v>6282</v>
      </c>
      <c r="K274" s="18"/>
      <c r="L274" s="19">
        <f t="shared" si="12"/>
        <v>52884.3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81696.06</v>
      </c>
      <c r="G282" s="42">
        <f t="shared" si="13"/>
        <v>31720.45</v>
      </c>
      <c r="H282" s="42">
        <f t="shared" si="13"/>
        <v>69424.5</v>
      </c>
      <c r="I282" s="42">
        <f t="shared" si="13"/>
        <v>32074.85</v>
      </c>
      <c r="J282" s="42">
        <f t="shared" si="13"/>
        <v>114511.87</v>
      </c>
      <c r="K282" s="42">
        <f t="shared" si="13"/>
        <v>0</v>
      </c>
      <c r="L282" s="41">
        <f t="shared" si="13"/>
        <v>329427.73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81696.06</v>
      </c>
      <c r="G330" s="41">
        <f t="shared" si="20"/>
        <v>31720.45</v>
      </c>
      <c r="H330" s="41">
        <f t="shared" si="20"/>
        <v>69424.5</v>
      </c>
      <c r="I330" s="41">
        <f t="shared" si="20"/>
        <v>32074.85</v>
      </c>
      <c r="J330" s="41">
        <f t="shared" si="20"/>
        <v>114511.87</v>
      </c>
      <c r="K330" s="41">
        <f t="shared" si="20"/>
        <v>0</v>
      </c>
      <c r="L330" s="41">
        <f t="shared" si="20"/>
        <v>329427.73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81696.06</v>
      </c>
      <c r="G344" s="41">
        <f>G330</f>
        <v>31720.45</v>
      </c>
      <c r="H344" s="41">
        <f>H330</f>
        <v>69424.5</v>
      </c>
      <c r="I344" s="41">
        <f>I330</f>
        <v>32074.85</v>
      </c>
      <c r="J344" s="41">
        <f>J330</f>
        <v>114511.87</v>
      </c>
      <c r="K344" s="47">
        <f>K330+K343</f>
        <v>0</v>
      </c>
      <c r="L344" s="41">
        <f>L330+L343</f>
        <v>329427.73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52061.78</v>
      </c>
      <c r="G350" s="18">
        <v>34507.730000000003</v>
      </c>
      <c r="H350" s="18">
        <v>1911.55</v>
      </c>
      <c r="I350" s="18">
        <v>46450.04</v>
      </c>
      <c r="J350" s="18">
        <v>2800</v>
      </c>
      <c r="K350" s="18"/>
      <c r="L350" s="13">
        <f>SUM(F350:K350)</f>
        <v>137731.1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52061.78</v>
      </c>
      <c r="G354" s="47">
        <f t="shared" si="22"/>
        <v>34507.730000000003</v>
      </c>
      <c r="H354" s="47">
        <f t="shared" si="22"/>
        <v>1911.55</v>
      </c>
      <c r="I354" s="47">
        <f t="shared" si="22"/>
        <v>46450.04</v>
      </c>
      <c r="J354" s="47">
        <f t="shared" si="22"/>
        <v>2800</v>
      </c>
      <c r="K354" s="47">
        <f t="shared" si="22"/>
        <v>0</v>
      </c>
      <c r="L354" s="47">
        <f t="shared" si="22"/>
        <v>137731.1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41108.230000000003</v>
      </c>
      <c r="G359" s="18"/>
      <c r="H359" s="18"/>
      <c r="I359" s="56">
        <f>SUM(F359:H359)</f>
        <v>41108.230000000003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5341.81</v>
      </c>
      <c r="G360" s="63"/>
      <c r="H360" s="63"/>
      <c r="I360" s="56">
        <f>SUM(F360:H360)</f>
        <v>5341.81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46450.04</v>
      </c>
      <c r="G361" s="47">
        <f>SUM(G359:G360)</f>
        <v>0</v>
      </c>
      <c r="H361" s="47">
        <f>SUM(H359:H360)</f>
        <v>0</v>
      </c>
      <c r="I361" s="47">
        <f>SUM(I359:I360)</f>
        <v>46450.04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20000</v>
      </c>
      <c r="H381" s="18">
        <v>641.94000000000005</v>
      </c>
      <c r="I381" s="18"/>
      <c r="J381" s="24" t="s">
        <v>312</v>
      </c>
      <c r="K381" s="24" t="s">
        <v>312</v>
      </c>
      <c r="L381" s="56">
        <f t="shared" si="25"/>
        <v>20641.939999999999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15000</v>
      </c>
      <c r="H382" s="18">
        <v>564.67999999999995</v>
      </c>
      <c r="I382" s="18"/>
      <c r="J382" s="24" t="s">
        <v>312</v>
      </c>
      <c r="K382" s="24" t="s">
        <v>312</v>
      </c>
      <c r="L382" s="56">
        <f t="shared" si="25"/>
        <v>15564.68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19.79</v>
      </c>
      <c r="I384" s="18"/>
      <c r="J384" s="24" t="s">
        <v>312</v>
      </c>
      <c r="K384" s="24" t="s">
        <v>312</v>
      </c>
      <c r="L384" s="56">
        <f t="shared" si="25"/>
        <v>19.79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35000</v>
      </c>
      <c r="H385" s="139">
        <f>SUM(H379:H384)</f>
        <v>1226.4099999999999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36226.409999999996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535.92999999999995</v>
      </c>
      <c r="I389" s="18"/>
      <c r="J389" s="24" t="s">
        <v>312</v>
      </c>
      <c r="K389" s="24" t="s">
        <v>312</v>
      </c>
      <c r="L389" s="56">
        <f t="shared" si="26"/>
        <v>20535.93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535.92999999999995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20535.93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</v>
      </c>
      <c r="H400" s="47">
        <f>H385+H393+H399</f>
        <v>1762.3399999999997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56762.34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200315.78</v>
      </c>
      <c r="G431" s="18">
        <v>107398.58</v>
      </c>
      <c r="H431" s="18"/>
      <c r="I431" s="56">
        <f t="shared" ref="I431:I437" si="33">SUM(F431:H431)</f>
        <v>307714.36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200315.78</v>
      </c>
      <c r="G438" s="13">
        <f>SUM(G431:G437)</f>
        <v>107398.58</v>
      </c>
      <c r="H438" s="13">
        <f>SUM(H431:H437)</f>
        <v>0</v>
      </c>
      <c r="I438" s="13">
        <f>SUM(I431:I437)</f>
        <v>307714.36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200315.78</v>
      </c>
      <c r="G449" s="18">
        <v>107398.58</v>
      </c>
      <c r="H449" s="18"/>
      <c r="I449" s="56">
        <f>SUM(F449:H449)</f>
        <v>307714.36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200315.78</v>
      </c>
      <c r="G450" s="83">
        <f>SUM(G446:G449)</f>
        <v>107398.58</v>
      </c>
      <c r="H450" s="83">
        <f>SUM(H446:H449)</f>
        <v>0</v>
      </c>
      <c r="I450" s="83">
        <f>SUM(I446:I449)</f>
        <v>307714.36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200315.78</v>
      </c>
      <c r="G451" s="42">
        <f>G444+G450</f>
        <v>107398.58</v>
      </c>
      <c r="H451" s="42">
        <f>H444+H450</f>
        <v>0</v>
      </c>
      <c r="I451" s="42">
        <f>I444+I450</f>
        <v>307714.36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233045.07</v>
      </c>
      <c r="G455" s="18">
        <v>517.79999999999995</v>
      </c>
      <c r="H455" s="18">
        <v>1812.46</v>
      </c>
      <c r="I455" s="18"/>
      <c r="J455" s="18">
        <v>250952.02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7133582.8300000001</v>
      </c>
      <c r="G458" s="18">
        <v>137731.1</v>
      </c>
      <c r="H458" s="18">
        <v>329423.59999999998</v>
      </c>
      <c r="I458" s="18"/>
      <c r="J458" s="18">
        <v>56762.34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7133582.8300000001</v>
      </c>
      <c r="G460" s="53">
        <f>SUM(G458:G459)</f>
        <v>137731.1</v>
      </c>
      <c r="H460" s="53">
        <f>SUM(H458:H459)</f>
        <v>329423.59999999998</v>
      </c>
      <c r="I460" s="53">
        <f>SUM(I458:I459)</f>
        <v>0</v>
      </c>
      <c r="J460" s="53">
        <f>SUM(J458:J459)</f>
        <v>56762.34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7041550.1200000001</v>
      </c>
      <c r="G462" s="18">
        <v>137731.1</v>
      </c>
      <c r="H462" s="18">
        <v>329427.73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7041550.1200000001</v>
      </c>
      <c r="G464" s="53">
        <f>SUM(G462:G463)</f>
        <v>137731.1</v>
      </c>
      <c r="H464" s="53">
        <f>SUM(H462:H463)</f>
        <v>329427.73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325077.78000000026</v>
      </c>
      <c r="G466" s="53">
        <f>(G455+G460)- G464</f>
        <v>517.79999999998836</v>
      </c>
      <c r="H466" s="53">
        <f>(H455+H460)- H464</f>
        <v>1808.3300000000163</v>
      </c>
      <c r="I466" s="53">
        <f>(I455+I460)- I464</f>
        <v>0</v>
      </c>
      <c r="J466" s="53">
        <f>(J455+J460)- J464</f>
        <v>307714.36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391007.3</v>
      </c>
      <c r="G511" s="18">
        <v>221629.95</v>
      </c>
      <c r="H511" s="18">
        <v>178819.24</v>
      </c>
      <c r="I511" s="18">
        <v>14059.06</v>
      </c>
      <c r="J511" s="18">
        <v>14868.31</v>
      </c>
      <c r="K511" s="18"/>
      <c r="L511" s="88">
        <f>SUM(F511:K511)</f>
        <v>820383.8600000001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440409.3</v>
      </c>
      <c r="I513" s="18"/>
      <c r="J513" s="18"/>
      <c r="K513" s="18"/>
      <c r="L513" s="88">
        <f>SUM(F513:K513)</f>
        <v>440409.3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391007.3</v>
      </c>
      <c r="G514" s="108">
        <f t="shared" ref="G514:L514" si="35">SUM(G511:G513)</f>
        <v>221629.95</v>
      </c>
      <c r="H514" s="108">
        <f t="shared" si="35"/>
        <v>619228.54</v>
      </c>
      <c r="I514" s="108">
        <f t="shared" si="35"/>
        <v>14059.06</v>
      </c>
      <c r="J514" s="108">
        <f t="shared" si="35"/>
        <v>14868.31</v>
      </c>
      <c r="K514" s="108">
        <f t="shared" si="35"/>
        <v>0</v>
      </c>
      <c r="L514" s="89">
        <f t="shared" si="35"/>
        <v>1260793.1600000001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116706.88</v>
      </c>
      <c r="G516" s="18">
        <v>45207.63</v>
      </c>
      <c r="H516" s="18">
        <v>21350</v>
      </c>
      <c r="I516" s="18">
        <v>725.29</v>
      </c>
      <c r="J516" s="18">
        <v>3111.09</v>
      </c>
      <c r="K516" s="18"/>
      <c r="L516" s="88">
        <f>SUM(F516:K516)</f>
        <v>187100.89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116706.88</v>
      </c>
      <c r="G519" s="89">
        <f t="shared" ref="G519:L519" si="36">SUM(G516:G518)</f>
        <v>45207.63</v>
      </c>
      <c r="H519" s="89">
        <f t="shared" si="36"/>
        <v>21350</v>
      </c>
      <c r="I519" s="89">
        <f t="shared" si="36"/>
        <v>725.29</v>
      </c>
      <c r="J519" s="89">
        <f t="shared" si="36"/>
        <v>3111.09</v>
      </c>
      <c r="K519" s="89">
        <f t="shared" si="36"/>
        <v>0</v>
      </c>
      <c r="L519" s="89">
        <f t="shared" si="36"/>
        <v>187100.89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31935.39</v>
      </c>
      <c r="I521" s="18"/>
      <c r="J521" s="18"/>
      <c r="K521" s="18"/>
      <c r="L521" s="88">
        <f>SUM(F521:K521)</f>
        <v>31935.39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13686.59</v>
      </c>
      <c r="I523" s="18"/>
      <c r="J523" s="18"/>
      <c r="K523" s="18"/>
      <c r="L523" s="88">
        <f>SUM(F523:K523)</f>
        <v>13686.59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45621.979999999996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45621.979999999996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0</v>
      </c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590.91999999999996</v>
      </c>
      <c r="I533" s="18"/>
      <c r="J533" s="18"/>
      <c r="K533" s="18"/>
      <c r="L533" s="88">
        <f>SUM(F533:K533)</f>
        <v>590.91999999999996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590.91999999999996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590.91999999999996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507714.18</v>
      </c>
      <c r="G535" s="89">
        <f t="shared" ref="G535:L535" si="40">G514+G519+G524+G529+G534</f>
        <v>266837.58</v>
      </c>
      <c r="H535" s="89">
        <f t="shared" si="40"/>
        <v>686791.44000000006</v>
      </c>
      <c r="I535" s="89">
        <f t="shared" si="40"/>
        <v>14784.349999999999</v>
      </c>
      <c r="J535" s="89">
        <f t="shared" si="40"/>
        <v>17979.400000000001</v>
      </c>
      <c r="K535" s="89">
        <f t="shared" si="40"/>
        <v>0</v>
      </c>
      <c r="L535" s="89">
        <f t="shared" si="40"/>
        <v>1494106.9500000002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820383.8600000001</v>
      </c>
      <c r="G539" s="87">
        <f>L516</f>
        <v>187100.89</v>
      </c>
      <c r="H539" s="87">
        <f>L521</f>
        <v>31935.39</v>
      </c>
      <c r="I539" s="87">
        <f>L526</f>
        <v>0</v>
      </c>
      <c r="J539" s="87">
        <f>L531</f>
        <v>0</v>
      </c>
      <c r="K539" s="87">
        <f>SUM(F539:J539)</f>
        <v>1039420.1400000001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440409.3</v>
      </c>
      <c r="G541" s="87">
        <f>L518</f>
        <v>0</v>
      </c>
      <c r="H541" s="87">
        <f>L523</f>
        <v>13686.59</v>
      </c>
      <c r="I541" s="87">
        <f>L528</f>
        <v>0</v>
      </c>
      <c r="J541" s="87">
        <f>L533</f>
        <v>590.91999999999996</v>
      </c>
      <c r="K541" s="87">
        <f>SUM(F541:J541)</f>
        <v>454686.81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1260793.1600000001</v>
      </c>
      <c r="G542" s="89">
        <f t="shared" si="41"/>
        <v>187100.89</v>
      </c>
      <c r="H542" s="89">
        <f t="shared" si="41"/>
        <v>45621.979999999996</v>
      </c>
      <c r="I542" s="89">
        <f t="shared" si="41"/>
        <v>0</v>
      </c>
      <c r="J542" s="89">
        <f t="shared" si="41"/>
        <v>590.91999999999996</v>
      </c>
      <c r="K542" s="89">
        <f t="shared" si="41"/>
        <v>1494106.9500000002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1951480</v>
      </c>
      <c r="I565" s="87">
        <f>SUM(F565:H565)</f>
        <v>1951480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53850.35</v>
      </c>
      <c r="G569" s="18"/>
      <c r="H569" s="18">
        <v>29811</v>
      </c>
      <c r="I569" s="87">
        <f t="shared" si="46"/>
        <v>83661.350000000006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83479.56</v>
      </c>
      <c r="G572" s="18"/>
      <c r="H572" s="18">
        <v>265129.23</v>
      </c>
      <c r="I572" s="87">
        <f t="shared" si="46"/>
        <v>348608.79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145469.07</v>
      </c>
      <c r="I573" s="87">
        <f t="shared" si="46"/>
        <v>145469.07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133349.47</v>
      </c>
      <c r="I581" s="18"/>
      <c r="J581" s="18">
        <v>88899.64</v>
      </c>
      <c r="K581" s="104">
        <f t="shared" ref="K581:K587" si="47">SUM(H581:J581)</f>
        <v>222249.11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590.91999999999996</v>
      </c>
      <c r="K582" s="104">
        <f t="shared" si="47"/>
        <v>590.91999999999996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4257.88</v>
      </c>
      <c r="I584" s="18"/>
      <c r="J584" s="18"/>
      <c r="K584" s="104">
        <f t="shared" si="47"/>
        <v>4257.88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5024.8599999999997</v>
      </c>
      <c r="I585" s="18"/>
      <c r="J585" s="18"/>
      <c r="K585" s="104">
        <f t="shared" si="47"/>
        <v>5024.8599999999997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142632.21</v>
      </c>
      <c r="I588" s="108">
        <f>SUM(I581:I587)</f>
        <v>0</v>
      </c>
      <c r="J588" s="108">
        <f>SUM(J581:J587)</f>
        <v>89490.559999999998</v>
      </c>
      <c r="K588" s="108">
        <f>SUM(K581:K587)</f>
        <v>232122.77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141896.57</v>
      </c>
      <c r="I594" s="18"/>
      <c r="J594" s="18"/>
      <c r="K594" s="104">
        <f>SUM(H594:J594)</f>
        <v>141896.57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141896.57</v>
      </c>
      <c r="I595" s="108">
        <f>SUM(I592:I594)</f>
        <v>0</v>
      </c>
      <c r="J595" s="108">
        <f>SUM(J592:J594)</f>
        <v>0</v>
      </c>
      <c r="K595" s="108">
        <f>SUM(K592:K594)</f>
        <v>141896.57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3300</v>
      </c>
      <c r="G601" s="18">
        <v>511.26</v>
      </c>
      <c r="H601" s="18"/>
      <c r="I601" s="18">
        <v>598.44000000000005</v>
      </c>
      <c r="J601" s="18"/>
      <c r="K601" s="18"/>
      <c r="L601" s="88">
        <f>SUM(F601:K601)</f>
        <v>4409.7000000000007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3300</v>
      </c>
      <c r="G604" s="108">
        <f t="shared" si="48"/>
        <v>511.26</v>
      </c>
      <c r="H604" s="108">
        <f t="shared" si="48"/>
        <v>0</v>
      </c>
      <c r="I604" s="108">
        <f t="shared" si="48"/>
        <v>598.44000000000005</v>
      </c>
      <c r="J604" s="108">
        <f t="shared" si="48"/>
        <v>0</v>
      </c>
      <c r="K604" s="108">
        <f t="shared" si="48"/>
        <v>0</v>
      </c>
      <c r="L604" s="89">
        <f t="shared" si="48"/>
        <v>4409.7000000000007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390694.88</v>
      </c>
      <c r="H607" s="109">
        <f>SUM(F44)</f>
        <v>390694.88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87174.48000000001</v>
      </c>
      <c r="H608" s="109">
        <f>SUM(G44)</f>
        <v>87174.48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83681.289999999994</v>
      </c>
      <c r="H609" s="109">
        <f>SUM(H44)</f>
        <v>83681.290000000008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307714.36</v>
      </c>
      <c r="H611" s="109">
        <f>SUM(J44)</f>
        <v>307714.36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325077.78000000003</v>
      </c>
      <c r="H612" s="109">
        <f>F466</f>
        <v>325077.78000000026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517.79999999999995</v>
      </c>
      <c r="H613" s="109">
        <f>G466</f>
        <v>517.79999999998836</v>
      </c>
      <c r="I613" s="121" t="s">
        <v>108</v>
      </c>
      <c r="J613" s="109">
        <f t="shared" si="49"/>
        <v>1.1596057447604835E-11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1808.33</v>
      </c>
      <c r="H614" s="109">
        <f>H466</f>
        <v>1808.3300000000163</v>
      </c>
      <c r="I614" s="121" t="s">
        <v>110</v>
      </c>
      <c r="J614" s="109">
        <f t="shared" si="49"/>
        <v>-1.6370904631912708E-11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307714.36</v>
      </c>
      <c r="H616" s="109">
        <f>J466</f>
        <v>307714.36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7133582.8300000001</v>
      </c>
      <c r="H617" s="104">
        <f>SUM(F458)</f>
        <v>7133582.8300000001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137731.1</v>
      </c>
      <c r="H618" s="104">
        <f>SUM(G458)</f>
        <v>137731.1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329423.59999999998</v>
      </c>
      <c r="H619" s="104">
        <f>SUM(H458)</f>
        <v>329423.59999999998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56762.34</v>
      </c>
      <c r="H621" s="104">
        <f>SUM(J458)</f>
        <v>56762.34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7041550.1199999992</v>
      </c>
      <c r="H622" s="104">
        <f>SUM(F462)</f>
        <v>7041550.1200000001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329427.73</v>
      </c>
      <c r="H623" s="104">
        <f>SUM(H462)</f>
        <v>329427.73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46450.04</v>
      </c>
      <c r="H624" s="104">
        <f>I361</f>
        <v>46450.04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137731.1</v>
      </c>
      <c r="H625" s="104">
        <f>SUM(G462)</f>
        <v>137731.1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56762.34</v>
      </c>
      <c r="H627" s="164">
        <f>SUM(J458)</f>
        <v>56762.34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200315.78</v>
      </c>
      <c r="H629" s="104">
        <f>SUM(F451)</f>
        <v>200315.78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107398.58</v>
      </c>
      <c r="H630" s="104">
        <f>SUM(G451)</f>
        <v>107398.58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307714.36</v>
      </c>
      <c r="H632" s="104">
        <f>SUM(I451)</f>
        <v>307714.36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1762.34</v>
      </c>
      <c r="H634" s="104">
        <f>H400</f>
        <v>1762.3399999999997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</v>
      </c>
      <c r="H635" s="104">
        <f>G400</f>
        <v>55000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56762.34</v>
      </c>
      <c r="H636" s="104">
        <f>L400</f>
        <v>56762.34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232122.77</v>
      </c>
      <c r="H637" s="104">
        <f>L200+L218+L236</f>
        <v>232122.77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141896.57</v>
      </c>
      <c r="H638" s="104">
        <f>(J249+J330)-(J247+J328)</f>
        <v>141896.57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142632.21</v>
      </c>
      <c r="H639" s="104">
        <f>H588</f>
        <v>142632.21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89490.559999999998</v>
      </c>
      <c r="H641" s="104">
        <f>J588</f>
        <v>89490.559999999998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8942.02</v>
      </c>
      <c r="H642" s="104">
        <f>K255+K337</f>
        <v>8942.02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</v>
      </c>
      <c r="H645" s="104">
        <f>K258+K339</f>
        <v>55000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4870626.3699999992</v>
      </c>
      <c r="G650" s="19">
        <f>(L221+L301+L351)</f>
        <v>0</v>
      </c>
      <c r="H650" s="19">
        <f>(L239+L320+L352)</f>
        <v>2574140.5599999996</v>
      </c>
      <c r="I650" s="19">
        <f>SUM(F650:H650)</f>
        <v>7444766.9299999988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80834.179999999993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80834.179999999993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142632.21</v>
      </c>
      <c r="G652" s="19">
        <f>(L218+L298)-(J218+J298)</f>
        <v>0</v>
      </c>
      <c r="H652" s="19">
        <f>(L236+L317)-(J236+J317)</f>
        <v>89490.559999999998</v>
      </c>
      <c r="I652" s="19">
        <f>SUM(F652:H652)</f>
        <v>232122.77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283636.18</v>
      </c>
      <c r="G653" s="200">
        <f>SUM(G565:G577)+SUM(I592:I594)+L602</f>
        <v>0</v>
      </c>
      <c r="H653" s="200">
        <f>SUM(H565:H577)+SUM(J592:J594)+L603</f>
        <v>2391889.2999999998</v>
      </c>
      <c r="I653" s="19">
        <f>SUM(F653:H653)</f>
        <v>2675525.48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4363523.7999999989</v>
      </c>
      <c r="G654" s="19">
        <f>G650-SUM(G651:G653)</f>
        <v>0</v>
      </c>
      <c r="H654" s="19">
        <f>H650-SUM(H651:H653)</f>
        <v>92760.699999999721</v>
      </c>
      <c r="I654" s="19">
        <f>I650-SUM(I651:I653)</f>
        <v>4456284.4999999991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289.27999999999997</v>
      </c>
      <c r="G655" s="249"/>
      <c r="H655" s="249"/>
      <c r="I655" s="19">
        <f>SUM(F655:H655)</f>
        <v>289.27999999999997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15084.08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15404.74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-92760.7</v>
      </c>
      <c r="I659" s="19">
        <f>SUM(F659:H659)</f>
        <v>-92760.7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15084.08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15084.08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07A8-1ED5-49A2-95DE-9CFC9108D934}">
  <sheetPr>
    <tabColor indexed="20"/>
  </sheetPr>
  <dimension ref="A1:C52"/>
  <sheetViews>
    <sheetView topLeftCell="A16" workbookViewId="0">
      <selection activeCell="C49" sqref="C4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BARTLETT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1527758.76</v>
      </c>
      <c r="C9" s="230">
        <f>'DOE25'!G189+'DOE25'!G207+'DOE25'!G225+'DOE25'!G268+'DOE25'!G287+'DOE25'!G306</f>
        <v>511311.83999999997</v>
      </c>
    </row>
    <row r="10" spans="1:3" x14ac:dyDescent="0.2">
      <c r="A10" t="s">
        <v>813</v>
      </c>
      <c r="B10" s="241">
        <v>1403324.16</v>
      </c>
      <c r="C10" s="241">
        <v>473783.9</v>
      </c>
    </row>
    <row r="11" spans="1:3" x14ac:dyDescent="0.2">
      <c r="A11" t="s">
        <v>814</v>
      </c>
      <c r="B11" s="241">
        <v>42104.94</v>
      </c>
      <c r="C11" s="241">
        <v>21246.26</v>
      </c>
    </row>
    <row r="12" spans="1:3" x14ac:dyDescent="0.2">
      <c r="A12" t="s">
        <v>815</v>
      </c>
      <c r="B12" s="241">
        <v>82329.66</v>
      </c>
      <c r="C12" s="241">
        <v>16281.68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1527758.7599999998</v>
      </c>
      <c r="C13" s="232">
        <f>SUM(C10:C12)</f>
        <v>511311.84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391007.3</v>
      </c>
      <c r="C18" s="230">
        <f>'DOE25'!G190+'DOE25'!G208+'DOE25'!G226+'DOE25'!G269+'DOE25'!G288+'DOE25'!G307</f>
        <v>221629.95</v>
      </c>
    </row>
    <row r="19" spans="1:3" x14ac:dyDescent="0.2">
      <c r="A19" t="s">
        <v>813</v>
      </c>
      <c r="B19" s="241">
        <v>211989.45</v>
      </c>
      <c r="C19" s="241">
        <v>83764.75</v>
      </c>
    </row>
    <row r="20" spans="1:3" x14ac:dyDescent="0.2">
      <c r="A20" t="s">
        <v>814</v>
      </c>
      <c r="B20" s="241">
        <v>179017.85</v>
      </c>
      <c r="C20" s="241">
        <v>137865.20000000001</v>
      </c>
    </row>
    <row r="21" spans="1:3" x14ac:dyDescent="0.2">
      <c r="A21" t="s">
        <v>815</v>
      </c>
      <c r="B21" s="241">
        <v>0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391007.30000000005</v>
      </c>
      <c r="C22" s="232">
        <f>SUM(C19:C21)</f>
        <v>221629.95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52240</v>
      </c>
      <c r="C36" s="236">
        <f>'DOE25'!G192+'DOE25'!G210+'DOE25'!G228+'DOE25'!G271+'DOE25'!G290+'DOE25'!G309</f>
        <v>7736.59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52240</v>
      </c>
      <c r="C39" s="241">
        <v>7736.59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52240</v>
      </c>
      <c r="C40" s="232">
        <f>SUM(C37:C39)</f>
        <v>7736.59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1325-0202-40F7-BFE2-6766DC8EE223}">
  <sheetPr>
    <tabColor indexed="11"/>
  </sheetPr>
  <dimension ref="A1:I51"/>
  <sheetViews>
    <sheetView workbookViewId="0">
      <pane ySplit="4" topLeftCell="A5" activePane="bottomLeft" state="frozen"/>
      <selection pane="bottomLeft" activeCell="D34" sqref="D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BARTLETT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5298385.2699999996</v>
      </c>
      <c r="D5" s="20">
        <f>SUM('DOE25'!L189:L192)+SUM('DOE25'!L207:L210)+SUM('DOE25'!L225:L228)-F5-G5</f>
        <v>5281016.5299999993</v>
      </c>
      <c r="E5" s="244"/>
      <c r="F5" s="256">
        <f>SUM('DOE25'!J189:J192)+SUM('DOE25'!J207:J210)+SUM('DOE25'!J225:J228)</f>
        <v>17368.740000000002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364113.29000000004</v>
      </c>
      <c r="D6" s="20">
        <f>'DOE25'!L194+'DOE25'!L212+'DOE25'!L230-F6-G6</f>
        <v>361002.2</v>
      </c>
      <c r="E6" s="244"/>
      <c r="F6" s="256">
        <f>'DOE25'!J194+'DOE25'!J212+'DOE25'!J230</f>
        <v>3111.09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141081.04</v>
      </c>
      <c r="D7" s="20">
        <f>'DOE25'!L195+'DOE25'!L213+'DOE25'!L231-F7-G7</f>
        <v>140563.59</v>
      </c>
      <c r="E7" s="244"/>
      <c r="F7" s="256">
        <f>'DOE25'!J195+'DOE25'!J213+'DOE25'!J231</f>
        <v>517.45000000000005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192367.66999999995</v>
      </c>
      <c r="D8" s="244"/>
      <c r="E8" s="20">
        <f>'DOE25'!L196+'DOE25'!L214+'DOE25'!L232-F8-G8-D9-D11</f>
        <v>189474.01999999996</v>
      </c>
      <c r="F8" s="256">
        <f>'DOE25'!J196+'DOE25'!J214+'DOE25'!J232</f>
        <v>0</v>
      </c>
      <c r="G8" s="53">
        <f>'DOE25'!K196+'DOE25'!K214+'DOE25'!K232</f>
        <v>2893.65</v>
      </c>
      <c r="H8" s="260"/>
    </row>
    <row r="9" spans="1:9" x14ac:dyDescent="0.2">
      <c r="A9" s="32">
        <v>2310</v>
      </c>
      <c r="B9" t="s">
        <v>852</v>
      </c>
      <c r="C9" s="246">
        <f t="shared" si="0"/>
        <v>42476.99</v>
      </c>
      <c r="D9" s="245">
        <v>42476.99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7195</v>
      </c>
      <c r="D10" s="244"/>
      <c r="E10" s="245">
        <v>7195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73876.33</v>
      </c>
      <c r="D11" s="245">
        <v>73876.33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248561.55</v>
      </c>
      <c r="D12" s="20">
        <f>'DOE25'!L197+'DOE25'!L215+'DOE25'!L233-F12-G12</f>
        <v>246337.55</v>
      </c>
      <c r="E12" s="244"/>
      <c r="F12" s="256">
        <f>'DOE25'!J197+'DOE25'!J215+'DOE25'!J233</f>
        <v>0</v>
      </c>
      <c r="G12" s="53">
        <f>'DOE25'!K197+'DOE25'!K215+'DOE25'!K233</f>
        <v>2224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384262.19</v>
      </c>
      <c r="D14" s="20">
        <f>'DOE25'!L199+'DOE25'!L217+'DOE25'!L235-F14-G14</f>
        <v>377874.77</v>
      </c>
      <c r="E14" s="244"/>
      <c r="F14" s="256">
        <f>'DOE25'!J199+'DOE25'!J217+'DOE25'!J235</f>
        <v>6387.42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232122.77</v>
      </c>
      <c r="D15" s="20">
        <f>'DOE25'!L200+'DOE25'!L218+'DOE25'!L236-F15-G15</f>
        <v>232122.77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361</v>
      </c>
      <c r="D16" s="244"/>
      <c r="E16" s="20">
        <f>'DOE25'!L201+'DOE25'!L219+'DOE25'!L237-F16-G16</f>
        <v>361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96622.87</v>
      </c>
      <c r="D29" s="20">
        <f>'DOE25'!L350+'DOE25'!L351+'DOE25'!L352-'DOE25'!I359-F29-G29</f>
        <v>93822.87</v>
      </c>
      <c r="E29" s="244"/>
      <c r="F29" s="256">
        <f>'DOE25'!J350+'DOE25'!J351+'DOE25'!J352</f>
        <v>2800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329427.73</v>
      </c>
      <c r="D31" s="20">
        <f>'DOE25'!L282+'DOE25'!L301+'DOE25'!L320+'DOE25'!L325+'DOE25'!L326+'DOE25'!L327-F31-G31</f>
        <v>214915.86</v>
      </c>
      <c r="E31" s="244"/>
      <c r="F31" s="256">
        <f>'DOE25'!J282+'DOE25'!J301+'DOE25'!J320+'DOE25'!J325+'DOE25'!J326+'DOE25'!J327</f>
        <v>114511.87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7064009.459999999</v>
      </c>
      <c r="E33" s="247">
        <f>SUM(E5:E31)</f>
        <v>197030.01999999996</v>
      </c>
      <c r="F33" s="247">
        <f>SUM(F5:F31)</f>
        <v>144696.57</v>
      </c>
      <c r="G33" s="247">
        <f>SUM(G5:G31)</f>
        <v>5117.6499999999996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197030.01999999996</v>
      </c>
      <c r="E35" s="250"/>
    </row>
    <row r="36" spans="2:8" ht="12" thickTop="1" x14ac:dyDescent="0.2">
      <c r="B36" t="s">
        <v>849</v>
      </c>
      <c r="D36" s="20">
        <f>D33</f>
        <v>7064009.459999999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147-C7B9-4573-BDFD-80F505D1074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2" sqref="A2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BARTLETT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217541.79</v>
      </c>
      <c r="D9" s="95">
        <f>'DOE25'!G9</f>
        <v>69795.17</v>
      </c>
      <c r="E9" s="95">
        <f>'DOE25'!H9</f>
        <v>0</v>
      </c>
      <c r="F9" s="95">
        <f>'DOE25'!I9</f>
        <v>0</v>
      </c>
      <c r="G9" s="95">
        <f>'DOE25'!J9</f>
        <v>307714.36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168442.47</v>
      </c>
      <c r="D12" s="95">
        <f>'DOE25'!G12</f>
        <v>6142.02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4710.62</v>
      </c>
      <c r="D13" s="95">
        <f>'DOE25'!G13</f>
        <v>10766.52</v>
      </c>
      <c r="E13" s="95">
        <f>'DOE25'!H13</f>
        <v>83681.289999999994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470.77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390694.88</v>
      </c>
      <c r="D19" s="41">
        <f>SUM(D9:D18)</f>
        <v>87174.48000000001</v>
      </c>
      <c r="E19" s="41">
        <f>SUM(E9:E18)</f>
        <v>83681.289999999994</v>
      </c>
      <c r="F19" s="41">
        <f>SUM(F9:F18)</f>
        <v>0</v>
      </c>
      <c r="G19" s="41">
        <f>SUM(G9:G18)</f>
        <v>307714.36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6142.02</v>
      </c>
      <c r="D22" s="95">
        <f>'DOE25'!G23</f>
        <v>86569.51</v>
      </c>
      <c r="E22" s="95">
        <f>'DOE25'!H23</f>
        <v>81872.960000000006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33333.69</v>
      </c>
      <c r="D24" s="95">
        <f>'DOE25'!G25</f>
        <v>87.17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4928.67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21212.720000000001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65617.100000000006</v>
      </c>
      <c r="D32" s="41">
        <f>SUM(D22:D31)</f>
        <v>86656.68</v>
      </c>
      <c r="E32" s="41">
        <f>SUM(E22:E31)</f>
        <v>81872.960000000006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517.79999999999995</v>
      </c>
      <c r="E40" s="95">
        <f>'DOE25'!H41</f>
        <v>1808.33</v>
      </c>
      <c r="F40" s="95">
        <f>'DOE25'!I41</f>
        <v>0</v>
      </c>
      <c r="G40" s="95">
        <f>'DOE25'!J41</f>
        <v>307714.36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325077.78000000003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325077.78000000003</v>
      </c>
      <c r="D42" s="41">
        <f>SUM(D34:D41)</f>
        <v>517.79999999999995</v>
      </c>
      <c r="E42" s="41">
        <f>SUM(E34:E41)</f>
        <v>1808.33</v>
      </c>
      <c r="F42" s="41">
        <f>SUM(F34:F41)</f>
        <v>0</v>
      </c>
      <c r="G42" s="41">
        <f>SUM(G34:G41)</f>
        <v>307714.36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390694.88</v>
      </c>
      <c r="D43" s="41">
        <f>D42+D32</f>
        <v>87174.48</v>
      </c>
      <c r="E43" s="41">
        <f>E42+E32</f>
        <v>83681.290000000008</v>
      </c>
      <c r="F43" s="41">
        <f>F42+F32</f>
        <v>0</v>
      </c>
      <c r="G43" s="41">
        <f>G42+G32</f>
        <v>307714.36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4217416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200720.21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2835.69</v>
      </c>
      <c r="D51" s="95">
        <f>'DOE25'!G88</f>
        <v>47.25</v>
      </c>
      <c r="E51" s="95">
        <f>'DOE25'!H88</f>
        <v>0</v>
      </c>
      <c r="F51" s="95">
        <f>'DOE25'!I88</f>
        <v>0</v>
      </c>
      <c r="G51" s="95">
        <f>'DOE25'!J88</f>
        <v>1762.34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80834.179999999993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25108.01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228663.91</v>
      </c>
      <c r="D54" s="130">
        <f>SUM(D49:D53)</f>
        <v>80881.429999999993</v>
      </c>
      <c r="E54" s="130">
        <f>SUM(E49:E53)</f>
        <v>0</v>
      </c>
      <c r="F54" s="130">
        <f>SUM(F49:F53)</f>
        <v>0</v>
      </c>
      <c r="G54" s="130">
        <f>SUM(G49:G53)</f>
        <v>1762.34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4446079.91</v>
      </c>
      <c r="D55" s="22">
        <f>D48+D54</f>
        <v>80881.429999999993</v>
      </c>
      <c r="E55" s="22">
        <f>E48+E54</f>
        <v>0</v>
      </c>
      <c r="F55" s="22">
        <f>F48+F54</f>
        <v>0</v>
      </c>
      <c r="G55" s="22">
        <f>G48+G54</f>
        <v>1762.34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33941.360000000001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2287957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13022.64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2334921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12508.92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224258.93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1537.74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236767.85</v>
      </c>
      <c r="D70" s="130">
        <f>SUM(D64:D69)</f>
        <v>1537.74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2571688.85</v>
      </c>
      <c r="D73" s="130">
        <f>SUM(D71:D72)+D70+D62</f>
        <v>1537.74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95982.2</v>
      </c>
      <c r="D80" s="95">
        <f>SUM('DOE25'!G145:G153)</f>
        <v>46369.91</v>
      </c>
      <c r="E80" s="95">
        <f>SUM('DOE25'!H145:H153)</f>
        <v>329423.59999999998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19831.87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115814.06999999999</v>
      </c>
      <c r="D83" s="131">
        <f>SUM(D77:D82)</f>
        <v>46369.91</v>
      </c>
      <c r="E83" s="131">
        <f>SUM(E77:E82)</f>
        <v>329423.59999999998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8942.02</v>
      </c>
      <c r="E88" s="95">
        <f>'DOE25'!H171</f>
        <v>0</v>
      </c>
      <c r="F88" s="95">
        <f>'DOE25'!I171</f>
        <v>0</v>
      </c>
      <c r="G88" s="95">
        <f>'DOE25'!J171</f>
        <v>55000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8942.02</v>
      </c>
      <c r="E95" s="86">
        <f>SUM(E85:E94)</f>
        <v>0</v>
      </c>
      <c r="F95" s="86">
        <f>SUM(F85:F94)</f>
        <v>0</v>
      </c>
      <c r="G95" s="86">
        <f>SUM(G85:G94)</f>
        <v>55000</v>
      </c>
    </row>
    <row r="96" spans="1:7" ht="12.75" thickTop="1" thickBot="1" x14ac:dyDescent="0.25">
      <c r="A96" s="33" t="s">
        <v>797</v>
      </c>
      <c r="C96" s="86">
        <f>C55+C73+C83+C95</f>
        <v>7133582.8300000001</v>
      </c>
      <c r="D96" s="86">
        <f>D55+D73+D83+D95</f>
        <v>137731.1</v>
      </c>
      <c r="E96" s="86">
        <f>E55+E73+E83+E95</f>
        <v>329423.59999999998</v>
      </c>
      <c r="F96" s="86">
        <f>F55+F73+F83+F95</f>
        <v>0</v>
      </c>
      <c r="G96" s="86">
        <f>G55+G73+G95</f>
        <v>56762.34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3986748.5300000003</v>
      </c>
      <c r="D101" s="24" t="s">
        <v>312</v>
      </c>
      <c r="E101" s="95">
        <f>('DOE25'!L268)+('DOE25'!L287)+('DOE25'!L306)</f>
        <v>202956.9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1215226.6599999999</v>
      </c>
      <c r="D102" s="24" t="s">
        <v>312</v>
      </c>
      <c r="E102" s="95">
        <f>('DOE25'!L269)+('DOE25'!L288)+('DOE25'!L307)</f>
        <v>45566.5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96410.08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5298385.2700000005</v>
      </c>
      <c r="D107" s="86">
        <f>SUM(D101:D106)</f>
        <v>0</v>
      </c>
      <c r="E107" s="86">
        <f>SUM(E101:E106)</f>
        <v>248523.4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364113.29000000004</v>
      </c>
      <c r="D110" s="24" t="s">
        <v>312</v>
      </c>
      <c r="E110" s="95">
        <f>+('DOE25'!L273)+('DOE25'!L292)+('DOE25'!L311)</f>
        <v>28020.03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141081.04</v>
      </c>
      <c r="D111" s="24" t="s">
        <v>312</v>
      </c>
      <c r="E111" s="95">
        <f>+('DOE25'!L274)+('DOE25'!L293)+('DOE25'!L312)</f>
        <v>52884.3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308720.99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248561.55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384262.19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232122.77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361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137731.1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1679222.83</v>
      </c>
      <c r="D120" s="86">
        <f>SUM(D110:D119)</f>
        <v>137731.1</v>
      </c>
      <c r="E120" s="86">
        <f>SUM(E110:E119)</f>
        <v>80904.33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8942.02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36226.409999999996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20535.93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-1762.3399999999965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63942.01999999999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7041550.1200000001</v>
      </c>
      <c r="D137" s="86">
        <f>(D107+D120+D136)</f>
        <v>137731.1</v>
      </c>
      <c r="E137" s="86">
        <f>(E107+E120+E136)</f>
        <v>329427.73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CBE5-2881-4319-BCA7-5DB9B4B0359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BARTLETT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15084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15084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4189705</v>
      </c>
      <c r="D10" s="182">
        <f>ROUND((C10/$C$28)*100,1)</f>
        <v>56.9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1260793</v>
      </c>
      <c r="D11" s="182">
        <f>ROUND((C11/$C$28)*100,1)</f>
        <v>17.100000000000001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96410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392133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193965</v>
      </c>
      <c r="D16" s="182">
        <f t="shared" si="0"/>
        <v>2.6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309082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248562</v>
      </c>
      <c r="D18" s="182">
        <f t="shared" si="0"/>
        <v>3.4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384262</v>
      </c>
      <c r="D20" s="182">
        <f t="shared" si="0"/>
        <v>5.2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232123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56896.820000000007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7363931.8200000003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7363931.8200000003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4217416</v>
      </c>
      <c r="D35" s="182">
        <f t="shared" ref="D35:D40" si="1">ROUND((C35/$C$41)*100,1)</f>
        <v>56.1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230473.5</v>
      </c>
      <c r="D36" s="182">
        <f t="shared" si="1"/>
        <v>3.1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2321898</v>
      </c>
      <c r="D37" s="182">
        <f t="shared" si="1"/>
        <v>30.9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251328</v>
      </c>
      <c r="D38" s="182">
        <f t="shared" si="1"/>
        <v>3.3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491608</v>
      </c>
      <c r="D39" s="182">
        <f t="shared" si="1"/>
        <v>6.5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7512723.5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1CC3-BE19-4DC1-957A-F1B3F9BCA37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BARTLETT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2010-09-20T11:57:14Z</cp:lastPrinted>
  <dcterms:created xsi:type="dcterms:W3CDTF">1997-12-04T19:04:30Z</dcterms:created>
  <dcterms:modified xsi:type="dcterms:W3CDTF">2025-01-02T14:39:45Z</dcterms:modified>
</cp:coreProperties>
</file>