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0E92A18-BF49-49B7-97F4-6B0479BDC124}" xr6:coauthVersionLast="47" xr6:coauthVersionMax="47" xr10:uidLastSave="{00000000-0000-0000-0000-000000000000}"/>
  <workbookProtection workbookPassword="B70A" lockStructure="1"/>
  <bookViews>
    <workbookView xWindow="3150" yWindow="3150" windowWidth="21600" windowHeight="11505" tabRatio="948" xr2:uid="{C2D248EC-1544-4ABB-AEC3-4799C60048B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9" i="1" l="1"/>
  <c r="I488" i="1"/>
  <c r="E151" i="2" s="1"/>
  <c r="H594" i="1"/>
  <c r="F653" i="1" s="1"/>
  <c r="I653" i="1" s="1"/>
  <c r="H489" i="1"/>
  <c r="D152" i="2" s="1"/>
  <c r="H485" i="1"/>
  <c r="K485" i="1" s="1"/>
  <c r="F462" i="1"/>
  <c r="H147" i="1"/>
  <c r="H146" i="1"/>
  <c r="J88" i="1"/>
  <c r="J103" i="1" s="1"/>
  <c r="J104" i="1" s="1"/>
  <c r="F42" i="1"/>
  <c r="C41" i="2" s="1"/>
  <c r="F30" i="1"/>
  <c r="F33" i="1" s="1"/>
  <c r="F9" i="1"/>
  <c r="F192" i="1"/>
  <c r="F203" i="1" s="1"/>
  <c r="F249" i="1" s="1"/>
  <c r="F263" i="1" s="1"/>
  <c r="H513" i="1"/>
  <c r="H511" i="1"/>
  <c r="L511" i="1" s="1"/>
  <c r="J350" i="1"/>
  <c r="J354" i="1" s="1"/>
  <c r="I350" i="1"/>
  <c r="H350" i="1"/>
  <c r="G350" i="1"/>
  <c r="F350" i="1"/>
  <c r="H232" i="1"/>
  <c r="L232" i="1" s="1"/>
  <c r="C112" i="2" s="1"/>
  <c r="H226" i="1"/>
  <c r="H239" i="1" s="1"/>
  <c r="H214" i="1"/>
  <c r="H221" i="1" s="1"/>
  <c r="H249" i="1" s="1"/>
  <c r="H263" i="1" s="1"/>
  <c r="H201" i="1"/>
  <c r="H199" i="1"/>
  <c r="H196" i="1"/>
  <c r="H194" i="1"/>
  <c r="H190" i="1"/>
  <c r="L190" i="1" s="1"/>
  <c r="H189" i="1"/>
  <c r="L189" i="1" s="1"/>
  <c r="C60" i="2"/>
  <c r="B2" i="13"/>
  <c r="F8" i="13"/>
  <c r="G8" i="13"/>
  <c r="L196" i="1"/>
  <c r="E8" i="13" s="1"/>
  <c r="L214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F33" i="13" s="1"/>
  <c r="G5" i="13"/>
  <c r="L191" i="1"/>
  <c r="C103" i="2" s="1"/>
  <c r="L192" i="1"/>
  <c r="C104" i="2" s="1"/>
  <c r="L207" i="1"/>
  <c r="L221" i="1" s="1"/>
  <c r="L208" i="1"/>
  <c r="L209" i="1"/>
  <c r="L210" i="1"/>
  <c r="L225" i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G640" i="1" s="1"/>
  <c r="J640" i="1" s="1"/>
  <c r="L236" i="1"/>
  <c r="F17" i="13"/>
  <c r="G17" i="13"/>
  <c r="L243" i="1"/>
  <c r="C106" i="2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G31" i="13" s="1"/>
  <c r="K320" i="1"/>
  <c r="L268" i="1"/>
  <c r="L269" i="1"/>
  <c r="L270" i="1"/>
  <c r="L271" i="1"/>
  <c r="L273" i="1"/>
  <c r="L282" i="1" s="1"/>
  <c r="L274" i="1"/>
  <c r="C16" i="10" s="1"/>
  <c r="L275" i="1"/>
  <c r="E112" i="2" s="1"/>
  <c r="L276" i="1"/>
  <c r="L277" i="1"/>
  <c r="L278" i="1"/>
  <c r="E115" i="2" s="1"/>
  <c r="L279" i="1"/>
  <c r="E116" i="2" s="1"/>
  <c r="L280" i="1"/>
  <c r="L287" i="1"/>
  <c r="L288" i="1"/>
  <c r="L289" i="1"/>
  <c r="L290" i="1"/>
  <c r="L301" i="1" s="1"/>
  <c r="L292" i="1"/>
  <c r="L293" i="1"/>
  <c r="E111" i="2" s="1"/>
  <c r="L294" i="1"/>
  <c r="L295" i="1"/>
  <c r="L296" i="1"/>
  <c r="L297" i="1"/>
  <c r="L298" i="1"/>
  <c r="L299" i="1"/>
  <c r="L306" i="1"/>
  <c r="L307" i="1"/>
  <c r="L308" i="1"/>
  <c r="L320" i="1" s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C25" i="10" s="1"/>
  <c r="L333" i="1"/>
  <c r="L334" i="1"/>
  <c r="L247" i="1"/>
  <c r="C122" i="2" s="1"/>
  <c r="L328" i="1"/>
  <c r="E122" i="2" s="1"/>
  <c r="E136" i="2" s="1"/>
  <c r="F22" i="13"/>
  <c r="C22" i="13" s="1"/>
  <c r="C11" i="13"/>
  <c r="C10" i="13"/>
  <c r="C9" i="13"/>
  <c r="L353" i="1"/>
  <c r="L354" i="1"/>
  <c r="G625" i="1" s="1"/>
  <c r="J625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 s="1"/>
  <c r="L258" i="1"/>
  <c r="J52" i="1"/>
  <c r="G48" i="2"/>
  <c r="G55" i="2" s="1"/>
  <c r="G96" i="2" s="1"/>
  <c r="G51" i="2"/>
  <c r="G54" i="2" s="1"/>
  <c r="G53" i="2"/>
  <c r="F2" i="11"/>
  <c r="L603" i="1"/>
  <c r="H653" i="1"/>
  <c r="L602" i="1"/>
  <c r="G653" i="1" s="1"/>
  <c r="L601" i="1"/>
  <c r="C40" i="10"/>
  <c r="F52" i="1"/>
  <c r="C35" i="10" s="1"/>
  <c r="G52" i="1"/>
  <c r="D48" i="2" s="1"/>
  <c r="D55" i="2" s="1"/>
  <c r="H52" i="1"/>
  <c r="E48" i="2" s="1"/>
  <c r="I52" i="1"/>
  <c r="F48" i="2" s="1"/>
  <c r="F71" i="1"/>
  <c r="F86" i="1"/>
  <c r="F103" i="1"/>
  <c r="G103" i="1"/>
  <c r="H71" i="1"/>
  <c r="H104" i="1" s="1"/>
  <c r="H86" i="1"/>
  <c r="E50" i="2" s="1"/>
  <c r="H103" i="1"/>
  <c r="I103" i="1"/>
  <c r="I104" i="1"/>
  <c r="C37" i="10"/>
  <c r="F113" i="1"/>
  <c r="F128" i="1"/>
  <c r="F132" i="1"/>
  <c r="G113" i="1"/>
  <c r="G132" i="1" s="1"/>
  <c r="C38" i="10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H161" i="1" s="1"/>
  <c r="H154" i="1"/>
  <c r="I139" i="1"/>
  <c r="I154" i="1"/>
  <c r="I161" i="1"/>
  <c r="C12" i="10"/>
  <c r="C13" i="10"/>
  <c r="C19" i="10"/>
  <c r="L242" i="1"/>
  <c r="L324" i="1"/>
  <c r="C23" i="10"/>
  <c r="L246" i="1"/>
  <c r="C24" i="10"/>
  <c r="L260" i="1"/>
  <c r="C134" i="2" s="1"/>
  <c r="L261" i="1"/>
  <c r="L341" i="1"/>
  <c r="L342" i="1"/>
  <c r="I655" i="1"/>
  <c r="I660" i="1"/>
  <c r="F651" i="1"/>
  <c r="I651" i="1" s="1"/>
  <c r="G651" i="1"/>
  <c r="H651" i="1"/>
  <c r="H652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/>
  <c r="K540" i="1" s="1"/>
  <c r="L513" i="1"/>
  <c r="F541" i="1" s="1"/>
  <c r="L516" i="1"/>
  <c r="G539" i="1" s="1"/>
  <c r="L517" i="1"/>
  <c r="G540" i="1" s="1"/>
  <c r="L518" i="1"/>
  <c r="G541" i="1" s="1"/>
  <c r="L521" i="1"/>
  <c r="H539" i="1"/>
  <c r="H542" i="1" s="1"/>
  <c r="L522" i="1"/>
  <c r="H540" i="1" s="1"/>
  <c r="L523" i="1"/>
  <c r="H541" i="1"/>
  <c r="L526" i="1"/>
  <c r="I539" i="1" s="1"/>
  <c r="L527" i="1"/>
  <c r="I540" i="1" s="1"/>
  <c r="L528" i="1"/>
  <c r="I541" i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G262" i="1"/>
  <c r="F262" i="1"/>
  <c r="L262" i="1" s="1"/>
  <c r="A1" i="2"/>
  <c r="A2" i="2"/>
  <c r="C9" i="2"/>
  <c r="C19" i="2" s="1"/>
  <c r="D9" i="2"/>
  <c r="D19" i="2" s="1"/>
  <c r="E9" i="2"/>
  <c r="E19" i="2" s="1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I444" i="1" s="1"/>
  <c r="C23" i="2"/>
  <c r="D23" i="2"/>
  <c r="E23" i="2"/>
  <c r="F23" i="2"/>
  <c r="I441" i="1"/>
  <c r="J24" i="1"/>
  <c r="G23" i="2"/>
  <c r="C24" i="2"/>
  <c r="D24" i="2"/>
  <c r="E24" i="2"/>
  <c r="E32" i="2" s="1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D32" i="2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E42" i="2" s="1"/>
  <c r="E43" i="2" s="1"/>
  <c r="F40" i="2"/>
  <c r="F42" i="2" s="1"/>
  <c r="F43" i="2" s="1"/>
  <c r="I449" i="1"/>
  <c r="J41" i="1"/>
  <c r="G40" i="2"/>
  <c r="D41" i="2"/>
  <c r="E41" i="2"/>
  <c r="F41" i="2"/>
  <c r="C49" i="2"/>
  <c r="E49" i="2"/>
  <c r="E54" i="2" s="1"/>
  <c r="C50" i="2"/>
  <c r="C54" i="2" s="1"/>
  <c r="C51" i="2"/>
  <c r="D51" i="2"/>
  <c r="E51" i="2"/>
  <c r="F51" i="2"/>
  <c r="F54" i="2" s="1"/>
  <c r="D52" i="2"/>
  <c r="C53" i="2"/>
  <c r="D53" i="2"/>
  <c r="E53" i="2"/>
  <c r="F53" i="2"/>
  <c r="D54" i="2"/>
  <c r="C58" i="2"/>
  <c r="C59" i="2"/>
  <c r="C61" i="2"/>
  <c r="D61" i="2"/>
  <c r="D62" i="2" s="1"/>
  <c r="E61" i="2"/>
  <c r="E62" i="2" s="1"/>
  <c r="F61" i="2"/>
  <c r="F62" i="2" s="1"/>
  <c r="G61" i="2"/>
  <c r="C62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D70" i="2"/>
  <c r="D73" i="2" s="1"/>
  <c r="E70" i="2"/>
  <c r="E73" i="2" s="1"/>
  <c r="F70" i="2"/>
  <c r="G70" i="2"/>
  <c r="C71" i="2"/>
  <c r="D71" i="2"/>
  <c r="E71" i="2"/>
  <c r="C72" i="2"/>
  <c r="E72" i="2"/>
  <c r="G73" i="2"/>
  <c r="C77" i="2"/>
  <c r="C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C105" i="2"/>
  <c r="E105" i="2"/>
  <c r="D107" i="2"/>
  <c r="F107" i="2"/>
  <c r="F137" i="2" s="1"/>
  <c r="G107" i="2"/>
  <c r="C111" i="2"/>
  <c r="E113" i="2"/>
  <c r="C114" i="2"/>
  <c r="E114" i="2"/>
  <c r="E117" i="2"/>
  <c r="D119" i="2"/>
  <c r="D120" i="2" s="1"/>
  <c r="D137" i="2" s="1"/>
  <c r="F120" i="2"/>
  <c r="G120" i="2"/>
  <c r="G137" i="2" s="1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F151" i="2"/>
  <c r="B152" i="2"/>
  <c r="C152" i="2"/>
  <c r="E152" i="2"/>
  <c r="F152" i="2"/>
  <c r="F490" i="1"/>
  <c r="B153" i="2"/>
  <c r="G490" i="1"/>
  <c r="C153" i="2" s="1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C156" i="2"/>
  <c r="H493" i="1"/>
  <c r="D156" i="2"/>
  <c r="I493" i="1"/>
  <c r="E156" i="2"/>
  <c r="J493" i="1"/>
  <c r="F156" i="2" s="1"/>
  <c r="F19" i="1"/>
  <c r="G19" i="1"/>
  <c r="H19" i="1"/>
  <c r="G609" i="1" s="1"/>
  <c r="J609" i="1" s="1"/>
  <c r="I19" i="1"/>
  <c r="G610" i="1" s="1"/>
  <c r="J610" i="1" s="1"/>
  <c r="G33" i="1"/>
  <c r="H33" i="1"/>
  <c r="H44" i="1" s="1"/>
  <c r="H609" i="1" s="1"/>
  <c r="I33" i="1"/>
  <c r="I44" i="1" s="1"/>
  <c r="H610" i="1" s="1"/>
  <c r="G43" i="1"/>
  <c r="H43" i="1"/>
  <c r="I43" i="1"/>
  <c r="G44" i="1"/>
  <c r="H608" i="1" s="1"/>
  <c r="J608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I180" i="1"/>
  <c r="H184" i="1"/>
  <c r="G203" i="1"/>
  <c r="H203" i="1"/>
  <c r="I203" i="1"/>
  <c r="J203" i="1"/>
  <c r="J249" i="1" s="1"/>
  <c r="K203" i="1"/>
  <c r="K249" i="1" s="1"/>
  <c r="K263" i="1" s="1"/>
  <c r="F221" i="1"/>
  <c r="G221" i="1"/>
  <c r="I221" i="1"/>
  <c r="I249" i="1" s="1"/>
  <c r="I263" i="1" s="1"/>
  <c r="J221" i="1"/>
  <c r="K221" i="1"/>
  <c r="F239" i="1"/>
  <c r="G239" i="1"/>
  <c r="I239" i="1"/>
  <c r="J239" i="1"/>
  <c r="K239" i="1"/>
  <c r="F248" i="1"/>
  <c r="G248" i="1"/>
  <c r="H248" i="1"/>
  <c r="I248" i="1"/>
  <c r="L248" i="1" s="1"/>
  <c r="J248" i="1"/>
  <c r="K248" i="1"/>
  <c r="G249" i="1"/>
  <c r="G263" i="1"/>
  <c r="F282" i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L329" i="1"/>
  <c r="F330" i="1"/>
  <c r="F344" i="1" s="1"/>
  <c r="F354" i="1"/>
  <c r="G354" i="1"/>
  <c r="H354" i="1"/>
  <c r="I354" i="1"/>
  <c r="G624" i="1" s="1"/>
  <c r="J624" i="1" s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F400" i="1" s="1"/>
  <c r="H633" i="1" s="1"/>
  <c r="G393" i="1"/>
  <c r="H393" i="1"/>
  <c r="I393" i="1"/>
  <c r="F399" i="1"/>
  <c r="G399" i="1"/>
  <c r="H399" i="1"/>
  <c r="I399" i="1"/>
  <c r="H400" i="1"/>
  <c r="H634" i="1" s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J460" i="1"/>
  <c r="F464" i="1"/>
  <c r="G464" i="1"/>
  <c r="H464" i="1"/>
  <c r="I464" i="1"/>
  <c r="J464" i="1"/>
  <c r="I466" i="1"/>
  <c r="J466" i="1"/>
  <c r="H616" i="1" s="1"/>
  <c r="K486" i="1"/>
  <c r="K487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I535" i="1" s="1"/>
  <c r="J514" i="1"/>
  <c r="K514" i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35" i="1" s="1"/>
  <c r="K534" i="1"/>
  <c r="L534" i="1"/>
  <c r="L547" i="1"/>
  <c r="L548" i="1"/>
  <c r="L549" i="1"/>
  <c r="L550" i="1" s="1"/>
  <c r="F550" i="1"/>
  <c r="F561" i="1" s="1"/>
  <c r="G550" i="1"/>
  <c r="G561" i="1" s="1"/>
  <c r="H550" i="1"/>
  <c r="I550" i="1"/>
  <c r="J550" i="1"/>
  <c r="J561" i="1" s="1"/>
  <c r="K550" i="1"/>
  <c r="K561" i="1" s="1"/>
  <c r="L552" i="1"/>
  <c r="L553" i="1"/>
  <c r="L554" i="1"/>
  <c r="F555" i="1"/>
  <c r="G555" i="1"/>
  <c r="H555" i="1"/>
  <c r="H561" i="1" s="1"/>
  <c r="I555" i="1"/>
  <c r="I561" i="1" s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13" i="1"/>
  <c r="G614" i="1"/>
  <c r="G615" i="1"/>
  <c r="J615" i="1" s="1"/>
  <c r="H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1" i="1"/>
  <c r="J631" i="1" s="1"/>
  <c r="G633" i="1"/>
  <c r="G635" i="1"/>
  <c r="J635" i="1" s="1"/>
  <c r="H639" i="1"/>
  <c r="H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C25" i="13" l="1"/>
  <c r="H33" i="13"/>
  <c r="J613" i="1"/>
  <c r="I451" i="1"/>
  <c r="H632" i="1" s="1"/>
  <c r="I542" i="1"/>
  <c r="E33" i="13"/>
  <c r="D35" i="13" s="1"/>
  <c r="C8" i="13"/>
  <c r="G152" i="2"/>
  <c r="G9" i="2"/>
  <c r="G19" i="2" s="1"/>
  <c r="J19" i="1"/>
  <c r="G611" i="1" s="1"/>
  <c r="I185" i="1"/>
  <c r="G620" i="1" s="1"/>
  <c r="J620" i="1" s="1"/>
  <c r="J185" i="1"/>
  <c r="H185" i="1"/>
  <c r="G619" i="1" s="1"/>
  <c r="J619" i="1" s="1"/>
  <c r="L400" i="1"/>
  <c r="C130" i="2"/>
  <c r="L561" i="1"/>
  <c r="G156" i="2"/>
  <c r="L203" i="1"/>
  <c r="C101" i="2"/>
  <c r="C10" i="10"/>
  <c r="J633" i="1"/>
  <c r="J263" i="1"/>
  <c r="C102" i="2"/>
  <c r="C11" i="10"/>
  <c r="C32" i="2"/>
  <c r="C43" i="2" s="1"/>
  <c r="F55" i="2"/>
  <c r="G650" i="1"/>
  <c r="L514" i="1"/>
  <c r="L535" i="1" s="1"/>
  <c r="F539" i="1"/>
  <c r="G542" i="1"/>
  <c r="E55" i="2"/>
  <c r="E96" i="2" s="1"/>
  <c r="J629" i="1"/>
  <c r="F73" i="2"/>
  <c r="G42" i="2"/>
  <c r="K541" i="1"/>
  <c r="D96" i="2"/>
  <c r="C133" i="2"/>
  <c r="L330" i="1"/>
  <c r="L344" i="1" s="1"/>
  <c r="G623" i="1" s="1"/>
  <c r="J623" i="1" s="1"/>
  <c r="D31" i="13"/>
  <c r="C31" i="13" s="1"/>
  <c r="J43" i="1"/>
  <c r="I438" i="1"/>
  <c r="G632" i="1" s="1"/>
  <c r="E110" i="2"/>
  <c r="E120" i="2" s="1"/>
  <c r="G104" i="1"/>
  <c r="G185" i="1" s="1"/>
  <c r="G618" i="1" s="1"/>
  <c r="J618" i="1" s="1"/>
  <c r="G639" i="1"/>
  <c r="J639" i="1" s="1"/>
  <c r="C117" i="2"/>
  <c r="G634" i="1"/>
  <c r="J634" i="1" s="1"/>
  <c r="L374" i="1"/>
  <c r="G626" i="1" s="1"/>
  <c r="J626" i="1" s="1"/>
  <c r="C116" i="2"/>
  <c r="C110" i="2"/>
  <c r="E103" i="2"/>
  <c r="E107" i="2" s="1"/>
  <c r="C29" i="2"/>
  <c r="C123" i="2"/>
  <c r="C136" i="2" s="1"/>
  <c r="C27" i="10"/>
  <c r="D14" i="13"/>
  <c r="C14" i="13" s="1"/>
  <c r="D5" i="13"/>
  <c r="L524" i="1"/>
  <c r="C124" i="2"/>
  <c r="C29" i="10"/>
  <c r="C21" i="10"/>
  <c r="F104" i="1"/>
  <c r="F185" i="1" s="1"/>
  <c r="G617" i="1" s="1"/>
  <c r="J617" i="1" s="1"/>
  <c r="H637" i="1"/>
  <c r="J637" i="1" s="1"/>
  <c r="F43" i="1"/>
  <c r="D148" i="2"/>
  <c r="G148" i="2" s="1"/>
  <c r="C115" i="2"/>
  <c r="C48" i="2"/>
  <c r="C55" i="2" s="1"/>
  <c r="C96" i="2" s="1"/>
  <c r="C26" i="10"/>
  <c r="D17" i="13"/>
  <c r="C17" i="13" s="1"/>
  <c r="H488" i="1"/>
  <c r="G161" i="1"/>
  <c r="C39" i="10" s="1"/>
  <c r="L226" i="1"/>
  <c r="L239" i="1" s="1"/>
  <c r="H650" i="1" s="1"/>
  <c r="H654" i="1" s="1"/>
  <c r="J330" i="1"/>
  <c r="J344" i="1" s="1"/>
  <c r="J23" i="1"/>
  <c r="C18" i="10"/>
  <c r="G652" i="1"/>
  <c r="C17" i="10"/>
  <c r="C113" i="2"/>
  <c r="F652" i="1"/>
  <c r="I652" i="1" s="1"/>
  <c r="D6" i="13"/>
  <c r="C6" i="13" s="1"/>
  <c r="H657" i="1" l="1"/>
  <c r="H662" i="1"/>
  <c r="G616" i="1"/>
  <c r="J616" i="1" s="1"/>
  <c r="J44" i="1"/>
  <c r="H611" i="1" s="1"/>
  <c r="F542" i="1"/>
  <c r="K539" i="1"/>
  <c r="K542" i="1" s="1"/>
  <c r="H636" i="1"/>
  <c r="G627" i="1"/>
  <c r="J627" i="1" s="1"/>
  <c r="G612" i="1"/>
  <c r="F44" i="1"/>
  <c r="H607" i="1" s="1"/>
  <c r="J607" i="1" s="1"/>
  <c r="H490" i="1"/>
  <c r="K488" i="1"/>
  <c r="D151" i="2"/>
  <c r="G151" i="2" s="1"/>
  <c r="G654" i="1"/>
  <c r="C28" i="10"/>
  <c r="D27" i="10" s="1"/>
  <c r="D10" i="10"/>
  <c r="D26" i="10"/>
  <c r="D11" i="10"/>
  <c r="D33" i="13"/>
  <c r="D36" i="13" s="1"/>
  <c r="C5" i="13"/>
  <c r="C107" i="2"/>
  <c r="F650" i="1"/>
  <c r="L249" i="1"/>
  <c r="L263" i="1" s="1"/>
  <c r="G622" i="1" s="1"/>
  <c r="J622" i="1" s="1"/>
  <c r="J632" i="1"/>
  <c r="G636" i="1"/>
  <c r="G621" i="1"/>
  <c r="J621" i="1" s="1"/>
  <c r="D18" i="10"/>
  <c r="C120" i="2"/>
  <c r="J611" i="1"/>
  <c r="G22" i="2"/>
  <c r="G32" i="2" s="1"/>
  <c r="G43" i="2" s="1"/>
  <c r="J33" i="1"/>
  <c r="C36" i="10"/>
  <c r="F96" i="2"/>
  <c r="E137" i="2"/>
  <c r="H638" i="1"/>
  <c r="J638" i="1" s="1"/>
  <c r="C41" i="10" l="1"/>
  <c r="F654" i="1"/>
  <c r="I650" i="1"/>
  <c r="I654" i="1" s="1"/>
  <c r="D153" i="2"/>
  <c r="G153" i="2" s="1"/>
  <c r="K490" i="1"/>
  <c r="J612" i="1"/>
  <c r="H646" i="1"/>
  <c r="C137" i="2"/>
  <c r="D17" i="10"/>
  <c r="D21" i="10"/>
  <c r="G662" i="1"/>
  <c r="G657" i="1"/>
  <c r="J636" i="1"/>
  <c r="D22" i="10"/>
  <c r="C30" i="10"/>
  <c r="D23" i="10"/>
  <c r="D25" i="10"/>
  <c r="D24" i="10"/>
  <c r="D15" i="10"/>
  <c r="D20" i="10"/>
  <c r="D13" i="10"/>
  <c r="D12" i="10"/>
  <c r="D28" i="10" s="1"/>
  <c r="D19" i="10"/>
  <c r="D16" i="10"/>
  <c r="F662" i="1" l="1"/>
  <c r="C4" i="10" s="1"/>
  <c r="F657" i="1"/>
  <c r="D37" i="10"/>
  <c r="D35" i="10"/>
  <c r="D40" i="10"/>
  <c r="D38" i="10"/>
  <c r="D39" i="10"/>
  <c r="I657" i="1"/>
  <c r="I662" i="1"/>
  <c r="C7" i="10" s="1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624F136-4C73-48F2-BD8E-8B1DACD8202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D76DA71-E69C-46ED-BD05-E297AC211EC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536DA47-FD64-4B8F-9D98-77B0338EC86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22AC1B7-B994-4A28-901F-04ECDF85575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7D959F5-8420-4E32-A9C8-006554CC024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1AA7ADB-ED5E-4881-9E3A-CFC5F93E36E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0ABCC1E-6289-46A7-BA63-F404FCBAF27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3C44DB0-CBA2-434F-AC6A-2948C91BD1A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2BE1A98-7DE8-4F71-AD3D-141F8294720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62FFD50-6794-46E7-95D6-3EFAEA0F88E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98CE17F-6753-40CF-8549-63D6803EE7A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DB1D5B1-A7EC-493B-8EB3-32DB8215FA5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<sst xmlns="http://schemas.openxmlformats.org/spreadsheetml/2006/main" count="3869" uniqueCount="904">
  <si>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</si>
  <si>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</si>
  <si>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</si>
  <si>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</si>
  <si>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</si>
  <si>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</si>
  <si>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</si>
  <si>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</si>
  <si>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</si>
  <si>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</si>
  <si>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</si>
  <si>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</si>
  <si>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</si>
  <si>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</si>
  <si>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</si>
  <si>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</si>
  <si>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</si>
  <si>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</si>
  <si>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</si>
  <si>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</si>
  <si>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</si>
  <si>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</si>
  <si>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</si>
  <si>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</si>
  <si>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</si>
  <si>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</si>
  <si>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</si>
  <si>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</si>
  <si>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</si>
  <si>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</si>
  <si>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</si>
  <si>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</si>
  <si>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</si>
  <si>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</si>
  <si>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</si>
  <si>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</si>
  <si>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</si>
  <si>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</si>
  <si>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</si>
  <si>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</si>
  <si>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</si>
  <si>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</si>
  <si>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</si>
  <si>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</si>
  <si>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</si>
  <si>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</si>
  <si>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</si>
  <si>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</si>
  <si>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</si>
  <si>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</si>
  <si>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</si>
  <si>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</si>
  <si>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</si>
  <si>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</si>
  <si>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</si>
  <si>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</si>
  <si>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</si>
  <si>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</si>
  <si>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</si>
  <si>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</si>
  <si>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</si>
  <si>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</si>
  <si>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</si>
  <si>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</si>
  <si>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</si>
  <si>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</si>
  <si>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</si>
  <si>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</si>
  <si>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</si>
  <si>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</si>
  <si>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</si>
  <si>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</si>
  <si>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</si>
  <si>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</si>
  <si>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</si>
  <si>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</si>
  <si>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</si>
  <si>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</si>
  <si>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</si>
  <si>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</si>
  <si>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</si>
  <si>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</si>
  <si>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</si>
  <si>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</si>
  <si>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</si>
  <si>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</si>
  <si>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</si>
  <si>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</si>
  <si>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</si>
  <si>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</si>
  <si>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</si>
  <si>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</si>
  <si>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</si>
  <si>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</si>
  <si>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</si>
  <si>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</si>
  <si>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</si>
  <si>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</si>
  <si>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</si>
  <si>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</si>
  <si>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</si>
  <si>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</si>
  <si>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</si>
  <si>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</si>
  <si>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</si>
  <si>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</si>
  <si>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</si>
  <si>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</si>
  <si>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</si>
  <si>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</si>
  <si>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</si>
  <si>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</si>
  <si>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</si>
  <si>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</si>
  <si>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</si>
  <si>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</si>
  <si>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</si>
  <si>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</si>
  <si>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</si>
  <si>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</si>
  <si>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</si>
  <si>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</si>
  <si>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</si>
  <si>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</si>
  <si>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</si>
  <si>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</si>
  <si>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</si>
  <si>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</si>
  <si>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</si>
  <si>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</si>
  <si>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</si>
  <si>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</si>
  <si>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</si>
  <si>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</si>
  <si>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</si>
  <si>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</si>
  <si>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</si>
  <si>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</si>
  <si>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</si>
  <si>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</si>
  <si>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</si>
  <si>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</si>
  <si>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</si>
  <si>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</si>
  <si>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</si>
  <si>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</si>
  <si>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</si>
  <si>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</si>
  <si>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</si>
  <si>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</si>
  <si>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</si>
  <si>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</si>
  <si>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</si>
  <si>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</si>
  <si>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</si>
  <si>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</si>
  <si>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</si>
  <si>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</si>
  <si>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</si>
  <si>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</si>
  <si>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</si>
  <si>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</si>
  <si>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</si>
  <si>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</si>
  <si>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</si>
  <si>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</si>
  <si>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</si>
  <si>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</si>
  <si>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</si>
  <si>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</si>
  <si>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</si>
  <si>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</si>
  <si>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</si>
  <si>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</si>
  <si>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</si>
  <si>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</si>
  <si>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</si>
  <si>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</si>
  <si>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</si>
  <si>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</si>
  <si>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</si>
  <si>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</si>
  <si>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</si>
  <si>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</si>
  <si>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</si>
  <si>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</si>
  <si>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</si>
  <si>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</si>
  <si>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</si>
  <si>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</si>
  <si>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</si>
  <si>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</si>
  <si>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</si>
  <si>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</si>
  <si>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</si>
  <si>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</si>
  <si>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</si>
  <si>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</si>
  <si>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</si>
  <si>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</si>
  <si>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</si>
  <si>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</si>
  <si>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</si>
  <si>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</si>
  <si>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</si>
  <si>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</si>
  <si>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</si>
  <si>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</si>
  <si>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</si>
  <si>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</si>
  <si>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</si>
  <si>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</si>
  <si>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</si>
  <si>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</si>
  <si>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</si>
  <si>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</si>
  <si>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</si>
  <si>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</si>
  <si>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</si>
  <si>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</si>
  <si>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</si>
  <si>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</si>
  <si>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</si>
  <si>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</si>
  <si>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</si>
  <si>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</si>
  <si>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</si>
  <si>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</si>
  <si>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</si>
  <si>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</si>
  <si>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</si>
  <si>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</si>
  <si>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</si>
  <si>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</si>
  <si>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</si>
  <si>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</si>
  <si>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</si>
  <si>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</si>
  <si>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</si>
  <si>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</si>
  <si>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</si>
  <si>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</si>
  <si>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</si>
  <si>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</si>
  <si>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</si>
  <si>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</si>
  <si>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</si>
  <si>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</si>
  <si>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</si>
  <si>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</si>
  <si>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</si>
  <si>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</si>
  <si>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</si>
  <si>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</si>
  <si>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</si>
  <si>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</si>
  <si>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</si>
  <si>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</si>
  <si>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</si>
  <si>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</si>
  <si>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</si>
  <si>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</si>
  <si>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</si>
  <si>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</si>
  <si>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</si>
  <si>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</si>
  <si>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</si>
  <si>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</si>
  <si>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</si>
  <si>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</si>
  <si>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</si>
  <si>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</si>
  <si>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</si>
  <si>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</si>
  <si>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</si>
  <si>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</si>
  <si>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</si>
  <si>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</si>
  <si>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</si>
  <si>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</si>
  <si>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</si>
  <si>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</si>
  <si>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</si>
  <si>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</si>
  <si>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</si>
  <si>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</si>
  <si>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</si>
  <si>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</si>
  <si>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</si>
  <si>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</si>
  <si>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</si>
  <si>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</si>
  <si>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</si>
  <si>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</si>
  <si>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</si>
  <si>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</si>
  <si>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</si>
  <si>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</si>
  <si>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</si>
  <si>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</si>
  <si>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</si>
  <si>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</si>
  <si>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</si>
  <si>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</si>
  <si>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</si>
  <si>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</si>
  <si>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</si>
  <si>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</si>
  <si>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</si>
  <si>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</si>
  <si>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</si>
  <si>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</si>
  <si>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</si>
  <si>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</si>
  <si>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</si>
  <si>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</si>
  <si>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</si>
  <si>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</si>
  <si>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</si>
  <si>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</si>
  <si>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</si>
  <si>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</si>
  <si>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</si>
  <si>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</si>
  <si>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</si>
  <si>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</si>
  <si>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</si>
  <si>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</si>
  <si>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</si>
  <si>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</si>
  <si>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</si>
  <si>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</si>
  <si>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</si>
  <si>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</si>
  <si>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</si>
  <si>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</si>
  <si>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</si>
  <si>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</si>
  <si>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</si>
  <si>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</si>
  <si>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</si>
  <si>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</si>
  <si>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</si>
  <si>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</si>
  <si>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</si>
  <si>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</si>
  <si>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</si>
  <si>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</si>
  <si>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</si>
  <si>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</si>
  <si>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</si>
  <si>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</si>
  <si>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</si>
  <si>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</si>
  <si>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</si>
  <si>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</si>
  <si>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</si>
  <si>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</si>
  <si>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</si>
  <si>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</si>
  <si>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</si>
  <si>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</si>
  <si>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</si>
  <si>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</si>
  <si>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</si>
  <si>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</si>
  <si>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</si>
  <si>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</si>
  <si>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</si>
  <si>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</si>
  <si>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</si>
  <si>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</si>
  <si>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</si>
  <si>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</si>
  <si>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</si>
  <si>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</si>
  <si>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</si>
  <si>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</si>
  <si>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</si>
  <si>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</si>
  <si>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</si>
  <si>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</si>
  <si>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</si>
  <si>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</si>
  <si>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</si>
  <si>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</si>
  <si>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</si>
  <si>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</si>
  <si>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</si>
  <si>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</si>
  <si>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</si>
  <si>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</si>
  <si>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</si>
  <si>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</si>
  <si>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</si>
  <si>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</si>
  <si>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</si>
  <si>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</si>
  <si>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</si>
  <si>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</si>
  <si>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</si>
  <si>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</si>
  <si>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</si>
  <si>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</si>
  <si>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</si>
  <si>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</si>
  <si>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</si>
  <si>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</si>
  <si>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</si>
  <si>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</si>
  <si>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</si>
  <si>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</si>
  <si>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</si>
  <si>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</si>
  <si>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</si>
  <si>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</si>
  <si>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</si>
  <si>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</si>
  <si>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</si>
  <si>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</si>
  <si>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</si>
  <si>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</si>
  <si>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</si>
  <si>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</si>
  <si>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</si>
  <si>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</si>
  <si>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</si>
  <si>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</si>
  <si>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</si>
  <si>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</si>
  <si>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</si>
  <si>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</si>
  <si>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</si>
  <si>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</si>
  <si>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</si>
  <si>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</si>
  <si>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</si>
  <si>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</si>
  <si>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</si>
  <si>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</si>
  <si>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</si>
  <si>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</si>
  <si>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</si>
  <si>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</si>
  <si>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</si>
  <si>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</si>
  <si>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</si>
  <si>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</si>
  <si>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</si>
  <si>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</si>
  <si>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</si>
  <si>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</si>
  <si>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</si>
  <si>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</si>
  <si>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</si>
  <si>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</si>
  <si>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</si>
  <si>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</si>
  <si>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</si>
  <si>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</si>
  <si>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</si>
  <si>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</si>
  <si>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</si>
  <si>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</si>
  <si>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</si>
  <si>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</si>
  <si>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</si>
  <si>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</si>
  <si>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</si>
  <si>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</si>
  <si>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</si>
  <si>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</si>
  <si>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</si>
  <si>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</si>
  <si>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</si>
  <si>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</si>
  <si>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</si>
  <si>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</si>
  <si>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</si>
  <si>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</si>
  <si>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</si>
  <si>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</si>
  <si>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</si>
  <si>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</si>
  <si>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</si>
  <si>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</si>
  <si>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</si>
  <si>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</si>
  <si>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</si>
  <si>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</si>
  <si>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</si>
  <si>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</si>
  <si>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</si>
  <si>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</si>
  <si>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</si>
  <si>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</si>
  <si>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</si>
  <si>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</si>
  <si>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</si>
  <si>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</si>
  <si>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</si>
  <si>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</si>
  <si>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</si>
  <si>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</si>
  <si>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</si>
  <si>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</si>
  <si>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</si>
  <si>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</si>
  <si>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</si>
  <si>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</si>
  <si>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</si>
  <si>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</si>
  <si>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</si>
  <si>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</si>
  <si>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</si>
  <si>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</si>
  <si>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</si>
  <si>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</si>
  <si>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</si>
  <si>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</si>
  <si>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</si>
  <si>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</si>
  <si>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</si>
  <si>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</si>
  <si>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</si>
  <si>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</si>
  <si>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</si>
  <si>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</si>
  <si>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</si>
  <si>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</si>
  <si>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</si>
  <si>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</si>
  <si>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</si>
  <si>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</si>
  <si>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</si>
  <si>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</si>
  <si>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</si>
  <si>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</si>
  <si>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</si>
  <si>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</si>
  <si>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</si>
  <si>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</si>
  <si>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</si>
  <si>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</si>
  <si>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</si>
  <si>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</si>
  <si>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</si>
  <si>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</si>
  <si>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</si>
  <si>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</si>
  <si>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</si>
  <si>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</si>
  <si>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</si>
  <si>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</si>
  <si>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</si>
  <si>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</si>
  <si>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</si>
  <si>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</si>
  <si>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</si>
  <si>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</si>
  <si>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</si>
  <si>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</si>
  <si>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</si>
  <si>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</si>
  <si>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</si>
  <si>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</si>
  <si>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</si>
  <si>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</si>
  <si>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</si>
  <si>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</si>
  <si>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</si>
  <si>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</si>
  <si>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</si>
  <si>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</si>
  <si>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</si>
  <si>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</si>
  <si>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</si>
  <si>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</si>
  <si>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</si>
  <si>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</si>
  <si>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</si>
  <si>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</si>
  <si>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</si>
  <si>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</si>
  <si>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</si>
  <si>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</si>
  <si>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</si>
  <si>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</si>
  <si>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</si>
  <si>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</si>
  <si>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</si>
  <si>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</si>
  <si>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</si>
  <si>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</si>
  <si>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</si>
  <si>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</si>
  <si>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</si>
  <si>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</si>
  <si>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</si>
  <si>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</si>
  <si>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</si>
  <si>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</si>
  <si>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</si>
  <si>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</si>
  <si>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</si>
  <si>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</si>
  <si>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</si>
  <si>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</si>
  <si>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</si>
  <si>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</si>
  <si>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</si>
  <si>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</si>
  <si>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</si>
  <si>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</si>
  <si>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</si>
  <si>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</si>
  <si>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</si>
  <si>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</si>
  <si>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</si>
  <si>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</si>
  <si>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</si>
  <si>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</si>
  <si>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</si>
  <si>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</si>
  <si>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</si>
  <si>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</si>
  <si>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</si>
  <si>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</si>
  <si>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</si>
  <si>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</si>
  <si>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</si>
  <si>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</si>
  <si>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</si>
  <si>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</si>
  <si>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</si>
  <si>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</si>
  <si>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</si>
  <si>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</si>
  <si>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</si>
  <si>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</si>
  <si>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</si>
  <si>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</si>
  <si>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</si>
  <si>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</si>
  <si>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</si>
  <si>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</si>
  <si>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</si>
  <si>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</si>
  <si>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</si>
  <si>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</si>
  <si>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</si>
  <si>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</si>
  <si>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</si>
  <si>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</si>
  <si>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</si>
  <si>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</si>
  <si>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</si>
  <si>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</si>
  <si>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</si>
  <si>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</si>
  <si>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</si>
  <si>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</si>
  <si>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</si>
  <si>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</si>
  <si>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</si>
  <si>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</si>
  <si>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</si>
  <si>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</si>
  <si>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</si>
  <si>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</si>
  <si>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</si>
  <si>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</si>
  <si>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</si>
  <si>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</si>
  <si>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</si>
  <si>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</si>
  <si>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</si>
  <si>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</si>
  <si>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</si>
  <si>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</si>
  <si>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</si>
  <si>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</si>
  <si>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</si>
  <si>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</si>
  <si>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</si>
  <si>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</si>
  <si>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</si>
  <si>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</si>
  <si>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</si>
  <si>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</si>
  <si>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</si>
  <si>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</si>
  <si>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</si>
  <si>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</si>
  <si>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</si>
  <si>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</si>
  <si>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</si>
  <si>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</si>
  <si>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</si>
  <si>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</si>
  <si>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</si>
  <si>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</si>
  <si>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</si>
  <si>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</si>
  <si>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</si>
  <si>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</si>
  <si>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</si>
  <si>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</si>
  <si>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</si>
  <si>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</si>
  <si>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</si>
  <si>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</si>
  <si>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</si>
  <si>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</si>
  <si>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</si>
  <si>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</si>
  <si>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</si>
  <si>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</si>
  <si>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</si>
  <si>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</si>
  <si>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</si>
  <si>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</si>
  <si>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</si>
  <si>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</si>
  <si>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</si>
  <si>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</si>
  <si>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</si>
  <si>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</si>
  <si>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</si>
  <si>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</si>
  <si>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</si>
  <si>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</si>
  <si>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</si>
  <si>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</si>
  <si>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</si>
  <si>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</si>
  <si>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</si>
  <si>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</si>
  <si>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</si>
  <si>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</si>
  <si>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</si>
  <si>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</si>
  <si>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</si>
  <si>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</si>
  <si>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</si>
  <si>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</si>
  <si>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</si>
  <si>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</si>
  <si>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</si>
  <si>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</si>
  <si>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</si>
  <si>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</si>
  <si>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</si>
  <si>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</si>
  <si>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</si>
  <si>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</si>
  <si>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</si>
  <si>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</si>
  <si>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</si>
  <si>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</si>
  <si>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</si>
  <si>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</si>
  <si>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</si>
  <si>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</si>
  <si>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</si>
  <si>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</si>
  <si>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</si>
  <si>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</si>
  <si>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</si>
  <si>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</si>
  <si>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</si>
  <si>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</si>
  <si>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</si>
  <si>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</si>
  <si>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</si>
  <si>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</si>
  <si>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</si>
  <si>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</si>
  <si>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</si>
  <si>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</si>
  <si>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</si>
  <si>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</si>
  <si>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</si>
  <si>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</si>
  <si>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</si>
  <si>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</si>
  <si>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</si>
  <si>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</si>
  <si>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</si>
  <si>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</si>
  <si>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</si>
  <si>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</si>
  <si>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</si>
  <si>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</si>
  <si>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</si>
  <si>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</si>
  <si>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</si>
  <si>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</si>
  <si>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</si>
  <si>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</si>
  <si>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</si>
  <si>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</si>
  <si>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</si>
  <si>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</si>
  <si>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</si>
  <si>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</si>
  <si>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</si>
  <si>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</si>
  <si>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</si>
  <si>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</si>
  <si>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</si>
  <si>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</si>
  <si>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</si>
  <si>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</si>
  <si>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</si>
  <si>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</si>
  <si>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</si>
  <si>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</si>
  <si>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</si>
  <si>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</si>
  <si>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</si>
  <si>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</si>
  <si>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</si>
  <si>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</si>
  <si>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</si>
  <si>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</si>
  <si>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</si>
  <si>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</si>
  <si>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</si>
  <si>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</si>
  <si>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</si>
  <si>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</si>
  <si>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</si>
  <si>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</si>
  <si>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</si>
  <si>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</si>
  <si>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</si>
  <si>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</si>
  <si>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</si>
  <si>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</si>
  <si>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</si>
  <si>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</si>
  <si>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</si>
  <si>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</si>
  <si>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</si>
  <si>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</si>
  <si>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</si>
  <si>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</si>
  <si>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</si>
  <si>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</si>
  <si>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</si>
  <si>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</si>
  <si>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</si>
  <si>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</si>
  <si>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</si>
  <si>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</si>
  <si>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</si>
  <si>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</si>
  <si>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</si>
  <si>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</si>
  <si>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</si>
  <si>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</si>
  <si>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</si>
  <si>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</si>
  <si>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</si>
  <si>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</si>
  <si>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</si>
  <si>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</si>
  <si>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</si>
  <si>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</si>
  <si>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</si>
  <si>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</si>
  <si>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</si>
  <si>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</si>
  <si>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</si>
  <si>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</si>
  <si>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</si>
  <si>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</si>
  <si>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</si>
  <si>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</si>
  <si>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</si>
  <si>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</si>
  <si>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</si>
  <si>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</si>
  <si>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</si>
  <si>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</si>
  <si>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</si>
  <si>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</si>
  <si>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</si>
  <si>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</si>
  <si>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</si>
  <si>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</si>
  <si>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</si>
  <si>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</si>
  <si>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1/89</t>
  </si>
  <si>
    <t>10/2008</t>
  </si>
  <si>
    <t>7/20/08</t>
  </si>
  <si>
    <t>10/2013</t>
  </si>
  <si>
    <t>9/2009</t>
  </si>
  <si>
    <t>11/2013</t>
  </si>
  <si>
    <t>ms25</t>
  </si>
  <si>
    <t>We have no transfer to fiduciary funds.</t>
  </si>
  <si>
    <t>Shows -83.73 to fiduciary funds.  This subtracts transfers and interest earned from the transfer to trust funds.</t>
  </si>
  <si>
    <t>BATH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</si>
</sst>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8C36-E5DC-40E8-9380-9D2D800C0E3D}">
  <sheetPr transitionEvaluation="1" transitionEntry="1" codeName="Sheet1">
    <tabColor indexed="56"/>
  </sheetPr>
  <dimension ref="A1:AQ666"/>
  <sheetViews>
    <sheetView tabSelected="1" topLeftCell="A634" zoomScale="75" workbookViewId="0">
      <selection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39</v>
      </c>
      <c r="C2" s="21">
        <v>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-2886.19+100</f>
        <v>-2786.19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49728.29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25749.17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1372.6</v>
      </c>
      <c r="G13" s="18">
        <v>3796.07</v>
      </c>
      <c r="H13" s="18">
        <v>22448.39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1713.3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678.5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26727.379999999997</v>
      </c>
      <c r="G19" s="41">
        <f>SUM(G9:G18)</f>
        <v>3796.07</v>
      </c>
      <c r="H19" s="41">
        <f>SUM(H9:H18)</f>
        <v>22448.39</v>
      </c>
      <c r="I19" s="41">
        <f>SUM(I9:I18)</f>
        <v>0</v>
      </c>
      <c r="J19" s="41">
        <f>SUM(J9:J18)</f>
        <v>49728.29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3300.78</v>
      </c>
      <c r="H24" s="18">
        <v>22448.39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2252.79</v>
      </c>
      <c r="G25" s="18">
        <v>495.29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1253.2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95.87+114.79+2.28</f>
        <v>212.94000000000003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3718.93</v>
      </c>
      <c r="G33" s="41">
        <f>SUM(G23:G32)</f>
        <v>3796.07</v>
      </c>
      <c r="H33" s="41">
        <f>SUM(H23:H32)</f>
        <v>22448.39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49728.29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221594.83-198751.38</f>
        <v>22843.449999999983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23008.449999999983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49728.29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26727.379999999983</v>
      </c>
      <c r="G44" s="41">
        <f>G43+G33</f>
        <v>3796.07</v>
      </c>
      <c r="H44" s="41">
        <f>H43+H33</f>
        <v>22448.39</v>
      </c>
      <c r="I44" s="41">
        <f>I43+I33</f>
        <v>0</v>
      </c>
      <c r="J44" s="41">
        <f>J43+J33</f>
        <v>49728.29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892591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892591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1411.79</v>
      </c>
      <c r="G88" s="18"/>
      <c r="H88" s="18"/>
      <c r="I88" s="18"/>
      <c r="J88" s="18">
        <f>40.73+43</f>
        <v>83.72999999999999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11046.04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1529.55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2941.34</v>
      </c>
      <c r="G103" s="41">
        <f>SUM(G88:G102)</f>
        <v>11046.04</v>
      </c>
      <c r="H103" s="41">
        <f>SUM(H88:H102)</f>
        <v>0</v>
      </c>
      <c r="I103" s="41">
        <f>SUM(I88:I102)</f>
        <v>0</v>
      </c>
      <c r="J103" s="41">
        <f>SUM(J88:J102)</f>
        <v>83.72999999999999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895532.34</v>
      </c>
      <c r="G104" s="41">
        <f>G52+G103</f>
        <v>11046.04</v>
      </c>
      <c r="H104" s="41">
        <f>H52+H71+H86+H103</f>
        <v>0</v>
      </c>
      <c r="I104" s="41">
        <f>I52+I103</f>
        <v>0</v>
      </c>
      <c r="J104" s="41">
        <f>J52+J103</f>
        <v>83.72999999999999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328328.98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248924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125970.02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703223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20751.68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4935.76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465.12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423.17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26152.560000000001</v>
      </c>
      <c r="G128" s="41">
        <f>SUM(G115:G127)</f>
        <v>423.17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729375.56</v>
      </c>
      <c r="G132" s="41">
        <f>G113+SUM(G128:G129)</f>
        <v>423.17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1359.5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19323.98+438.22+23098.56</f>
        <v>42860.76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12593.52+1793.59+8423.12+8588+553.66</f>
        <v>31951.890000000003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14207.25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41966.03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3974.96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41966.03</v>
      </c>
      <c r="G154" s="41">
        <f>SUM(G142:G153)</f>
        <v>18182.21</v>
      </c>
      <c r="H154" s="41">
        <f>SUM(H142:H153)</f>
        <v>76172.150000000009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229.74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42195.77</v>
      </c>
      <c r="G161" s="41">
        <f>G139+G154+SUM(G155:G160)</f>
        <v>18182.21</v>
      </c>
      <c r="H161" s="41">
        <f>H139+H154+SUM(H155:H160)</f>
        <v>76172.150000000009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69580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69580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26666.959999999999</v>
      </c>
      <c r="H171" s="18"/>
      <c r="I171" s="18"/>
      <c r="J171" s="18">
        <v>15000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26666.959999999999</v>
      </c>
      <c r="H175" s="41">
        <f>SUM(H171:H174)</f>
        <v>0</v>
      </c>
      <c r="I175" s="41">
        <f>SUM(I171:I174)</f>
        <v>0</v>
      </c>
      <c r="J175" s="41">
        <f>SUM(J171:J174)</f>
        <v>15000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69580</v>
      </c>
      <c r="G184" s="41">
        <f>G175+SUM(G180:G183)</f>
        <v>26666.959999999999</v>
      </c>
      <c r="H184" s="41">
        <f>+H175+SUM(H180:H183)</f>
        <v>0</v>
      </c>
      <c r="I184" s="41">
        <f>I169+I175+SUM(I180:I183)</f>
        <v>0</v>
      </c>
      <c r="J184" s="41">
        <f>J175</f>
        <v>15000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1736683.67</v>
      </c>
      <c r="G185" s="47">
        <f>G104+G132+G161+G184</f>
        <v>56318.38</v>
      </c>
      <c r="H185" s="47">
        <f>H104+H132+H161+H184</f>
        <v>76172.150000000009</v>
      </c>
      <c r="I185" s="47">
        <f>I104+I132+I161+I184</f>
        <v>0</v>
      </c>
      <c r="J185" s="47">
        <f>J104+J132+J184</f>
        <v>15083.73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261300.16</v>
      </c>
      <c r="G189" s="18">
        <v>75383.72</v>
      </c>
      <c r="H189" s="18">
        <f>41723.03+863.9</f>
        <v>42586.93</v>
      </c>
      <c r="I189" s="18">
        <v>17992.169999999998</v>
      </c>
      <c r="J189" s="18">
        <v>297.16000000000003</v>
      </c>
      <c r="K189" s="18">
        <v>560.64</v>
      </c>
      <c r="L189" s="19">
        <f>SUM(F189:K189)</f>
        <v>398120.77999999997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50754</v>
      </c>
      <c r="G190" s="18">
        <v>13906.74</v>
      </c>
      <c r="H190" s="18">
        <f>440+68382.02</f>
        <v>68822.02</v>
      </c>
      <c r="I190" s="18">
        <v>2045.79</v>
      </c>
      <c r="J190" s="18"/>
      <c r="K190" s="18">
        <v>175</v>
      </c>
      <c r="L190" s="19">
        <f>SUM(F190:K190)</f>
        <v>135703.55000000002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5043.75-25</f>
        <v>5018.75</v>
      </c>
      <c r="G192" s="18">
        <v>713.01</v>
      </c>
      <c r="H192" s="18">
        <v>90</v>
      </c>
      <c r="I192" s="18">
        <v>344.6</v>
      </c>
      <c r="J192" s="18"/>
      <c r="K192" s="18">
        <v>407.5</v>
      </c>
      <c r="L192" s="19">
        <f>SUM(F192:K192)</f>
        <v>6573.8600000000006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7604.04</v>
      </c>
      <c r="G194" s="18">
        <v>645.59</v>
      </c>
      <c r="H194" s="18">
        <f>28691.78+353.56</f>
        <v>29045.34</v>
      </c>
      <c r="I194" s="18">
        <v>936.46</v>
      </c>
      <c r="J194" s="18">
        <v>485.53</v>
      </c>
      <c r="K194" s="18"/>
      <c r="L194" s="19">
        <f t="shared" ref="L194:L200" si="0">SUM(F194:K194)</f>
        <v>38716.959999999999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7969.5</v>
      </c>
      <c r="G195" s="18">
        <v>1095.6600000000001</v>
      </c>
      <c r="H195" s="18">
        <v>6189.88</v>
      </c>
      <c r="I195" s="18"/>
      <c r="J195" s="18"/>
      <c r="K195" s="18"/>
      <c r="L195" s="19">
        <f t="shared" si="0"/>
        <v>15255.04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1295.3499999999999</v>
      </c>
      <c r="G196" s="18">
        <v>105.18</v>
      </c>
      <c r="H196" s="18">
        <f>45226.18+1766.61</f>
        <v>46992.79</v>
      </c>
      <c r="I196" s="18">
        <v>158.19999999999999</v>
      </c>
      <c r="J196" s="18"/>
      <c r="K196" s="18">
        <v>1232.7</v>
      </c>
      <c r="L196" s="19">
        <f t="shared" si="0"/>
        <v>49784.219999999994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85006.34</v>
      </c>
      <c r="G197" s="18">
        <v>21185.63</v>
      </c>
      <c r="H197" s="18">
        <v>3809.12</v>
      </c>
      <c r="I197" s="18">
        <v>1769.79</v>
      </c>
      <c r="J197" s="18">
        <v>2735.23</v>
      </c>
      <c r="K197" s="18"/>
      <c r="L197" s="19">
        <f t="shared" si="0"/>
        <v>114506.10999999999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25936.39</v>
      </c>
      <c r="G199" s="18">
        <v>11013.66</v>
      </c>
      <c r="H199" s="18">
        <f>39052.78+969</f>
        <v>40021.78</v>
      </c>
      <c r="I199" s="18">
        <v>35788.589999999997</v>
      </c>
      <c r="J199" s="18">
        <v>3901.6</v>
      </c>
      <c r="K199" s="18">
        <v>300</v>
      </c>
      <c r="L199" s="19">
        <f t="shared" si="0"/>
        <v>116962.02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41109.5</v>
      </c>
      <c r="I200" s="18"/>
      <c r="J200" s="18"/>
      <c r="K200" s="18"/>
      <c r="L200" s="19">
        <f t="shared" si="0"/>
        <v>41109.5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4200+470.92</f>
        <v>4670.92</v>
      </c>
      <c r="I201" s="18">
        <v>86.11</v>
      </c>
      <c r="J201" s="18"/>
      <c r="K201" s="18"/>
      <c r="L201" s="19">
        <f>SUM(F201:K201)</f>
        <v>4757.03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444884.53</v>
      </c>
      <c r="G203" s="41">
        <f t="shared" si="1"/>
        <v>124049.19</v>
      </c>
      <c r="H203" s="41">
        <f t="shared" si="1"/>
        <v>283338.27999999997</v>
      </c>
      <c r="I203" s="41">
        <f t="shared" si="1"/>
        <v>59121.709999999992</v>
      </c>
      <c r="J203" s="41">
        <f t="shared" si="1"/>
        <v>7419.52</v>
      </c>
      <c r="K203" s="41">
        <f t="shared" si="1"/>
        <v>2675.84</v>
      </c>
      <c r="L203" s="41">
        <f t="shared" si="1"/>
        <v>921489.07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251874.88</v>
      </c>
      <c r="I207" s="18"/>
      <c r="J207" s="18"/>
      <c r="K207" s="18"/>
      <c r="L207" s="19">
        <f>SUM(F207:K207)</f>
        <v>251874.88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23340.58</v>
      </c>
      <c r="I208" s="18"/>
      <c r="J208" s="18"/>
      <c r="K208" s="18"/>
      <c r="L208" s="19">
        <f>SUM(F208:K208)</f>
        <v>23340.58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>
        <v>1519.58</v>
      </c>
      <c r="I210" s="18"/>
      <c r="J210" s="18"/>
      <c r="K210" s="18"/>
      <c r="L210" s="19">
        <f>SUM(F210:K210)</f>
        <v>1519.58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436.44</v>
      </c>
      <c r="G214" s="18">
        <v>36.270000000000003</v>
      </c>
      <c r="H214" s="18">
        <f>15214.16+599.98</f>
        <v>15814.14</v>
      </c>
      <c r="I214" s="18">
        <v>19.760000000000002</v>
      </c>
      <c r="J214" s="18"/>
      <c r="K214" s="18">
        <v>418.64</v>
      </c>
      <c r="L214" s="19">
        <f t="shared" si="2"/>
        <v>16725.25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12274</v>
      </c>
      <c r="I218" s="18"/>
      <c r="J218" s="18"/>
      <c r="K218" s="18"/>
      <c r="L218" s="19">
        <f t="shared" si="2"/>
        <v>12274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436.44</v>
      </c>
      <c r="G221" s="41">
        <f>SUM(G207:G220)</f>
        <v>36.270000000000003</v>
      </c>
      <c r="H221" s="41">
        <f>SUM(H207:H220)</f>
        <v>304823.18000000005</v>
      </c>
      <c r="I221" s="41">
        <f>SUM(I207:I220)</f>
        <v>19.760000000000002</v>
      </c>
      <c r="J221" s="41">
        <f>SUM(J207:J220)</f>
        <v>0</v>
      </c>
      <c r="K221" s="41">
        <f t="shared" si="3"/>
        <v>418.64</v>
      </c>
      <c r="L221" s="41">
        <f t="shared" si="3"/>
        <v>305734.29000000004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449408.86</v>
      </c>
      <c r="I225" s="18"/>
      <c r="J225" s="18"/>
      <c r="K225" s="18"/>
      <c r="L225" s="19">
        <f>SUM(F225:K225)</f>
        <v>449408.86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606.67+54336.92</f>
        <v>54943.59</v>
      </c>
      <c r="I226" s="18"/>
      <c r="J226" s="18"/>
      <c r="K226" s="18"/>
      <c r="L226" s="19">
        <f>SUM(F226:K226)</f>
        <v>54943.59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21528.959999999999</v>
      </c>
      <c r="I227" s="18"/>
      <c r="J227" s="18"/>
      <c r="K227" s="18"/>
      <c r="L227" s="19">
        <f>SUM(F227:K227)</f>
        <v>21528.959999999999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1523.31</v>
      </c>
      <c r="I228" s="18"/>
      <c r="J228" s="18"/>
      <c r="K228" s="18"/>
      <c r="L228" s="19">
        <f>SUM(F228:K228)</f>
        <v>1523.31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5443.75</v>
      </c>
      <c r="I230" s="18"/>
      <c r="J230" s="18"/>
      <c r="K230" s="18"/>
      <c r="L230" s="19">
        <f t="shared" ref="L230:L236" si="4">SUM(F230:K230)</f>
        <v>5443.75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708.21</v>
      </c>
      <c r="G232" s="18">
        <v>58.41</v>
      </c>
      <c r="H232" s="18">
        <f>24511.66+966.64</f>
        <v>25478.3</v>
      </c>
      <c r="I232" s="18">
        <v>31.84</v>
      </c>
      <c r="J232" s="18"/>
      <c r="K232" s="18">
        <v>674.5</v>
      </c>
      <c r="L232" s="19">
        <f t="shared" si="4"/>
        <v>26951.26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21706.2</v>
      </c>
      <c r="I236" s="18"/>
      <c r="J236" s="18"/>
      <c r="K236" s="18"/>
      <c r="L236" s="19">
        <f t="shared" si="4"/>
        <v>21706.2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708.21</v>
      </c>
      <c r="G239" s="41">
        <f t="shared" si="5"/>
        <v>58.41</v>
      </c>
      <c r="H239" s="41">
        <f t="shared" si="5"/>
        <v>580032.97</v>
      </c>
      <c r="I239" s="41">
        <f t="shared" si="5"/>
        <v>31.84</v>
      </c>
      <c r="J239" s="41">
        <f t="shared" si="5"/>
        <v>0</v>
      </c>
      <c r="K239" s="41">
        <f t="shared" si="5"/>
        <v>674.5</v>
      </c>
      <c r="L239" s="41">
        <f t="shared" si="5"/>
        <v>581505.92999999993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89578.4</v>
      </c>
      <c r="I247" s="18"/>
      <c r="J247" s="18"/>
      <c r="K247" s="18"/>
      <c r="L247" s="19">
        <f t="shared" si="6"/>
        <v>89578.4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89578.4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89578.4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446029.18000000005</v>
      </c>
      <c r="G249" s="41">
        <f t="shared" si="8"/>
        <v>124143.87000000001</v>
      </c>
      <c r="H249" s="41">
        <f t="shared" si="8"/>
        <v>1257772.8299999998</v>
      </c>
      <c r="I249" s="41">
        <f t="shared" si="8"/>
        <v>59173.30999999999</v>
      </c>
      <c r="J249" s="41">
        <f t="shared" si="8"/>
        <v>7419.52</v>
      </c>
      <c r="K249" s="41">
        <f t="shared" si="8"/>
        <v>3768.98</v>
      </c>
      <c r="L249" s="41">
        <f t="shared" si="8"/>
        <v>1898307.6899999997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5908.98</v>
      </c>
      <c r="L252" s="19">
        <f>SUM(F252:K252)</f>
        <v>5908.98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1781.42</v>
      </c>
      <c r="L253" s="19">
        <f>SUM(F253:K253)</f>
        <v>1781.42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26666.959999999999</v>
      </c>
      <c r="L255" s="19">
        <f>SUM(F255:K255)</f>
        <v>26666.959999999999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</v>
      </c>
      <c r="L258" s="19">
        <f t="shared" si="9"/>
        <v>15000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49357.36</v>
      </c>
      <c r="L262" s="41">
        <f t="shared" si="9"/>
        <v>49357.36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446029.18000000005</v>
      </c>
      <c r="G263" s="42">
        <f t="shared" si="11"/>
        <v>124143.87000000001</v>
      </c>
      <c r="H263" s="42">
        <f t="shared" si="11"/>
        <v>1257772.8299999998</v>
      </c>
      <c r="I263" s="42">
        <f t="shared" si="11"/>
        <v>59173.30999999999</v>
      </c>
      <c r="J263" s="42">
        <f t="shared" si="11"/>
        <v>7419.52</v>
      </c>
      <c r="K263" s="42">
        <f t="shared" si="11"/>
        <v>53126.340000000004</v>
      </c>
      <c r="L263" s="42">
        <f t="shared" si="11"/>
        <v>1947665.0499999998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1793.59</v>
      </c>
      <c r="J268" s="18">
        <v>15653.64</v>
      </c>
      <c r="K268" s="18"/>
      <c r="L268" s="19">
        <f>SUM(F268:K268)</f>
        <v>17447.23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29555.16</v>
      </c>
      <c r="G269" s="18">
        <v>5555.38</v>
      </c>
      <c r="H269" s="18">
        <v>1250</v>
      </c>
      <c r="I269" s="18">
        <v>553.66</v>
      </c>
      <c r="J269" s="18">
        <v>2573.9899999999998</v>
      </c>
      <c r="K269" s="18"/>
      <c r="L269" s="19">
        <f>SUM(F269:K269)</f>
        <v>39488.19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7741.8</v>
      </c>
      <c r="G274" s="18">
        <v>592.08000000000004</v>
      </c>
      <c r="H274" s="18">
        <v>10369</v>
      </c>
      <c r="I274" s="18"/>
      <c r="J274" s="18"/>
      <c r="K274" s="18"/>
      <c r="L274" s="19">
        <f t="shared" si="12"/>
        <v>18702.88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533.85</v>
      </c>
      <c r="L275" s="19">
        <f t="shared" si="12"/>
        <v>533.85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37296.959999999999</v>
      </c>
      <c r="G282" s="42">
        <f t="shared" si="13"/>
        <v>6147.46</v>
      </c>
      <c r="H282" s="42">
        <f t="shared" si="13"/>
        <v>11619</v>
      </c>
      <c r="I282" s="42">
        <f t="shared" si="13"/>
        <v>2347.25</v>
      </c>
      <c r="J282" s="42">
        <f t="shared" si="13"/>
        <v>18227.629999999997</v>
      </c>
      <c r="K282" s="42">
        <f t="shared" si="13"/>
        <v>533.85</v>
      </c>
      <c r="L282" s="41">
        <f t="shared" si="13"/>
        <v>76172.150000000009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37296.959999999999</v>
      </c>
      <c r="G330" s="41">
        <f t="shared" si="20"/>
        <v>6147.46</v>
      </c>
      <c r="H330" s="41">
        <f t="shared" si="20"/>
        <v>11619</v>
      </c>
      <c r="I330" s="41">
        <f t="shared" si="20"/>
        <v>2347.25</v>
      </c>
      <c r="J330" s="41">
        <f t="shared" si="20"/>
        <v>18227.629999999997</v>
      </c>
      <c r="K330" s="41">
        <f t="shared" si="20"/>
        <v>533.85</v>
      </c>
      <c r="L330" s="41">
        <f t="shared" si="20"/>
        <v>76172.150000000009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37296.959999999999</v>
      </c>
      <c r="G344" s="41">
        <f>G330</f>
        <v>6147.46</v>
      </c>
      <c r="H344" s="41">
        <f>H330</f>
        <v>11619</v>
      </c>
      <c r="I344" s="41">
        <f>I330</f>
        <v>2347.25</v>
      </c>
      <c r="J344" s="41">
        <f>J330</f>
        <v>18227.629999999997</v>
      </c>
      <c r="K344" s="47">
        <f>K330+K343</f>
        <v>533.85</v>
      </c>
      <c r="L344" s="41">
        <f>L330+L343</f>
        <v>76172.150000000009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25720.4+64.26</f>
        <v>25784.66</v>
      </c>
      <c r="G350" s="18">
        <f>6144+19.2+41.1+1972.4+1811.79+76.47+137</f>
        <v>10201.960000000001</v>
      </c>
      <c r="H350" s="18">
        <f>1026.63+110</f>
        <v>1136.6300000000001</v>
      </c>
      <c r="I350" s="18">
        <f>752.62+10647.5</f>
        <v>11400.12</v>
      </c>
      <c r="J350" s="18">
        <f>3775.05+3974.96</f>
        <v>7750.01</v>
      </c>
      <c r="K350" s="18">
        <v>45</v>
      </c>
      <c r="L350" s="13">
        <f>SUM(F350:K350)</f>
        <v>56318.380000000005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25784.66</v>
      </c>
      <c r="G354" s="47">
        <f t="shared" si="22"/>
        <v>10201.960000000001</v>
      </c>
      <c r="H354" s="47">
        <f t="shared" si="22"/>
        <v>1136.6300000000001</v>
      </c>
      <c r="I354" s="47">
        <f t="shared" si="22"/>
        <v>11400.12</v>
      </c>
      <c r="J354" s="47">
        <f t="shared" si="22"/>
        <v>7750.01</v>
      </c>
      <c r="K354" s="47">
        <f t="shared" si="22"/>
        <v>45</v>
      </c>
      <c r="L354" s="47">
        <f t="shared" si="22"/>
        <v>56318.380000000005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10647.5</v>
      </c>
      <c r="G359" s="18"/>
      <c r="H359" s="18"/>
      <c r="I359" s="56">
        <f>SUM(F359:H359)</f>
        <v>10647.5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752.62</v>
      </c>
      <c r="G360" s="63"/>
      <c r="H360" s="63"/>
      <c r="I360" s="56">
        <f>SUM(F360:H360)</f>
        <v>752.62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11400.12</v>
      </c>
      <c r="G361" s="47">
        <f>SUM(G359:G360)</f>
        <v>0</v>
      </c>
      <c r="H361" s="47">
        <f>SUM(H359:H360)</f>
        <v>0</v>
      </c>
      <c r="I361" s="47">
        <f>SUM(I359:I360)</f>
        <v>11400.12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</v>
      </c>
      <c r="H389" s="18">
        <v>40.729999999999997</v>
      </c>
      <c r="I389" s="18"/>
      <c r="J389" s="24" t="s">
        <v>312</v>
      </c>
      <c r="K389" s="24" t="s">
        <v>312</v>
      </c>
      <c r="L389" s="56">
        <f t="shared" si="26"/>
        <v>5040.7299999999996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10000</v>
      </c>
      <c r="H390" s="18">
        <v>43</v>
      </c>
      <c r="I390" s="18"/>
      <c r="J390" s="24" t="s">
        <v>312</v>
      </c>
      <c r="K390" s="24" t="s">
        <v>312</v>
      </c>
      <c r="L390" s="56">
        <f t="shared" si="26"/>
        <v>10043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83.72999999999999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15083.73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</v>
      </c>
      <c r="H400" s="47">
        <f>H385+H393+H399</f>
        <v>83.72999999999999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15083.73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49728.29</v>
      </c>
      <c r="H432" s="18"/>
      <c r="I432" s="56">
        <f t="shared" si="33"/>
        <v>49728.29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49728.29</v>
      </c>
      <c r="H438" s="13">
        <f>SUM(H431:H437)</f>
        <v>0</v>
      </c>
      <c r="I438" s="13">
        <f>SUM(I431:I437)</f>
        <v>49728.29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49728.29</v>
      </c>
      <c r="H449" s="18"/>
      <c r="I449" s="56">
        <f>SUM(F449:H449)</f>
        <v>49728.29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49728.29</v>
      </c>
      <c r="H450" s="83">
        <f>SUM(H446:H449)</f>
        <v>0</v>
      </c>
      <c r="I450" s="83">
        <f>SUM(I446:I449)</f>
        <v>49728.29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49728.29</v>
      </c>
      <c r="H451" s="42">
        <f>H444+H450</f>
        <v>0</v>
      </c>
      <c r="I451" s="42">
        <f>I444+I450</f>
        <v>49728.29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233989.82999999938</v>
      </c>
      <c r="G455" s="18">
        <v>0</v>
      </c>
      <c r="H455" s="18">
        <v>0</v>
      </c>
      <c r="I455" s="18">
        <v>0</v>
      </c>
      <c r="J455" s="18">
        <v>34644.559999999998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1736683.67</v>
      </c>
      <c r="G458" s="18">
        <v>56318.38</v>
      </c>
      <c r="H458" s="18">
        <v>76172.149999999994</v>
      </c>
      <c r="I458" s="18"/>
      <c r="J458" s="18">
        <v>15083.73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1736683.67</v>
      </c>
      <c r="G460" s="53">
        <f>SUM(G458:G459)</f>
        <v>56318.38</v>
      </c>
      <c r="H460" s="53">
        <f>SUM(H458:H459)</f>
        <v>76172.149999999994</v>
      </c>
      <c r="I460" s="53">
        <f>SUM(I458:I459)</f>
        <v>0</v>
      </c>
      <c r="J460" s="53">
        <f>SUM(J458:J459)</f>
        <v>15083.73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1935435.05+12230</f>
        <v>1947665.05</v>
      </c>
      <c r="G462" s="18">
        <v>56318.38</v>
      </c>
      <c r="H462" s="18">
        <v>76172.149999999994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1947665.05</v>
      </c>
      <c r="G464" s="53">
        <f>SUM(G462:G463)</f>
        <v>56318.38</v>
      </c>
      <c r="H464" s="53">
        <f>SUM(H462:H463)</f>
        <v>76172.149999999994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23008.449999999255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49728.289999999994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5</v>
      </c>
      <c r="I480" s="154">
        <v>4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 t="s">
        <v>894</v>
      </c>
      <c r="H481" s="155" t="s">
        <v>895</v>
      </c>
      <c r="I481" s="155" t="s">
        <v>898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896</v>
      </c>
      <c r="H482" s="155" t="s">
        <v>897</v>
      </c>
      <c r="I482" s="155" t="s">
        <v>899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595000</v>
      </c>
      <c r="G483" s="18">
        <v>255000</v>
      </c>
      <c r="H483" s="18">
        <v>32000</v>
      </c>
      <c r="I483" s="18">
        <v>69830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>
        <v>0</v>
      </c>
      <c r="H485" s="18">
        <f>32000-5908.98</f>
        <v>26091.02</v>
      </c>
      <c r="I485" s="18">
        <v>69830</v>
      </c>
      <c r="J485" s="18"/>
      <c r="K485" s="53">
        <f>SUM(F485:J485)</f>
        <v>95921.02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>
        <v>0</v>
      </c>
      <c r="H487" s="18">
        <v>5908.98</v>
      </c>
      <c r="I487" s="18">
        <v>0</v>
      </c>
      <c r="J487" s="18"/>
      <c r="K487" s="53">
        <f t="shared" si="34"/>
        <v>5908.98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>
        <f>H485-H487</f>
        <v>20182.04</v>
      </c>
      <c r="I488" s="205">
        <f>17457.5*4</f>
        <v>69830</v>
      </c>
      <c r="J488" s="205"/>
      <c r="K488" s="206">
        <f t="shared" si="34"/>
        <v>90012.040000000008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>
        <f>276.08+542.99+796.79+1042.26</f>
        <v>2658.12</v>
      </c>
      <c r="I489" s="18">
        <f>567.37+1137.85+1702.11+2567.93</f>
        <v>5975.26</v>
      </c>
      <c r="J489" s="18"/>
      <c r="K489" s="53">
        <f t="shared" si="34"/>
        <v>8633.380000000001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22840.16</v>
      </c>
      <c r="I490" s="42">
        <f>SUM(I488:I489)</f>
        <v>75805.259999999995</v>
      </c>
      <c r="J490" s="42">
        <f>SUM(J488:J489)</f>
        <v>0</v>
      </c>
      <c r="K490" s="42">
        <f t="shared" si="34"/>
        <v>98645.42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>
        <v>6145.03</v>
      </c>
      <c r="I491" s="205">
        <v>17457.5</v>
      </c>
      <c r="J491" s="205"/>
      <c r="K491" s="206">
        <f t="shared" si="34"/>
        <v>23602.53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>
        <v>1042.26</v>
      </c>
      <c r="I492" s="18">
        <v>2567.9299999999998</v>
      </c>
      <c r="J492" s="18"/>
      <c r="K492" s="53">
        <f t="shared" si="34"/>
        <v>3610.1899999999996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7187.29</v>
      </c>
      <c r="I493" s="42">
        <f>SUM(I491:I492)</f>
        <v>20025.43</v>
      </c>
      <c r="J493" s="42">
        <f>SUM(J491:J492)</f>
        <v>0</v>
      </c>
      <c r="K493" s="42">
        <f t="shared" si="34"/>
        <v>27212.720000000001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61075.92</v>
      </c>
      <c r="G511" s="18">
        <v>15497.54</v>
      </c>
      <c r="H511" s="18">
        <f>1690+68382.02</f>
        <v>70072.02</v>
      </c>
      <c r="I511" s="18">
        <v>2045.79</v>
      </c>
      <c r="J511" s="18">
        <v>2573.9899999999998</v>
      </c>
      <c r="K511" s="18">
        <v>175</v>
      </c>
      <c r="L511" s="88">
        <f>SUM(F511:K511)</f>
        <v>151440.25999999998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23340.58</v>
      </c>
      <c r="I512" s="18"/>
      <c r="J512" s="18"/>
      <c r="K512" s="18"/>
      <c r="L512" s="88">
        <f>SUM(F512:K512)</f>
        <v>23340.58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606.67+54336.92</f>
        <v>54943.59</v>
      </c>
      <c r="I513" s="18"/>
      <c r="J513" s="18"/>
      <c r="K513" s="18"/>
      <c r="L513" s="88">
        <f>SUM(F513:K513)</f>
        <v>54943.59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61075.92</v>
      </c>
      <c r="G514" s="108">
        <f t="shared" ref="G514:L514" si="35">SUM(G511:G513)</f>
        <v>15497.54</v>
      </c>
      <c r="H514" s="108">
        <f t="shared" si="35"/>
        <v>148356.19</v>
      </c>
      <c r="I514" s="108">
        <f t="shared" si="35"/>
        <v>2045.79</v>
      </c>
      <c r="J514" s="108">
        <f t="shared" si="35"/>
        <v>2573.9899999999998</v>
      </c>
      <c r="K514" s="108">
        <f t="shared" si="35"/>
        <v>175</v>
      </c>
      <c r="L514" s="89">
        <f t="shared" si="35"/>
        <v>229724.42999999996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11952.49</v>
      </c>
      <c r="I516" s="18">
        <v>165.9</v>
      </c>
      <c r="J516" s="18"/>
      <c r="K516" s="18"/>
      <c r="L516" s="88">
        <f>SUM(F516:K516)</f>
        <v>12118.39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5443.75</v>
      </c>
      <c r="I518" s="18"/>
      <c r="J518" s="18"/>
      <c r="K518" s="18"/>
      <c r="L518" s="88">
        <f>SUM(F518:K518)</f>
        <v>5443.75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17396.239999999998</v>
      </c>
      <c r="I519" s="89">
        <f t="shared" si="36"/>
        <v>165.9</v>
      </c>
      <c r="J519" s="89">
        <f t="shared" si="36"/>
        <v>0</v>
      </c>
      <c r="K519" s="89">
        <f t="shared" si="36"/>
        <v>0</v>
      </c>
      <c r="L519" s="89">
        <f t="shared" si="36"/>
        <v>17562.14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10244</v>
      </c>
      <c r="I521" s="18"/>
      <c r="J521" s="18"/>
      <c r="K521" s="18"/>
      <c r="L521" s="88">
        <f>SUM(F521:K521)</f>
        <v>10244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2561</v>
      </c>
      <c r="I522" s="18"/>
      <c r="J522" s="18"/>
      <c r="K522" s="18"/>
      <c r="L522" s="88">
        <f>SUM(F522:K522)</f>
        <v>2561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5488</v>
      </c>
      <c r="I523" s="18"/>
      <c r="J523" s="18"/>
      <c r="K523" s="18"/>
      <c r="L523" s="88">
        <f>SUM(F523:K523)</f>
        <v>5488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18293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18293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3127.6</v>
      </c>
      <c r="I531" s="18"/>
      <c r="J531" s="18"/>
      <c r="K531" s="18"/>
      <c r="L531" s="88">
        <f>SUM(F531:K531)</f>
        <v>3127.6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1222.2</v>
      </c>
      <c r="I533" s="18"/>
      <c r="J533" s="18"/>
      <c r="K533" s="18"/>
      <c r="L533" s="88">
        <f>SUM(F533:K533)</f>
        <v>1222.2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4349.8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4349.8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61075.92</v>
      </c>
      <c r="G535" s="89">
        <f t="shared" ref="G535:L535" si="40">G514+G519+G524+G529+G534</f>
        <v>15497.54</v>
      </c>
      <c r="H535" s="89">
        <f t="shared" si="40"/>
        <v>188395.22999999998</v>
      </c>
      <c r="I535" s="89">
        <f t="shared" si="40"/>
        <v>2211.69</v>
      </c>
      <c r="J535" s="89">
        <f t="shared" si="40"/>
        <v>2573.9899999999998</v>
      </c>
      <c r="K535" s="89">
        <f t="shared" si="40"/>
        <v>175</v>
      </c>
      <c r="L535" s="89">
        <f t="shared" si="40"/>
        <v>269929.36999999994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151440.25999999998</v>
      </c>
      <c r="G539" s="87">
        <f>L516</f>
        <v>12118.39</v>
      </c>
      <c r="H539" s="87">
        <f>L521</f>
        <v>10244</v>
      </c>
      <c r="I539" s="87">
        <f>L526</f>
        <v>0</v>
      </c>
      <c r="J539" s="87">
        <f>L531</f>
        <v>3127.6</v>
      </c>
      <c r="K539" s="87">
        <f>SUM(F539:J539)</f>
        <v>176930.24999999997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23340.58</v>
      </c>
      <c r="G540" s="87">
        <f>L517</f>
        <v>0</v>
      </c>
      <c r="H540" s="87">
        <f>L522</f>
        <v>2561</v>
      </c>
      <c r="I540" s="87">
        <f>L527</f>
        <v>0</v>
      </c>
      <c r="J540" s="87">
        <f>L532</f>
        <v>0</v>
      </c>
      <c r="K540" s="87">
        <f>SUM(F540:J540)</f>
        <v>25901.58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54943.59</v>
      </c>
      <c r="G541" s="87">
        <f>L518</f>
        <v>5443.75</v>
      </c>
      <c r="H541" s="87">
        <f>L523</f>
        <v>5488</v>
      </c>
      <c r="I541" s="87">
        <f>L528</f>
        <v>0</v>
      </c>
      <c r="J541" s="87">
        <f>L533</f>
        <v>1222.2</v>
      </c>
      <c r="K541" s="87">
        <f>SUM(F541:J541)</f>
        <v>67097.539999999994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229724.42999999996</v>
      </c>
      <c r="G542" s="89">
        <f t="shared" si="41"/>
        <v>17562.14</v>
      </c>
      <c r="H542" s="89">
        <f t="shared" si="41"/>
        <v>18293</v>
      </c>
      <c r="I542" s="89">
        <f t="shared" si="41"/>
        <v>0</v>
      </c>
      <c r="J542" s="89">
        <f t="shared" si="41"/>
        <v>4349.8</v>
      </c>
      <c r="K542" s="89">
        <f t="shared" si="41"/>
        <v>269929.36999999994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19233.240000000002</v>
      </c>
      <c r="G547" s="18">
        <v>3964.58</v>
      </c>
      <c r="H547" s="18"/>
      <c r="I547" s="18">
        <v>553.66</v>
      </c>
      <c r="J547" s="18"/>
      <c r="K547" s="18"/>
      <c r="L547" s="88">
        <f>SUM(F547:K547)</f>
        <v>23751.48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19233.240000000002</v>
      </c>
      <c r="G550" s="108">
        <f t="shared" si="42"/>
        <v>3964.58</v>
      </c>
      <c r="H550" s="108">
        <f t="shared" si="42"/>
        <v>0</v>
      </c>
      <c r="I550" s="108">
        <f t="shared" si="42"/>
        <v>553.66</v>
      </c>
      <c r="J550" s="108">
        <f t="shared" si="42"/>
        <v>0</v>
      </c>
      <c r="K550" s="108">
        <f t="shared" si="42"/>
        <v>0</v>
      </c>
      <c r="L550" s="89">
        <f t="shared" si="42"/>
        <v>23751.48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19233.240000000002</v>
      </c>
      <c r="G561" s="89">
        <f t="shared" ref="G561:L561" si="45">G550+G555+G560</f>
        <v>3964.58</v>
      </c>
      <c r="H561" s="89">
        <f t="shared" si="45"/>
        <v>0</v>
      </c>
      <c r="I561" s="89">
        <f t="shared" si="45"/>
        <v>553.66</v>
      </c>
      <c r="J561" s="89">
        <f t="shared" si="45"/>
        <v>0</v>
      </c>
      <c r="K561" s="89">
        <f t="shared" si="45"/>
        <v>0</v>
      </c>
      <c r="L561" s="89">
        <f t="shared" si="45"/>
        <v>23751.48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251874.88</v>
      </c>
      <c r="H565" s="18">
        <v>355118.86</v>
      </c>
      <c r="I565" s="87">
        <f>SUM(F565:H565)</f>
        <v>606993.74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94290</v>
      </c>
      <c r="I566" s="87">
        <f t="shared" ref="I566:I577" si="46">SUM(F566:H566)</f>
        <v>94290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54336.92</v>
      </c>
      <c r="I569" s="87">
        <f t="shared" si="46"/>
        <v>54336.92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37508.61</v>
      </c>
      <c r="G572" s="18">
        <v>23340.58</v>
      </c>
      <c r="H572" s="18"/>
      <c r="I572" s="87">
        <f t="shared" si="46"/>
        <v>60849.19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30873.41</v>
      </c>
      <c r="G573" s="18"/>
      <c r="H573" s="18"/>
      <c r="I573" s="87">
        <f t="shared" si="46"/>
        <v>30873.41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21528.959999999999</v>
      </c>
      <c r="I575" s="87">
        <f t="shared" si="46"/>
        <v>21528.959999999999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36335.910000000003</v>
      </c>
      <c r="I581" s="18">
        <v>12274</v>
      </c>
      <c r="J581" s="18">
        <v>19854.82</v>
      </c>
      <c r="K581" s="104">
        <f t="shared" ref="K581:K587" si="47">SUM(H581:J581)</f>
        <v>68464.73000000001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3127.6</v>
      </c>
      <c r="I582" s="18"/>
      <c r="J582" s="18">
        <v>1222.2</v>
      </c>
      <c r="K582" s="104">
        <f t="shared" si="47"/>
        <v>4349.8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629.17999999999995</v>
      </c>
      <c r="K583" s="104">
        <f t="shared" si="47"/>
        <v>629.17999999999995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1645.99</v>
      </c>
      <c r="I585" s="18"/>
      <c r="J585" s="18"/>
      <c r="K585" s="104">
        <f t="shared" si="47"/>
        <v>1645.99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41109.5</v>
      </c>
      <c r="I588" s="108">
        <f>SUM(I581:I587)</f>
        <v>12274</v>
      </c>
      <c r="J588" s="108">
        <f>SUM(J581:J587)</f>
        <v>21706.2</v>
      </c>
      <c r="K588" s="108">
        <f>SUM(K581:K587)</f>
        <v>75089.700000000012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33397.16-7750.01</f>
        <v>25647.15</v>
      </c>
      <c r="I594" s="18"/>
      <c r="J594" s="18"/>
      <c r="K594" s="104">
        <f>SUM(H594:J594)</f>
        <v>25647.15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25647.15</v>
      </c>
      <c r="I595" s="108">
        <f>SUM(I592:I594)</f>
        <v>0</v>
      </c>
      <c r="J595" s="108">
        <f>SUM(J592:J594)</f>
        <v>0</v>
      </c>
      <c r="K595" s="108">
        <f>SUM(K592:K594)</f>
        <v>25647.15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4393.75</v>
      </c>
      <c r="G601" s="18">
        <v>665.21</v>
      </c>
      <c r="H601" s="18"/>
      <c r="I601" s="18"/>
      <c r="J601" s="18"/>
      <c r="K601" s="18"/>
      <c r="L601" s="88">
        <f>SUM(F601:K601)</f>
        <v>5058.96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>
        <v>1519.58</v>
      </c>
      <c r="I602" s="18"/>
      <c r="J602" s="18"/>
      <c r="K602" s="18"/>
      <c r="L602" s="88">
        <f>SUM(F602:K602)</f>
        <v>1519.58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1523.31</v>
      </c>
      <c r="I603" s="18"/>
      <c r="J603" s="18"/>
      <c r="K603" s="18"/>
      <c r="L603" s="88">
        <f>SUM(F603:K603)</f>
        <v>1523.31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4393.75</v>
      </c>
      <c r="G604" s="108">
        <f t="shared" si="48"/>
        <v>665.21</v>
      </c>
      <c r="H604" s="108">
        <f t="shared" si="48"/>
        <v>3042.89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8101.85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26727.379999999997</v>
      </c>
      <c r="H607" s="109">
        <f>SUM(F44)</f>
        <v>26727.379999999983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3796.07</v>
      </c>
      <c r="H608" s="109">
        <f>SUM(G44)</f>
        <v>3796.07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22448.39</v>
      </c>
      <c r="H609" s="109">
        <f>SUM(H44)</f>
        <v>22448.39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49728.29</v>
      </c>
      <c r="H611" s="109">
        <f>SUM(J44)</f>
        <v>49728.29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23008.449999999983</v>
      </c>
      <c r="H612" s="109">
        <f>F466</f>
        <v>23008.449999999255</v>
      </c>
      <c r="I612" s="121" t="s">
        <v>106</v>
      </c>
      <c r="J612" s="109">
        <f t="shared" ref="J612:J645" si="49">G612-H612</f>
        <v>7.2759576141834259E-10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49728.29</v>
      </c>
      <c r="H616" s="109">
        <f>J466</f>
        <v>49728.289999999994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1736683.67</v>
      </c>
      <c r="H617" s="104">
        <f>SUM(F458)</f>
        <v>1736683.67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56318.38</v>
      </c>
      <c r="H618" s="104">
        <f>SUM(G458)</f>
        <v>56318.38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76172.150000000009</v>
      </c>
      <c r="H619" s="104">
        <f>SUM(H458)</f>
        <v>76172.149999999994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15083.73</v>
      </c>
      <c r="H621" s="104">
        <f>SUM(J458)</f>
        <v>15083.73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1947665.0499999998</v>
      </c>
      <c r="H622" s="104">
        <f>SUM(F462)</f>
        <v>1947665.05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76172.150000000009</v>
      </c>
      <c r="H623" s="104">
        <f>SUM(H462)</f>
        <v>76172.149999999994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11400.12</v>
      </c>
      <c r="H624" s="104">
        <f>I361</f>
        <v>11400.12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56318.380000000005</v>
      </c>
      <c r="H625" s="104">
        <f>SUM(G462)</f>
        <v>56318.38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15083.73</v>
      </c>
      <c r="H627" s="164">
        <f>SUM(J458)</f>
        <v>15083.73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49728.29</v>
      </c>
      <c r="H630" s="104">
        <f>SUM(G451)</f>
        <v>49728.29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49728.29</v>
      </c>
      <c r="H632" s="104">
        <f>SUM(I451)</f>
        <v>49728.29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83.72999999999999</v>
      </c>
      <c r="H634" s="104">
        <f>H400</f>
        <v>83.72999999999999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</v>
      </c>
      <c r="H635" s="104">
        <f>G400</f>
        <v>15000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15083.73</v>
      </c>
      <c r="H636" s="104">
        <f>L400</f>
        <v>15083.73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75089.700000000012</v>
      </c>
      <c r="H637" s="104">
        <f>L200+L218+L236</f>
        <v>75089.7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25647.15</v>
      </c>
      <c r="H638" s="104">
        <f>(J249+J330)-(J247+J328)</f>
        <v>25647.149999999998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41109.5</v>
      </c>
      <c r="H639" s="104">
        <f>H588</f>
        <v>41109.5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12274</v>
      </c>
      <c r="H640" s="104">
        <f>I588</f>
        <v>12274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21706.2</v>
      </c>
      <c r="H641" s="104">
        <f>J588</f>
        <v>21706.2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26666.959999999999</v>
      </c>
      <c r="H642" s="104">
        <f>K255+K337</f>
        <v>26666.959999999999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</v>
      </c>
      <c r="H645" s="104">
        <f>K258+K339</f>
        <v>15000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1053979.6000000001</v>
      </c>
      <c r="G650" s="19">
        <f>(L221+L301+L351)</f>
        <v>305734.29000000004</v>
      </c>
      <c r="H650" s="19">
        <f>(L239+L320+L352)</f>
        <v>581505.92999999993</v>
      </c>
      <c r="I650" s="19">
        <f>SUM(F650:H650)</f>
        <v>1941219.82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11046.04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11046.04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41109.5</v>
      </c>
      <c r="G652" s="19">
        <f>(L218+L298)-(J218+J298)</f>
        <v>12274</v>
      </c>
      <c r="H652" s="19">
        <f>(L236+L317)-(J236+J317)</f>
        <v>21706.2</v>
      </c>
      <c r="I652" s="19">
        <f>SUM(F652:H652)</f>
        <v>75089.7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99088.130000000019</v>
      </c>
      <c r="G653" s="200">
        <f>SUM(G565:G577)+SUM(I592:I594)+L602</f>
        <v>276735.04000000004</v>
      </c>
      <c r="H653" s="200">
        <f>SUM(H565:H577)+SUM(J592:J594)+L603</f>
        <v>526798.05000000005</v>
      </c>
      <c r="I653" s="19">
        <f>SUM(F653:H653)</f>
        <v>902621.22000000009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902735.93</v>
      </c>
      <c r="G654" s="19">
        <f>G650-SUM(G651:G653)</f>
        <v>16725.25</v>
      </c>
      <c r="H654" s="19">
        <f>H650-SUM(H651:H653)</f>
        <v>33001.679999999935</v>
      </c>
      <c r="I654" s="19">
        <f>I650-SUM(I651:I653)</f>
        <v>952462.86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64.099999999999994</v>
      </c>
      <c r="G655" s="249"/>
      <c r="H655" s="249"/>
      <c r="I655" s="19">
        <f>SUM(F655:H655)</f>
        <v>64.099999999999994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14083.24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14859.01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-16725.25</v>
      </c>
      <c r="H659" s="18">
        <v>-33001.68</v>
      </c>
      <c r="I659" s="19">
        <f>SUM(F659:H659)</f>
        <v>-49726.93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14083.24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14083.24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EB28-DE47-4213-821F-A9092ED757CB}">
  <sheetPr>
    <tabColor indexed="20"/>
  </sheetPr>
  <dimension ref="A1:C52"/>
  <sheetViews>
    <sheetView topLeftCell="A16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BATH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261300.16</v>
      </c>
      <c r="C9" s="230">
        <f>'DOE25'!G189+'DOE25'!G207+'DOE25'!G225+'DOE25'!G268+'DOE25'!G287+'DOE25'!G306</f>
        <v>75383.72</v>
      </c>
    </row>
    <row r="10" spans="1:3" x14ac:dyDescent="0.2">
      <c r="A10" t="s">
        <v>813</v>
      </c>
      <c r="B10" s="241">
        <v>249852.31</v>
      </c>
      <c r="C10" s="241">
        <v>74505.56</v>
      </c>
    </row>
    <row r="11" spans="1:3" x14ac:dyDescent="0.2">
      <c r="A11" t="s">
        <v>814</v>
      </c>
      <c r="B11" s="241">
        <v>0</v>
      </c>
      <c r="C11" s="241">
        <v>0</v>
      </c>
    </row>
    <row r="12" spans="1:3" x14ac:dyDescent="0.2">
      <c r="A12" t="s">
        <v>815</v>
      </c>
      <c r="B12" s="241">
        <v>11447.85</v>
      </c>
      <c r="C12" s="241">
        <v>878.16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261300.16</v>
      </c>
      <c r="C13" s="232">
        <f>SUM(C10:C12)</f>
        <v>75383.72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80309.16</v>
      </c>
      <c r="C18" s="230">
        <f>'DOE25'!G190+'DOE25'!G208+'DOE25'!G226+'DOE25'!G269+'DOE25'!G288+'DOE25'!G307</f>
        <v>19462.12</v>
      </c>
    </row>
    <row r="19" spans="1:3" x14ac:dyDescent="0.2">
      <c r="A19" t="s">
        <v>813</v>
      </c>
      <c r="B19" s="241">
        <v>80309.16</v>
      </c>
      <c r="C19" s="241">
        <v>19462.12</v>
      </c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80309.16</v>
      </c>
      <c r="C22" s="232">
        <f>SUM(C19:C21)</f>
        <v>19462.12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5018.75</v>
      </c>
      <c r="C36" s="236">
        <f>'DOE25'!G192+'DOE25'!G210+'DOE25'!G228+'DOE25'!G271+'DOE25'!G290+'DOE25'!G309</f>
        <v>713.01</v>
      </c>
    </row>
    <row r="37" spans="1:3" x14ac:dyDescent="0.2">
      <c r="A37" t="s">
        <v>813</v>
      </c>
      <c r="B37" s="241">
        <v>4393.75</v>
      </c>
      <c r="C37" s="241">
        <v>665.21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625</v>
      </c>
      <c r="C39" s="241">
        <v>47.8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5018.75</v>
      </c>
      <c r="C40" s="232">
        <f>SUM(C37:C39)</f>
        <v>713.01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62E3-8340-423F-A7F6-2F2F93276E48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BATH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1344537.95</v>
      </c>
      <c r="D5" s="20">
        <f>SUM('DOE25'!L189:L192)+SUM('DOE25'!L207:L210)+SUM('DOE25'!L225:L228)-F5-G5</f>
        <v>1343097.6500000001</v>
      </c>
      <c r="E5" s="244"/>
      <c r="F5" s="256">
        <f>SUM('DOE25'!J189:J192)+SUM('DOE25'!J207:J210)+SUM('DOE25'!J225:J228)</f>
        <v>297.16000000000003</v>
      </c>
      <c r="G5" s="53">
        <f>SUM('DOE25'!K189:K192)+SUM('DOE25'!K207:K210)+SUM('DOE25'!K225:K228)</f>
        <v>1143.1399999999999</v>
      </c>
      <c r="H5" s="260"/>
    </row>
    <row r="6" spans="1:9" x14ac:dyDescent="0.2">
      <c r="A6" s="32">
        <v>2100</v>
      </c>
      <c r="B6" t="s">
        <v>835</v>
      </c>
      <c r="C6" s="246">
        <f t="shared" si="0"/>
        <v>44160.71</v>
      </c>
      <c r="D6" s="20">
        <f>'DOE25'!L194+'DOE25'!L212+'DOE25'!L230-F6-G6</f>
        <v>43675.18</v>
      </c>
      <c r="E6" s="244"/>
      <c r="F6" s="256">
        <f>'DOE25'!J194+'DOE25'!J212+'DOE25'!J230</f>
        <v>485.53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15255.04</v>
      </c>
      <c r="D7" s="20">
        <f>'DOE25'!L195+'DOE25'!L213+'DOE25'!L231-F7-G7</f>
        <v>15255.04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60338.84</v>
      </c>
      <c r="D8" s="244"/>
      <c r="E8" s="20">
        <f>'DOE25'!L196+'DOE25'!L214+'DOE25'!L232-F8-G8-D9-D11</f>
        <v>58013</v>
      </c>
      <c r="F8" s="256">
        <f>'DOE25'!J196+'DOE25'!J214+'DOE25'!J232</f>
        <v>0</v>
      </c>
      <c r="G8" s="53">
        <f>'DOE25'!K196+'DOE25'!K214+'DOE25'!K232</f>
        <v>2325.84</v>
      </c>
      <c r="H8" s="260"/>
    </row>
    <row r="9" spans="1:9" x14ac:dyDescent="0.2">
      <c r="A9" s="32">
        <v>2310</v>
      </c>
      <c r="B9" t="s">
        <v>852</v>
      </c>
      <c r="C9" s="246">
        <f t="shared" si="0"/>
        <v>12805.89</v>
      </c>
      <c r="D9" s="245">
        <v>12805.89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6051</v>
      </c>
      <c r="D10" s="244"/>
      <c r="E10" s="245">
        <v>6051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20316</v>
      </c>
      <c r="D11" s="245">
        <v>20316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114506.10999999999</v>
      </c>
      <c r="D12" s="20">
        <f>'DOE25'!L197+'DOE25'!L215+'DOE25'!L233-F12-G12</f>
        <v>111770.87999999999</v>
      </c>
      <c r="E12" s="244"/>
      <c r="F12" s="256">
        <f>'DOE25'!J197+'DOE25'!J215+'DOE25'!J233</f>
        <v>2735.23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116962.02</v>
      </c>
      <c r="D14" s="20">
        <f>'DOE25'!L199+'DOE25'!L217+'DOE25'!L235-F14-G14</f>
        <v>112760.42</v>
      </c>
      <c r="E14" s="244"/>
      <c r="F14" s="256">
        <f>'DOE25'!J199+'DOE25'!J217+'DOE25'!J235</f>
        <v>3901.6</v>
      </c>
      <c r="G14" s="53">
        <f>'DOE25'!K199+'DOE25'!K217+'DOE25'!K235</f>
        <v>300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75089.7</v>
      </c>
      <c r="D15" s="20">
        <f>'DOE25'!L200+'DOE25'!L218+'DOE25'!L236-F15-G15</f>
        <v>75089.7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4757.03</v>
      </c>
      <c r="D16" s="244"/>
      <c r="E16" s="20">
        <f>'DOE25'!L201+'DOE25'!L219+'DOE25'!L237-F16-G16</f>
        <v>4757.03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89578.4</v>
      </c>
      <c r="D22" s="244"/>
      <c r="E22" s="244"/>
      <c r="F22" s="256">
        <f>'DOE25'!L247+'DOE25'!L328</f>
        <v>89578.4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7690.4</v>
      </c>
      <c r="D25" s="244"/>
      <c r="E25" s="244"/>
      <c r="F25" s="259"/>
      <c r="G25" s="257"/>
      <c r="H25" s="258">
        <f>'DOE25'!L252+'DOE25'!L253+'DOE25'!L333+'DOE25'!L334</f>
        <v>7690.4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45670.880000000005</v>
      </c>
      <c r="D29" s="20">
        <f>'DOE25'!L350+'DOE25'!L351+'DOE25'!L352-'DOE25'!I359-F29-G29</f>
        <v>37875.870000000003</v>
      </c>
      <c r="E29" s="244"/>
      <c r="F29" s="256">
        <f>'DOE25'!J350+'DOE25'!J351+'DOE25'!J352</f>
        <v>7750.01</v>
      </c>
      <c r="G29" s="53">
        <f>'DOE25'!K350+'DOE25'!K351+'DOE25'!K352</f>
        <v>45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76172.150000000023</v>
      </c>
      <c r="D31" s="20">
        <f>'DOE25'!L282+'DOE25'!L301+'DOE25'!L320+'DOE25'!L325+'DOE25'!L326+'DOE25'!L327-F31-G31</f>
        <v>57410.670000000013</v>
      </c>
      <c r="E31" s="244"/>
      <c r="F31" s="256">
        <f>'DOE25'!J282+'DOE25'!J301+'DOE25'!J320+'DOE25'!J325+'DOE25'!J326+'DOE25'!J327</f>
        <v>18227.629999999997</v>
      </c>
      <c r="G31" s="53">
        <f>'DOE25'!K282+'DOE25'!K301+'DOE25'!K320+'DOE25'!K325+'DOE25'!K326+'DOE25'!K327</f>
        <v>533.85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1830057.2999999998</v>
      </c>
      <c r="E33" s="247">
        <f>SUM(E5:E31)</f>
        <v>68821.03</v>
      </c>
      <c r="F33" s="247">
        <f>SUM(F5:F31)</f>
        <v>122975.56</v>
      </c>
      <c r="G33" s="247">
        <f>SUM(G5:G31)</f>
        <v>4347.83</v>
      </c>
      <c r="H33" s="247">
        <f>SUM(H5:H31)</f>
        <v>7690.4</v>
      </c>
    </row>
    <row r="35" spans="2:8" ht="12" thickBot="1" x14ac:dyDescent="0.25">
      <c r="B35" s="254" t="s">
        <v>881</v>
      </c>
      <c r="D35" s="255">
        <f>E33</f>
        <v>68821.03</v>
      </c>
      <c r="E35" s="250"/>
    </row>
    <row r="36" spans="2:8" ht="12" thickTop="1" x14ac:dyDescent="0.2">
      <c r="B36" t="s">
        <v>849</v>
      </c>
      <c r="D36" s="20">
        <f>D33</f>
        <v>1830057.2999999998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27B1-99D3-47F4-AD66-5C9C38B85B0D}">
  <sheetPr transitionEvaluation="1" codeName="Sheet2">
    <tabColor indexed="10"/>
  </sheetPr>
  <dimension ref="A1:I156"/>
  <sheetViews>
    <sheetView zoomScale="75" workbookViewId="0">
      <pane ySplit="2" topLeftCell="A96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-2786.19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49728.29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25749.17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1372.6</v>
      </c>
      <c r="D13" s="95">
        <f>'DOE25'!G13</f>
        <v>3796.07</v>
      </c>
      <c r="E13" s="95">
        <f>'DOE25'!H13</f>
        <v>22448.39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1713.3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678.5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26727.379999999997</v>
      </c>
      <c r="D19" s="41">
        <f>SUM(D9:D18)</f>
        <v>3796.07</v>
      </c>
      <c r="E19" s="41">
        <f>SUM(E9:E18)</f>
        <v>22448.39</v>
      </c>
      <c r="F19" s="41">
        <f>SUM(F9:F18)</f>
        <v>0</v>
      </c>
      <c r="G19" s="41">
        <f>SUM(G9:G18)</f>
        <v>49728.29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3300.78</v>
      </c>
      <c r="E23" s="95">
        <f>'DOE25'!H24</f>
        <v>22448.39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2252.79</v>
      </c>
      <c r="D24" s="95">
        <f>'DOE25'!G25</f>
        <v>495.29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1253.2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212.94000000000003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3718.93</v>
      </c>
      <c r="D32" s="41">
        <f>SUM(D22:D31)</f>
        <v>3796.07</v>
      </c>
      <c r="E32" s="41">
        <f>SUM(E22:E31)</f>
        <v>22448.39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49728.29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22843.449999999983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23008.449999999983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49728.29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26727.379999999983</v>
      </c>
      <c r="D43" s="41">
        <f>D42+D32</f>
        <v>3796.07</v>
      </c>
      <c r="E43" s="41">
        <f>E42+E32</f>
        <v>22448.39</v>
      </c>
      <c r="F43" s="41">
        <f>F42+F32</f>
        <v>0</v>
      </c>
      <c r="G43" s="41">
        <f>G42+G32</f>
        <v>49728.29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892591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1411.79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83.72999999999999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11046.04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1529.55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2941.34</v>
      </c>
      <c r="D54" s="130">
        <f>SUM(D49:D53)</f>
        <v>11046.04</v>
      </c>
      <c r="E54" s="130">
        <f>SUM(E49:E53)</f>
        <v>0</v>
      </c>
      <c r="F54" s="130">
        <f>SUM(F49:F53)</f>
        <v>0</v>
      </c>
      <c r="G54" s="130">
        <f>SUM(G49:G53)</f>
        <v>83.72999999999999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895532.34</v>
      </c>
      <c r="D55" s="22">
        <f>D48+D54</f>
        <v>11046.04</v>
      </c>
      <c r="E55" s="22">
        <f>E48+E54</f>
        <v>0</v>
      </c>
      <c r="F55" s="22">
        <f>F48+F54</f>
        <v>0</v>
      </c>
      <c r="G55" s="22">
        <f>G48+G54</f>
        <v>83.72999999999999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328328.98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248924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125970.02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703223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20751.68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5400.88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423.17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26152.560000000001</v>
      </c>
      <c r="D70" s="130">
        <f>SUM(D64:D69)</f>
        <v>423.17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729375.56</v>
      </c>
      <c r="D73" s="130">
        <f>SUM(D71:D72)+D70+D62</f>
        <v>423.17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1359.5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41966.03</v>
      </c>
      <c r="D80" s="95">
        <f>SUM('DOE25'!G145:G153)</f>
        <v>18182.21</v>
      </c>
      <c r="E80" s="95">
        <f>SUM('DOE25'!H145:H153)</f>
        <v>74812.650000000009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229.74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42195.77</v>
      </c>
      <c r="D83" s="131">
        <f>SUM(D77:D82)</f>
        <v>18182.21</v>
      </c>
      <c r="E83" s="131">
        <f>SUM(E77:E82)</f>
        <v>76172.150000000009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69580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26666.959999999999</v>
      </c>
      <c r="E88" s="95">
        <f>'DOE25'!H171</f>
        <v>0</v>
      </c>
      <c r="F88" s="95">
        <f>'DOE25'!I171</f>
        <v>0</v>
      </c>
      <c r="G88" s="95">
        <f>'DOE25'!J171</f>
        <v>15000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69580</v>
      </c>
      <c r="D95" s="86">
        <f>SUM(D85:D94)</f>
        <v>26666.959999999999</v>
      </c>
      <c r="E95" s="86">
        <f>SUM(E85:E94)</f>
        <v>0</v>
      </c>
      <c r="F95" s="86">
        <f>SUM(F85:F94)</f>
        <v>0</v>
      </c>
      <c r="G95" s="86">
        <f>SUM(G85:G94)</f>
        <v>15000</v>
      </c>
    </row>
    <row r="96" spans="1:7" ht="12.75" thickTop="1" thickBot="1" x14ac:dyDescent="0.25">
      <c r="A96" s="33" t="s">
        <v>797</v>
      </c>
      <c r="C96" s="86">
        <f>C55+C73+C83+C95</f>
        <v>1736683.67</v>
      </c>
      <c r="D96" s="86">
        <f>D55+D73+D83+D95</f>
        <v>56318.38</v>
      </c>
      <c r="E96" s="86">
        <f>E55+E73+E83+E95</f>
        <v>76172.150000000009</v>
      </c>
      <c r="F96" s="86">
        <f>F55+F73+F83+F95</f>
        <v>0</v>
      </c>
      <c r="G96" s="86">
        <f>G55+G73+G95</f>
        <v>15083.73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1099404.52</v>
      </c>
      <c r="D101" s="24" t="s">
        <v>312</v>
      </c>
      <c r="E101" s="95">
        <f>('DOE25'!L268)+('DOE25'!L287)+('DOE25'!L306)</f>
        <v>17447.23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213987.72</v>
      </c>
      <c r="D102" s="24" t="s">
        <v>312</v>
      </c>
      <c r="E102" s="95">
        <f>('DOE25'!L269)+('DOE25'!L288)+('DOE25'!L307)</f>
        <v>39488.19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21528.959999999999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9616.75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1344537.95</v>
      </c>
      <c r="D107" s="86">
        <f>SUM(D101:D106)</f>
        <v>0</v>
      </c>
      <c r="E107" s="86">
        <f>SUM(E101:E106)</f>
        <v>56935.42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44160.71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15255.04</v>
      </c>
      <c r="D111" s="24" t="s">
        <v>312</v>
      </c>
      <c r="E111" s="95">
        <f>+('DOE25'!L274)+('DOE25'!L293)+('DOE25'!L312)</f>
        <v>18702.88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93460.73</v>
      </c>
      <c r="D112" s="24" t="s">
        <v>312</v>
      </c>
      <c r="E112" s="95">
        <f>+('DOE25'!L275)+('DOE25'!L294)+('DOE25'!L313)</f>
        <v>533.85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114506.10999999999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116962.02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75089.7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4757.03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56318.380000000005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464191.34</v>
      </c>
      <c r="D120" s="86">
        <f>SUM(D110:D119)</f>
        <v>56318.380000000005</v>
      </c>
      <c r="E120" s="86">
        <f>SUM(E110:E119)</f>
        <v>19236.73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89578.4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5908.98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1781.42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26666.959999999999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15083.73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-83.729999999999563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138935.75999999998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1947665.05</v>
      </c>
      <c r="D137" s="86">
        <f>(D107+D120+D136)</f>
        <v>56318.380000000005</v>
      </c>
      <c r="E137" s="86">
        <f>(E107+E120+E136)</f>
        <v>76172.149999999994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5</v>
      </c>
      <c r="E143" s="153">
        <f>'DOE25'!I480</f>
        <v>4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1/89</v>
      </c>
      <c r="C144" s="152" t="str">
        <f>'DOE25'!G481</f>
        <v>1/89</v>
      </c>
      <c r="D144" s="152" t="str">
        <f>'DOE25'!H481</f>
        <v>10/2008</v>
      </c>
      <c r="E144" s="152" t="str">
        <f>'DOE25'!I481</f>
        <v>9/2009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7/20/08</v>
      </c>
      <c r="C145" s="152" t="str">
        <f>'DOE25'!G482</f>
        <v>7/20/08</v>
      </c>
      <c r="D145" s="152" t="str">
        <f>'DOE25'!H482</f>
        <v>10/2013</v>
      </c>
      <c r="E145" s="152" t="str">
        <f>'DOE25'!I482</f>
        <v>11/2013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595000</v>
      </c>
      <c r="C146" s="137">
        <f>'DOE25'!G483</f>
        <v>255000</v>
      </c>
      <c r="D146" s="137">
        <f>'DOE25'!H483</f>
        <v>32000</v>
      </c>
      <c r="E146" s="137">
        <f>'DOE25'!I483</f>
        <v>69830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26091.02</v>
      </c>
      <c r="E148" s="137">
        <f>'DOE25'!I485</f>
        <v>69830</v>
      </c>
      <c r="F148" s="137">
        <f>'DOE25'!J485</f>
        <v>0</v>
      </c>
      <c r="G148" s="138">
        <f>SUM(B148:F148)</f>
        <v>95921.02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5908.98</v>
      </c>
      <c r="E150" s="137">
        <f>'DOE25'!I487</f>
        <v>0</v>
      </c>
      <c r="F150" s="137">
        <f>'DOE25'!J487</f>
        <v>0</v>
      </c>
      <c r="G150" s="138">
        <f t="shared" si="0"/>
        <v>5908.98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20182.04</v>
      </c>
      <c r="E151" s="137">
        <f>'DOE25'!I488</f>
        <v>69830</v>
      </c>
      <c r="F151" s="137">
        <f>'DOE25'!J488</f>
        <v>0</v>
      </c>
      <c r="G151" s="138">
        <f t="shared" si="0"/>
        <v>90012.040000000008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2658.12</v>
      </c>
      <c r="E152" s="137">
        <f>'DOE25'!I489</f>
        <v>5975.26</v>
      </c>
      <c r="F152" s="137">
        <f>'DOE25'!J489</f>
        <v>0</v>
      </c>
      <c r="G152" s="138">
        <f t="shared" si="0"/>
        <v>8633.380000000001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22840.16</v>
      </c>
      <c r="E153" s="137">
        <f>'DOE25'!I490</f>
        <v>75805.259999999995</v>
      </c>
      <c r="F153" s="137">
        <f>'DOE25'!J490</f>
        <v>0</v>
      </c>
      <c r="G153" s="138">
        <f t="shared" si="0"/>
        <v>98645.42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6145.03</v>
      </c>
      <c r="E154" s="137">
        <f>'DOE25'!I491</f>
        <v>17457.5</v>
      </c>
      <c r="F154" s="137">
        <f>'DOE25'!J491</f>
        <v>0</v>
      </c>
      <c r="G154" s="138">
        <f t="shared" si="0"/>
        <v>23602.53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1042.26</v>
      </c>
      <c r="E155" s="137">
        <f>'DOE25'!I492</f>
        <v>2567.9299999999998</v>
      </c>
      <c r="F155" s="137">
        <f>'DOE25'!J492</f>
        <v>0</v>
      </c>
      <c r="G155" s="138">
        <f t="shared" si="0"/>
        <v>3610.1899999999996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7187.29</v>
      </c>
      <c r="E156" s="137">
        <f>'DOE25'!I493</f>
        <v>20025.43</v>
      </c>
      <c r="F156" s="137">
        <f>'DOE25'!J493</f>
        <v>0</v>
      </c>
      <c r="G156" s="138">
        <f t="shared" si="0"/>
        <v>27212.720000000001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7F34-0798-4057-B8EF-15AF8FECFEB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BATH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14083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14083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1116852</v>
      </c>
      <c r="D10" s="182">
        <f>ROUND((C10/$C$28)*100,1)</f>
        <v>57.8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253476</v>
      </c>
      <c r="D11" s="182">
        <f>ROUND((C11/$C$28)*100,1)</f>
        <v>13.1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21529</v>
      </c>
      <c r="D12" s="182">
        <f>ROUND((C12/$C$28)*100,1)</f>
        <v>1.1000000000000001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9617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44161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33958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98752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114506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116962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75090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1781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45271.96</v>
      </c>
      <c r="D27" s="182">
        <f t="shared" si="0"/>
        <v>2.2999999999999998</v>
      </c>
    </row>
    <row r="28" spans="1:4" x14ac:dyDescent="0.2">
      <c r="B28" s="187" t="s">
        <v>754</v>
      </c>
      <c r="C28" s="180">
        <f>SUM(C10:C27)</f>
        <v>1931955.96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89578</v>
      </c>
    </row>
    <row r="30" spans="1:4" x14ac:dyDescent="0.2">
      <c r="B30" s="187" t="s">
        <v>760</v>
      </c>
      <c r="C30" s="180">
        <f>SUM(C28:C29)</f>
        <v>2021533.96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5909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892591</v>
      </c>
      <c r="D35" s="182">
        <f t="shared" ref="D35:D40" si="1">ROUND((C35/$C$41)*100,1)</f>
        <v>50.7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3025.0699999999488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577253</v>
      </c>
      <c r="D37" s="182">
        <f t="shared" si="1"/>
        <v>32.799999999999997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152546</v>
      </c>
      <c r="D38" s="182">
        <f t="shared" si="1"/>
        <v>8.6999999999999993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136550</v>
      </c>
      <c r="D39" s="182">
        <f t="shared" si="1"/>
        <v>7.7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1761965.0699999998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69580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BFEC-BC5B-4416-861D-4263AD333B85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BATH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 t="s">
        <v>900</v>
      </c>
      <c r="B4" s="220">
        <v>29</v>
      </c>
      <c r="C4" s="281" t="s">
        <v>902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901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2010-09-08T14:08:33Z</cp:lastPrinted>
  <dcterms:created xsi:type="dcterms:W3CDTF">1997-12-04T19:04:30Z</dcterms:created>
  <dcterms:modified xsi:type="dcterms:W3CDTF">2025-01-02T14:39:38Z</dcterms:modified>
</cp:coreProperties>
</file>