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C16A4E11-40E6-4C98-BAE0-67E4E56E0E71}" xr6:coauthVersionLast="47" xr6:coauthVersionMax="47" xr10:uidLastSave="{00000000-0000-0000-0000-000000000000}"/>
  <workbookProtection workbookPassword="B70A" lockStructure="1"/>
  <bookViews>
    <workbookView xWindow="3495" yWindow="3495" windowWidth="21600" windowHeight="11505" tabRatio="855" xr2:uid="{02EE1CF8-E293-41AC-8A8E-EED20AAA7BA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5" i="1" l="1"/>
  <c r="I565" i="1" s="1"/>
  <c r="F25" i="1"/>
  <c r="F42" i="1"/>
  <c r="F655" i="1"/>
  <c r="G523" i="1"/>
  <c r="L523" i="1" s="1"/>
  <c r="H541" i="1" s="1"/>
  <c r="F2" i="11"/>
  <c r="B2" i="10"/>
  <c r="L601" i="1"/>
  <c r="L604" i="1" s="1"/>
  <c r="F653" i="1"/>
  <c r="L602" i="1"/>
  <c r="G653" i="1" s="1"/>
  <c r="L603" i="1"/>
  <c r="I655" i="1"/>
  <c r="L189" i="1"/>
  <c r="L203" i="1" s="1"/>
  <c r="L207" i="1"/>
  <c r="L225" i="1"/>
  <c r="L268" i="1"/>
  <c r="L287" i="1"/>
  <c r="L306" i="1"/>
  <c r="L320" i="1" s="1"/>
  <c r="C10" i="10"/>
  <c r="C24" i="10"/>
  <c r="C25" i="10"/>
  <c r="L200" i="1"/>
  <c r="H637" i="1" s="1"/>
  <c r="L218" i="1"/>
  <c r="G652" i="1" s="1"/>
  <c r="L236" i="1"/>
  <c r="L279" i="1"/>
  <c r="L298" i="1"/>
  <c r="L317" i="1"/>
  <c r="E116" i="2" s="1"/>
  <c r="L201" i="1"/>
  <c r="C117" i="2" s="1"/>
  <c r="L196" i="1"/>
  <c r="C17" i="10" s="1"/>
  <c r="L214" i="1"/>
  <c r="L219" i="1"/>
  <c r="L232" i="1"/>
  <c r="L237" i="1"/>
  <c r="L275" i="1"/>
  <c r="L282" i="1" s="1"/>
  <c r="L280" i="1"/>
  <c r="L294" i="1"/>
  <c r="L299" i="1"/>
  <c r="L313" i="1"/>
  <c r="L318" i="1"/>
  <c r="E117" i="2" s="1"/>
  <c r="L190" i="1"/>
  <c r="C11" i="10" s="1"/>
  <c r="L208" i="1"/>
  <c r="L226" i="1"/>
  <c r="L269" i="1"/>
  <c r="L288" i="1"/>
  <c r="L307" i="1"/>
  <c r="E102" i="2" s="1"/>
  <c r="L191" i="1"/>
  <c r="C12" i="10" s="1"/>
  <c r="L209" i="1"/>
  <c r="L227" i="1"/>
  <c r="L270" i="1"/>
  <c r="L289" i="1"/>
  <c r="L308" i="1"/>
  <c r="E103" i="2" s="1"/>
  <c r="L192" i="1"/>
  <c r="C13" i="10" s="1"/>
  <c r="L210" i="1"/>
  <c r="L228" i="1"/>
  <c r="L271" i="1"/>
  <c r="L290" i="1"/>
  <c r="L309" i="1"/>
  <c r="L194" i="1"/>
  <c r="C15" i="10" s="1"/>
  <c r="L212" i="1"/>
  <c r="L230" i="1"/>
  <c r="L273" i="1"/>
  <c r="L292" i="1"/>
  <c r="L311" i="1"/>
  <c r="E110" i="2" s="1"/>
  <c r="L195" i="1"/>
  <c r="C16" i="10" s="1"/>
  <c r="L213" i="1"/>
  <c r="L231" i="1"/>
  <c r="L274" i="1"/>
  <c r="L293" i="1"/>
  <c r="L312" i="1"/>
  <c r="L197" i="1"/>
  <c r="D12" i="13" s="1"/>
  <c r="C12" i="13" s="1"/>
  <c r="L215" i="1"/>
  <c r="L233" i="1"/>
  <c r="L276" i="1"/>
  <c r="L295" i="1"/>
  <c r="L314" i="1"/>
  <c r="E113" i="2" s="1"/>
  <c r="L198" i="1"/>
  <c r="C19" i="10" s="1"/>
  <c r="L216" i="1"/>
  <c r="L234" i="1"/>
  <c r="L277" i="1"/>
  <c r="L296" i="1"/>
  <c r="L315" i="1"/>
  <c r="E114" i="2" s="1"/>
  <c r="L199" i="1"/>
  <c r="C20" i="10" s="1"/>
  <c r="L217" i="1"/>
  <c r="L235" i="1"/>
  <c r="L278" i="1"/>
  <c r="L297" i="1"/>
  <c r="L316" i="1"/>
  <c r="E115" i="2" s="1"/>
  <c r="L242" i="1"/>
  <c r="C105" i="2" s="1"/>
  <c r="L324" i="1"/>
  <c r="E105" i="2" s="1"/>
  <c r="L243" i="1"/>
  <c r="L244" i="1"/>
  <c r="L245" i="1"/>
  <c r="L246" i="1"/>
  <c r="L325" i="1"/>
  <c r="L326" i="1"/>
  <c r="L327" i="1"/>
  <c r="L253" i="1"/>
  <c r="L334" i="1"/>
  <c r="L260" i="1"/>
  <c r="C26" i="10" s="1"/>
  <c r="L261" i="1"/>
  <c r="C135" i="2" s="1"/>
  <c r="L341" i="1"/>
  <c r="L342" i="1"/>
  <c r="L350" i="1"/>
  <c r="L351" i="1"/>
  <c r="L352" i="1"/>
  <c r="L354" i="1" s="1"/>
  <c r="L353" i="1"/>
  <c r="L247" i="1"/>
  <c r="C29" i="10" s="1"/>
  <c r="L328" i="1"/>
  <c r="L366" i="1"/>
  <c r="L367" i="1"/>
  <c r="L368" i="1"/>
  <c r="L369" i="1"/>
  <c r="L370" i="1"/>
  <c r="L371" i="1"/>
  <c r="L372" i="1"/>
  <c r="L252" i="1"/>
  <c r="L333" i="1"/>
  <c r="C32" i="10"/>
  <c r="C37" i="10"/>
  <c r="C40" i="10"/>
  <c r="C42" i="10"/>
  <c r="A1" i="2"/>
  <c r="A2" i="2"/>
  <c r="C9" i="2"/>
  <c r="C19" i="2" s="1"/>
  <c r="D9" i="2"/>
  <c r="D19" i="2" s="1"/>
  <c r="E9" i="2"/>
  <c r="F9" i="2"/>
  <c r="I431" i="1"/>
  <c r="J9" i="1"/>
  <c r="G9" i="2"/>
  <c r="C10" i="2"/>
  <c r="D10" i="2"/>
  <c r="E10" i="2"/>
  <c r="F10" i="2"/>
  <c r="I432" i="1"/>
  <c r="J10" i="1"/>
  <c r="G10" i="2"/>
  <c r="C11" i="2"/>
  <c r="C12" i="2"/>
  <c r="D12" i="2"/>
  <c r="E12" i="2"/>
  <c r="F12" i="2"/>
  <c r="F19" i="2" s="1"/>
  <c r="I433" i="1"/>
  <c r="J12" i="1" s="1"/>
  <c r="C13" i="2"/>
  <c r="D13" i="2"/>
  <c r="E13" i="2"/>
  <c r="E19" i="2" s="1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 s="1"/>
  <c r="C23" i="2"/>
  <c r="D23" i="2"/>
  <c r="D32" i="2" s="1"/>
  <c r="E23" i="2"/>
  <c r="F23" i="2"/>
  <c r="I441" i="1"/>
  <c r="J24" i="1" s="1"/>
  <c r="G23" i="2" s="1"/>
  <c r="C24" i="2"/>
  <c r="C32" i="2" s="1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E32" i="2" s="1"/>
  <c r="F30" i="2"/>
  <c r="C31" i="2"/>
  <c r="D31" i="2"/>
  <c r="E31" i="2"/>
  <c r="F31" i="2"/>
  <c r="I443" i="1"/>
  <c r="J32" i="1" s="1"/>
  <c r="G31" i="2" s="1"/>
  <c r="F32" i="2"/>
  <c r="C34" i="2"/>
  <c r="D34" i="2"/>
  <c r="E34" i="2"/>
  <c r="F34" i="2"/>
  <c r="F42" i="2" s="1"/>
  <c r="F43" i="2" s="1"/>
  <c r="C35" i="2"/>
  <c r="D35" i="2"/>
  <c r="E35" i="2"/>
  <c r="F35" i="2"/>
  <c r="C36" i="2"/>
  <c r="D36" i="2"/>
  <c r="D42" i="2" s="1"/>
  <c r="D43" i="2" s="1"/>
  <c r="E36" i="2"/>
  <c r="E42" i="2" s="1"/>
  <c r="F36" i="2"/>
  <c r="I446" i="1"/>
  <c r="J37" i="1" s="1"/>
  <c r="C37" i="2"/>
  <c r="D37" i="2"/>
  <c r="E37" i="2"/>
  <c r="F37" i="2"/>
  <c r="I447" i="1"/>
  <c r="J38" i="1" s="1"/>
  <c r="G37" i="2" s="1"/>
  <c r="C38" i="2"/>
  <c r="C42" i="2" s="1"/>
  <c r="D38" i="2"/>
  <c r="E38" i="2"/>
  <c r="F38" i="2"/>
  <c r="I448" i="1"/>
  <c r="J40" i="1"/>
  <c r="G39" i="2"/>
  <c r="C40" i="2"/>
  <c r="D40" i="2"/>
  <c r="E40" i="2"/>
  <c r="F40" i="2"/>
  <c r="I449" i="1"/>
  <c r="I450" i="1" s="1"/>
  <c r="I451" i="1" s="1"/>
  <c r="H632" i="1" s="1"/>
  <c r="J41" i="1"/>
  <c r="G40" i="2" s="1"/>
  <c r="C41" i="2"/>
  <c r="D41" i="2"/>
  <c r="E41" i="2"/>
  <c r="F41" i="2"/>
  <c r="E48" i="2"/>
  <c r="E50" i="2"/>
  <c r="C51" i="2"/>
  <c r="D51" i="2"/>
  <c r="E51" i="2"/>
  <c r="F51" i="2"/>
  <c r="G51" i="2"/>
  <c r="D52" i="2"/>
  <c r="D53" i="2"/>
  <c r="E53" i="2"/>
  <c r="F53" i="2"/>
  <c r="F54" i="2" s="1"/>
  <c r="G53" i="2"/>
  <c r="G54" i="2" s="1"/>
  <c r="D54" i="2"/>
  <c r="C58" i="2"/>
  <c r="C59" i="2"/>
  <c r="C60" i="2"/>
  <c r="C62" i="2" s="1"/>
  <c r="C61" i="2"/>
  <c r="D61" i="2"/>
  <c r="E61" i="2"/>
  <c r="F61" i="2"/>
  <c r="G61" i="2"/>
  <c r="D62" i="2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E70" i="2" s="1"/>
  <c r="E73" i="2" s="1"/>
  <c r="F68" i="2"/>
  <c r="C69" i="2"/>
  <c r="D69" i="2"/>
  <c r="E69" i="2"/>
  <c r="F69" i="2"/>
  <c r="G69" i="2"/>
  <c r="G70" i="2" s="1"/>
  <c r="G73" i="2" s="1"/>
  <c r="C70" i="2"/>
  <c r="C73" i="2" s="1"/>
  <c r="D70" i="2"/>
  <c r="C71" i="2"/>
  <c r="D71" i="2"/>
  <c r="E71" i="2"/>
  <c r="C72" i="2"/>
  <c r="E72" i="2"/>
  <c r="D73" i="2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1" i="2"/>
  <c r="E104" i="2"/>
  <c r="C106" i="2"/>
  <c r="E106" i="2"/>
  <c r="C110" i="2"/>
  <c r="C115" i="2"/>
  <c r="C116" i="2"/>
  <c r="C123" i="2"/>
  <c r="C124" i="2"/>
  <c r="C127" i="2"/>
  <c r="D107" i="2"/>
  <c r="F107" i="2"/>
  <c r="F137" i="2" s="1"/>
  <c r="G107" i="2"/>
  <c r="E111" i="2"/>
  <c r="E112" i="2"/>
  <c r="D119" i="2"/>
  <c r="D120" i="2" s="1"/>
  <c r="F120" i="2"/>
  <c r="G120" i="2"/>
  <c r="E122" i="2"/>
  <c r="F122" i="2"/>
  <c r="F136" i="2" s="1"/>
  <c r="F126" i="2"/>
  <c r="E123" i="2"/>
  <c r="E124" i="2"/>
  <c r="D126" i="2"/>
  <c r="D136" i="2" s="1"/>
  <c r="L336" i="1"/>
  <c r="E126" i="2" s="1"/>
  <c r="K411" i="1"/>
  <c r="K419" i="1"/>
  <c r="K425" i="1"/>
  <c r="K426" i="1"/>
  <c r="G126" i="2" s="1"/>
  <c r="G136" i="2" s="1"/>
  <c r="G137" i="2" s="1"/>
  <c r="L255" i="1"/>
  <c r="L337" i="1"/>
  <c r="E127" i="2" s="1"/>
  <c r="L256" i="1"/>
  <c r="C128" i="2" s="1"/>
  <c r="L257" i="1"/>
  <c r="C129" i="2" s="1"/>
  <c r="L338" i="1"/>
  <c r="E129" i="2" s="1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C149" i="2"/>
  <c r="D149" i="2"/>
  <c r="E149" i="2"/>
  <c r="G149" i="2" s="1"/>
  <c r="F149" i="2"/>
  <c r="B150" i="2"/>
  <c r="C150" i="2"/>
  <c r="D150" i="2"/>
  <c r="E150" i="2"/>
  <c r="F150" i="2"/>
  <c r="G150" i="2" s="1"/>
  <c r="B151" i="2"/>
  <c r="C151" i="2"/>
  <c r="D151" i="2"/>
  <c r="E151" i="2"/>
  <c r="G151" i="2" s="1"/>
  <c r="F151" i="2"/>
  <c r="B152" i="2"/>
  <c r="C152" i="2"/>
  <c r="D152" i="2"/>
  <c r="E152" i="2"/>
  <c r="F152" i="2"/>
  <c r="G152" i="2" s="1"/>
  <c r="F490" i="1"/>
  <c r="B153" i="2" s="1"/>
  <c r="G490" i="1"/>
  <c r="C153" i="2"/>
  <c r="H490" i="1"/>
  <c r="D153" i="2" s="1"/>
  <c r="I490" i="1"/>
  <c r="E153" i="2" s="1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C156" i="2"/>
  <c r="H493" i="1"/>
  <c r="D156" i="2"/>
  <c r="I493" i="1"/>
  <c r="E156" i="2" s="1"/>
  <c r="J493" i="1"/>
  <c r="F156" i="2" s="1"/>
  <c r="B2" i="13"/>
  <c r="F5" i="13"/>
  <c r="D5" i="13" s="1"/>
  <c r="G5" i="13"/>
  <c r="F6" i="13"/>
  <c r="D6" i="13" s="1"/>
  <c r="C6" i="13" s="1"/>
  <c r="G6" i="13"/>
  <c r="F7" i="13"/>
  <c r="G7" i="13"/>
  <c r="F8" i="13"/>
  <c r="G8" i="13"/>
  <c r="C9" i="13"/>
  <c r="C10" i="13"/>
  <c r="C11" i="13"/>
  <c r="F12" i="13"/>
  <c r="G12" i="13"/>
  <c r="F13" i="13"/>
  <c r="G13" i="13"/>
  <c r="F14" i="13"/>
  <c r="G14" i="13"/>
  <c r="D14" i="13"/>
  <c r="C14" i="13" s="1"/>
  <c r="F15" i="13"/>
  <c r="G15" i="13"/>
  <c r="F16" i="13"/>
  <c r="G16" i="13"/>
  <c r="F17" i="13"/>
  <c r="G17" i="13"/>
  <c r="D17" i="13"/>
  <c r="C17" i="13" s="1"/>
  <c r="F18" i="13"/>
  <c r="D18" i="13" s="1"/>
  <c r="C18" i="13" s="1"/>
  <c r="G18" i="13"/>
  <c r="F19" i="13"/>
  <c r="D19" i="13" s="1"/>
  <c r="C19" i="13" s="1"/>
  <c r="G19" i="13"/>
  <c r="H25" i="13"/>
  <c r="C25" i="13" s="1"/>
  <c r="F29" i="13"/>
  <c r="G29" i="13"/>
  <c r="I359" i="1"/>
  <c r="D29" i="13"/>
  <c r="C29" i="13"/>
  <c r="J282" i="1"/>
  <c r="F31" i="13" s="1"/>
  <c r="J301" i="1"/>
  <c r="J320" i="1"/>
  <c r="K282" i="1"/>
  <c r="G31" i="13" s="1"/>
  <c r="K301" i="1"/>
  <c r="K320" i="1"/>
  <c r="L301" i="1"/>
  <c r="H33" i="13"/>
  <c r="D39" i="13"/>
  <c r="B1" i="12"/>
  <c r="B4" i="12"/>
  <c r="B9" i="12"/>
  <c r="A13" i="12" s="1"/>
  <c r="C9" i="12"/>
  <c r="B13" i="12"/>
  <c r="C13" i="12"/>
  <c r="B18" i="12"/>
  <c r="A22" i="12" s="1"/>
  <c r="C18" i="12"/>
  <c r="B22" i="12"/>
  <c r="C22" i="12"/>
  <c r="B27" i="12"/>
  <c r="C27" i="12"/>
  <c r="A31" i="12"/>
  <c r="B31" i="12"/>
  <c r="C31" i="12"/>
  <c r="B36" i="12"/>
  <c r="C36" i="12"/>
  <c r="B40" i="12"/>
  <c r="A40" i="12" s="1"/>
  <c r="C40" i="12"/>
  <c r="F19" i="1"/>
  <c r="G19" i="1"/>
  <c r="H19" i="1"/>
  <c r="I19" i="1"/>
  <c r="F33" i="1"/>
  <c r="G33" i="1"/>
  <c r="H33" i="1"/>
  <c r="I33" i="1"/>
  <c r="F43" i="1"/>
  <c r="G612" i="1" s="1"/>
  <c r="G43" i="1"/>
  <c r="G613" i="1" s="1"/>
  <c r="H43" i="1"/>
  <c r="H44" i="1" s="1"/>
  <c r="H609" i="1" s="1"/>
  <c r="I43" i="1"/>
  <c r="I44" i="1"/>
  <c r="F52" i="1"/>
  <c r="C48" i="2" s="1"/>
  <c r="G52" i="1"/>
  <c r="D48" i="2" s="1"/>
  <c r="D55" i="2" s="1"/>
  <c r="D96" i="2" s="1"/>
  <c r="H52" i="1"/>
  <c r="I52" i="1"/>
  <c r="I104" i="1" s="1"/>
  <c r="J52" i="1"/>
  <c r="J104" i="1" s="1"/>
  <c r="F71" i="1"/>
  <c r="C49" i="2" s="1"/>
  <c r="H71" i="1"/>
  <c r="E49" i="2" s="1"/>
  <c r="E54" i="2" s="1"/>
  <c r="E55" i="2" s="1"/>
  <c r="E96" i="2" s="1"/>
  <c r="F86" i="1"/>
  <c r="C50" i="2" s="1"/>
  <c r="H86" i="1"/>
  <c r="F102" i="1"/>
  <c r="C53" i="2" s="1"/>
  <c r="F103" i="1"/>
  <c r="G103" i="1"/>
  <c r="H103" i="1"/>
  <c r="I103" i="1"/>
  <c r="J103" i="1"/>
  <c r="F104" i="1"/>
  <c r="G104" i="1"/>
  <c r="H104" i="1"/>
  <c r="F113" i="1"/>
  <c r="F132" i="1" s="1"/>
  <c r="G113" i="1"/>
  <c r="G132" i="1" s="1"/>
  <c r="H113" i="1"/>
  <c r="H132" i="1" s="1"/>
  <c r="I113" i="1"/>
  <c r="I132" i="1" s="1"/>
  <c r="J113" i="1"/>
  <c r="F128" i="1"/>
  <c r="G128" i="1"/>
  <c r="H128" i="1"/>
  <c r="I128" i="1"/>
  <c r="J128" i="1"/>
  <c r="J132" i="1"/>
  <c r="F139" i="1"/>
  <c r="C77" i="2" s="1"/>
  <c r="C83" i="2" s="1"/>
  <c r="G139" i="1"/>
  <c r="D77" i="2" s="1"/>
  <c r="D83" i="2" s="1"/>
  <c r="H139" i="1"/>
  <c r="I139" i="1"/>
  <c r="F154" i="1"/>
  <c r="G154" i="1"/>
  <c r="H154" i="1"/>
  <c r="H161" i="1" s="1"/>
  <c r="I154" i="1"/>
  <c r="I161" i="1"/>
  <c r="F169" i="1"/>
  <c r="I169" i="1"/>
  <c r="I184" i="1" s="1"/>
  <c r="F175" i="1"/>
  <c r="G175" i="1"/>
  <c r="H175" i="1"/>
  <c r="H184" i="1" s="1"/>
  <c r="I175" i="1"/>
  <c r="J175" i="1"/>
  <c r="J184" i="1" s="1"/>
  <c r="F180" i="1"/>
  <c r="G180" i="1"/>
  <c r="H180" i="1"/>
  <c r="I180" i="1"/>
  <c r="F184" i="1"/>
  <c r="G184" i="1"/>
  <c r="F203" i="1"/>
  <c r="G203" i="1"/>
  <c r="G249" i="1" s="1"/>
  <c r="G263" i="1" s="1"/>
  <c r="H203" i="1"/>
  <c r="H249" i="1" s="1"/>
  <c r="H263" i="1" s="1"/>
  <c r="I203" i="1"/>
  <c r="J203" i="1"/>
  <c r="K203" i="1"/>
  <c r="F221" i="1"/>
  <c r="F249" i="1" s="1"/>
  <c r="F263" i="1" s="1"/>
  <c r="G221" i="1"/>
  <c r="H221" i="1"/>
  <c r="I221" i="1"/>
  <c r="J221" i="1"/>
  <c r="K221" i="1"/>
  <c r="L221" i="1"/>
  <c r="F239" i="1"/>
  <c r="G239" i="1"/>
  <c r="H239" i="1"/>
  <c r="I239" i="1"/>
  <c r="J239" i="1"/>
  <c r="K239" i="1"/>
  <c r="K249" i="1" s="1"/>
  <c r="K263" i="1" s="1"/>
  <c r="L239" i="1"/>
  <c r="H650" i="1" s="1"/>
  <c r="F248" i="1"/>
  <c r="L248" i="1" s="1"/>
  <c r="G248" i="1"/>
  <c r="H248" i="1"/>
  <c r="I248" i="1"/>
  <c r="J248" i="1"/>
  <c r="K248" i="1"/>
  <c r="I249" i="1"/>
  <c r="I263" i="1" s="1"/>
  <c r="J249" i="1"/>
  <c r="J263" i="1" s="1"/>
  <c r="F262" i="1"/>
  <c r="G262" i="1"/>
  <c r="H262" i="1"/>
  <c r="L262" i="1" s="1"/>
  <c r="I262" i="1"/>
  <c r="J262" i="1"/>
  <c r="K262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J330" i="1"/>
  <c r="J344" i="1" s="1"/>
  <c r="L339" i="1"/>
  <c r="K343" i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L374" i="1"/>
  <c r="G626" i="1" s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J634" i="1" s="1"/>
  <c r="I393" i="1"/>
  <c r="I400" i="1" s="1"/>
  <c r="F399" i="1"/>
  <c r="G399" i="1"/>
  <c r="H399" i="1"/>
  <c r="I399" i="1"/>
  <c r="F400" i="1"/>
  <c r="H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I426" i="1" s="1"/>
  <c r="J425" i="1"/>
  <c r="J426" i="1"/>
  <c r="F438" i="1"/>
  <c r="G438" i="1"/>
  <c r="G630" i="1" s="1"/>
  <c r="J630" i="1" s="1"/>
  <c r="H438" i="1"/>
  <c r="G631" i="1" s="1"/>
  <c r="I438" i="1"/>
  <c r="G632" i="1" s="1"/>
  <c r="J632" i="1" s="1"/>
  <c r="F444" i="1"/>
  <c r="G444" i="1"/>
  <c r="H444" i="1"/>
  <c r="I444" i="1"/>
  <c r="F450" i="1"/>
  <c r="F451" i="1" s="1"/>
  <c r="H629" i="1" s="1"/>
  <c r="G450" i="1"/>
  <c r="H450" i="1"/>
  <c r="G451" i="1"/>
  <c r="H630" i="1" s="1"/>
  <c r="H451" i="1"/>
  <c r="H631" i="1" s="1"/>
  <c r="J464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L511" i="1"/>
  <c r="L512" i="1"/>
  <c r="L513" i="1"/>
  <c r="L514" i="1" s="1"/>
  <c r="F514" i="1"/>
  <c r="G514" i="1"/>
  <c r="H514" i="1"/>
  <c r="I514" i="1"/>
  <c r="J514" i="1"/>
  <c r="J535" i="1" s="1"/>
  <c r="K514" i="1"/>
  <c r="K535" i="1" s="1"/>
  <c r="L516" i="1"/>
  <c r="L517" i="1"/>
  <c r="L518" i="1"/>
  <c r="F519" i="1"/>
  <c r="G519" i="1"/>
  <c r="H519" i="1"/>
  <c r="H535" i="1" s="1"/>
  <c r="I519" i="1"/>
  <c r="I535" i="1" s="1"/>
  <c r="J519" i="1"/>
  <c r="K519" i="1"/>
  <c r="L519" i="1"/>
  <c r="L521" i="1"/>
  <c r="H539" i="1" s="1"/>
  <c r="L522" i="1"/>
  <c r="H540" i="1" s="1"/>
  <c r="F524" i="1"/>
  <c r="H524" i="1"/>
  <c r="I524" i="1"/>
  <c r="J524" i="1"/>
  <c r="K524" i="1"/>
  <c r="L526" i="1"/>
  <c r="I539" i="1" s="1"/>
  <c r="L527" i="1"/>
  <c r="L529" i="1" s="1"/>
  <c r="L528" i="1"/>
  <c r="I541" i="1" s="1"/>
  <c r="F529" i="1"/>
  <c r="G529" i="1"/>
  <c r="H529" i="1"/>
  <c r="I529" i="1"/>
  <c r="J529" i="1"/>
  <c r="K529" i="1"/>
  <c r="L531" i="1"/>
  <c r="L532" i="1"/>
  <c r="L533" i="1"/>
  <c r="F534" i="1"/>
  <c r="F535" i="1" s="1"/>
  <c r="G534" i="1"/>
  <c r="H534" i="1"/>
  <c r="I534" i="1"/>
  <c r="J534" i="1"/>
  <c r="K534" i="1"/>
  <c r="L534" i="1"/>
  <c r="F539" i="1"/>
  <c r="G539" i="1"/>
  <c r="J539" i="1"/>
  <c r="F540" i="1"/>
  <c r="G540" i="1"/>
  <c r="J540" i="1"/>
  <c r="G541" i="1"/>
  <c r="J541" i="1"/>
  <c r="G542" i="1"/>
  <c r="J542" i="1"/>
  <c r="L547" i="1"/>
  <c r="L550" i="1" s="1"/>
  <c r="L548" i="1"/>
  <c r="L549" i="1"/>
  <c r="F550" i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59" i="1"/>
  <c r="L560" i="1" s="1"/>
  <c r="F560" i="1"/>
  <c r="F561" i="1" s="1"/>
  <c r="G560" i="1"/>
  <c r="H560" i="1"/>
  <c r="I560" i="1"/>
  <c r="J560" i="1"/>
  <c r="K560" i="1"/>
  <c r="J561" i="1"/>
  <c r="K561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I588" i="1"/>
  <c r="J588" i="1"/>
  <c r="H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G609" i="1"/>
  <c r="J609" i="1" s="1"/>
  <c r="G610" i="1"/>
  <c r="J610" i="1" s="1"/>
  <c r="H610" i="1"/>
  <c r="G614" i="1"/>
  <c r="G615" i="1"/>
  <c r="G624" i="1"/>
  <c r="H628" i="1"/>
  <c r="G629" i="1"/>
  <c r="G633" i="1"/>
  <c r="J633" i="1" s="1"/>
  <c r="G634" i="1"/>
  <c r="G635" i="1"/>
  <c r="J635" i="1" s="1"/>
  <c r="G639" i="1"/>
  <c r="J639" i="1" s="1"/>
  <c r="H639" i="1"/>
  <c r="H640" i="1"/>
  <c r="G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G650" i="1"/>
  <c r="G651" i="1"/>
  <c r="H651" i="1"/>
  <c r="I659" i="1"/>
  <c r="I660" i="1"/>
  <c r="F44" i="1"/>
  <c r="H607" i="1"/>
  <c r="J607" i="1" s="1"/>
  <c r="C54" i="2" l="1"/>
  <c r="E136" i="2"/>
  <c r="J631" i="1"/>
  <c r="J185" i="1"/>
  <c r="G12" i="2"/>
  <c r="G19" i="2" s="1"/>
  <c r="J19" i="1"/>
  <c r="G611" i="1" s="1"/>
  <c r="I185" i="1"/>
  <c r="G625" i="1"/>
  <c r="C27" i="10"/>
  <c r="G462" i="1"/>
  <c r="J43" i="1"/>
  <c r="G36" i="2"/>
  <c r="G42" i="2" s="1"/>
  <c r="G43" i="2" s="1"/>
  <c r="J629" i="1"/>
  <c r="C55" i="2"/>
  <c r="C96" i="2" s="1"/>
  <c r="G156" i="2"/>
  <c r="D31" i="13"/>
  <c r="C31" i="13" s="1"/>
  <c r="L330" i="1"/>
  <c r="L344" i="1" s="1"/>
  <c r="L561" i="1"/>
  <c r="K539" i="1"/>
  <c r="H542" i="1"/>
  <c r="G33" i="13"/>
  <c r="E43" i="2"/>
  <c r="G22" i="2"/>
  <c r="G32" i="2" s="1"/>
  <c r="J33" i="1"/>
  <c r="L400" i="1"/>
  <c r="C130" i="2"/>
  <c r="C133" i="2" s="1"/>
  <c r="D137" i="2"/>
  <c r="J638" i="1"/>
  <c r="H185" i="1"/>
  <c r="C5" i="13"/>
  <c r="E120" i="2"/>
  <c r="G654" i="1"/>
  <c r="J641" i="1"/>
  <c r="J637" i="1"/>
  <c r="G185" i="1"/>
  <c r="C43" i="2"/>
  <c r="L426" i="1"/>
  <c r="G628" i="1" s="1"/>
  <c r="J628" i="1" s="1"/>
  <c r="C38" i="10"/>
  <c r="G153" i="2"/>
  <c r="L249" i="1"/>
  <c r="L263" i="1" s="1"/>
  <c r="F650" i="1"/>
  <c r="C104" i="2"/>
  <c r="F651" i="1"/>
  <c r="I651" i="1" s="1"/>
  <c r="G640" i="1"/>
  <c r="J640" i="1" s="1"/>
  <c r="I540" i="1"/>
  <c r="K540" i="1" s="1"/>
  <c r="L343" i="1"/>
  <c r="F22" i="13"/>
  <c r="C22" i="13" s="1"/>
  <c r="C113" i="2"/>
  <c r="C103" i="2"/>
  <c r="C21" i="10"/>
  <c r="C23" i="10"/>
  <c r="L524" i="1"/>
  <c r="L535" i="1" s="1"/>
  <c r="E8" i="13"/>
  <c r="C112" i="2"/>
  <c r="C114" i="2"/>
  <c r="K490" i="1"/>
  <c r="E16" i="13"/>
  <c r="C16" i="13" s="1"/>
  <c r="E13" i="13"/>
  <c r="C13" i="13" s="1"/>
  <c r="C111" i="2"/>
  <c r="C120" i="2" s="1"/>
  <c r="C102" i="2"/>
  <c r="E101" i="2"/>
  <c r="E107" i="2" s="1"/>
  <c r="E137" i="2" s="1"/>
  <c r="G48" i="2"/>
  <c r="G55" i="2" s="1"/>
  <c r="G96" i="2" s="1"/>
  <c r="C18" i="10"/>
  <c r="I462" i="1"/>
  <c r="K330" i="1"/>
  <c r="K344" i="1" s="1"/>
  <c r="F48" i="2"/>
  <c r="F55" i="2" s="1"/>
  <c r="F96" i="2" s="1"/>
  <c r="C35" i="10"/>
  <c r="H638" i="1"/>
  <c r="D7" i="13"/>
  <c r="C7" i="13" s="1"/>
  <c r="H652" i="1"/>
  <c r="G524" i="1"/>
  <c r="G535" i="1" s="1"/>
  <c r="G161" i="1"/>
  <c r="G44" i="1"/>
  <c r="H608" i="1" s="1"/>
  <c r="J608" i="1" s="1"/>
  <c r="D15" i="13"/>
  <c r="C15" i="13" s="1"/>
  <c r="C122" i="2"/>
  <c r="F161" i="1"/>
  <c r="C39" i="10" s="1"/>
  <c r="H653" i="1"/>
  <c r="I653" i="1" s="1"/>
  <c r="F652" i="1"/>
  <c r="C134" i="2"/>
  <c r="F541" i="1"/>
  <c r="K541" i="1" s="1"/>
  <c r="C36" i="10" l="1"/>
  <c r="C41" i="10" s="1"/>
  <c r="H626" i="1"/>
  <c r="J626" i="1" s="1"/>
  <c r="I464" i="1"/>
  <c r="F654" i="1"/>
  <c r="I650" i="1"/>
  <c r="I654" i="1" s="1"/>
  <c r="J44" i="1"/>
  <c r="H611" i="1" s="1"/>
  <c r="G616" i="1"/>
  <c r="C136" i="2"/>
  <c r="J611" i="1"/>
  <c r="D23" i="10"/>
  <c r="F462" i="1"/>
  <c r="G622" i="1"/>
  <c r="G657" i="1"/>
  <c r="G662" i="1"/>
  <c r="C5" i="10" s="1"/>
  <c r="K542" i="1"/>
  <c r="F542" i="1"/>
  <c r="G621" i="1"/>
  <c r="J458" i="1"/>
  <c r="G636" i="1"/>
  <c r="J636" i="1" s="1"/>
  <c r="H654" i="1"/>
  <c r="G620" i="1"/>
  <c r="I458" i="1"/>
  <c r="G458" i="1"/>
  <c r="G618" i="1"/>
  <c r="E33" i="13"/>
  <c r="D35" i="13" s="1"/>
  <c r="C8" i="13"/>
  <c r="D21" i="10"/>
  <c r="G623" i="1"/>
  <c r="H462" i="1"/>
  <c r="C107" i="2"/>
  <c r="C137" i="2" s="1"/>
  <c r="F185" i="1"/>
  <c r="H625" i="1"/>
  <c r="G464" i="1"/>
  <c r="H636" i="1"/>
  <c r="G627" i="1"/>
  <c r="F33" i="13"/>
  <c r="D33" i="13"/>
  <c r="D36" i="13" s="1"/>
  <c r="J625" i="1"/>
  <c r="I542" i="1"/>
  <c r="C28" i="10"/>
  <c r="I652" i="1"/>
  <c r="H458" i="1"/>
  <c r="G619" i="1"/>
  <c r="D40" i="10" l="1"/>
  <c r="D37" i="10"/>
  <c r="D35" i="10"/>
  <c r="D38" i="10"/>
  <c r="D39" i="10"/>
  <c r="H662" i="1"/>
  <c r="C6" i="10" s="1"/>
  <c r="H657" i="1"/>
  <c r="D22" i="10"/>
  <c r="C30" i="10"/>
  <c r="D12" i="10"/>
  <c r="D10" i="10"/>
  <c r="D17" i="10"/>
  <c r="D26" i="10"/>
  <c r="D25" i="10"/>
  <c r="D19" i="10"/>
  <c r="D20" i="10"/>
  <c r="D16" i="10"/>
  <c r="D24" i="10"/>
  <c r="D13" i="10"/>
  <c r="D11" i="10"/>
  <c r="D15" i="10"/>
  <c r="H464" i="1"/>
  <c r="H623" i="1"/>
  <c r="J623" i="1" s="1"/>
  <c r="H621" i="1"/>
  <c r="J621" i="1" s="1"/>
  <c r="J460" i="1"/>
  <c r="J466" i="1" s="1"/>
  <c r="H616" i="1" s="1"/>
  <c r="J616" i="1" s="1"/>
  <c r="H627" i="1"/>
  <c r="F458" i="1"/>
  <c r="G617" i="1"/>
  <c r="D27" i="10"/>
  <c r="I657" i="1"/>
  <c r="I662" i="1"/>
  <c r="C7" i="10" s="1"/>
  <c r="J627" i="1"/>
  <c r="J618" i="1"/>
  <c r="J622" i="1"/>
  <c r="F657" i="1"/>
  <c r="F662" i="1"/>
  <c r="C4" i="10" s="1"/>
  <c r="G460" i="1"/>
  <c r="G466" i="1" s="1"/>
  <c r="H613" i="1" s="1"/>
  <c r="J613" i="1" s="1"/>
  <c r="H618" i="1"/>
  <c r="F464" i="1"/>
  <c r="H622" i="1"/>
  <c r="H620" i="1"/>
  <c r="J620" i="1" s="1"/>
  <c r="I460" i="1"/>
  <c r="I466" i="1" s="1"/>
  <c r="H615" i="1" s="1"/>
  <c r="J615" i="1" s="1"/>
  <c r="D36" i="10"/>
  <c r="H460" i="1"/>
  <c r="H466" i="1" s="1"/>
  <c r="H614" i="1" s="1"/>
  <c r="J614" i="1" s="1"/>
  <c r="H619" i="1"/>
  <c r="J619" i="1" s="1"/>
  <c r="D18" i="10"/>
  <c r="D28" i="10" l="1"/>
  <c r="F460" i="1"/>
  <c r="F466" i="1" s="1"/>
  <c r="H612" i="1" s="1"/>
  <c r="J612" i="1" s="1"/>
  <c r="H617" i="1"/>
  <c r="J617" i="1" s="1"/>
  <c r="D41" i="10"/>
  <c r="H6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E64D5A0-5BF5-4CBF-9D64-3473CB9E668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E62EAD6-23D8-48DE-8C94-A2537A5EFA48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E123843-62FA-42F1-810F-A055F59ABC77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1D4A896-7073-4608-BB4A-D8B799EF72E8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A03DDA27-1DDD-4915-9ED9-218C0C264F74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B53B9DF-3A48-4815-A648-8C55897CBAD8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19DD002E-63FF-4EE0-9011-4C5220B291C8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9248C7F8-D37C-4E0D-9BD6-03FB5E7DA58E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8028EB7D-9E81-455F-9CA2-9D63CC3F6C27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61D4CC21-3394-48B1-8337-2457DE13B34D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3E181591-39F7-4431-B877-DD6BA9582C8F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1C34FA9-EF48-43AD-A9C4-5BDE6883E23C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<sst xmlns="http://schemas.openxmlformats.org/spreadsheetml/2006/main" count="3868" uniqueCount="905">
  <si>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</si>
  <si>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</si>
  <si>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</si>
  <si>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</si>
  <si>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</si>
  <si>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</si>
  <si>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</si>
  <si>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</si>
  <si>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</si>
  <si>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</si>
  <si>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</si>
  <si>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</si>
  <si>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</si>
  <si>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</si>
  <si>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</si>
  <si>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</si>
  <si>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</si>
  <si>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</si>
  <si>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</si>
  <si>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</si>
  <si>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</si>
  <si>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</si>
  <si>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</si>
  <si>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</si>
  <si>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</si>
  <si>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</si>
  <si>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</si>
  <si>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</si>
  <si>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</si>
  <si>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</si>
  <si>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</si>
  <si>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</si>
  <si>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</si>
  <si>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</si>
  <si>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</si>
  <si>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</si>
  <si>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</si>
  <si>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</si>
  <si>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</si>
  <si>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</si>
  <si>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</si>
  <si>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</si>
  <si>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</si>
  <si>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</si>
  <si>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</si>
  <si>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</si>
  <si>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</si>
  <si>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</si>
  <si>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</si>
  <si>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</si>
  <si>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</si>
  <si>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</si>
  <si>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</si>
  <si>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</si>
  <si>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</si>
  <si>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</si>
  <si>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</si>
  <si>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</si>
  <si>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</si>
  <si>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</si>
  <si>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</si>
  <si>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</si>
  <si>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</si>
  <si>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</si>
  <si>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</si>
  <si>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</si>
  <si>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</si>
  <si>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</si>
  <si>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</si>
  <si>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</si>
  <si>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</si>
  <si>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</si>
  <si>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</si>
  <si>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</si>
  <si>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</si>
  <si>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</si>
  <si>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</si>
  <si>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</si>
  <si>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</si>
  <si>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</si>
  <si>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</si>
  <si>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</si>
  <si>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</si>
  <si>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</si>
  <si>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</si>
  <si>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</si>
  <si>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</si>
  <si>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</si>
  <si>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</si>
  <si>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</si>
  <si>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</si>
  <si>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</si>
  <si>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</si>
  <si>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</si>
  <si>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</si>
  <si>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</si>
  <si>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</si>
  <si>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</si>
  <si>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</si>
  <si>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</si>
  <si>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</si>
  <si>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</si>
  <si>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</si>
  <si>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</si>
  <si>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</si>
  <si>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</si>
  <si>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</si>
  <si>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</si>
  <si>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</si>
  <si>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</si>
  <si>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</si>
  <si>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</si>
  <si>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</si>
  <si>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</si>
  <si>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</si>
  <si>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</si>
  <si>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</si>
  <si>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</si>
  <si>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</si>
  <si>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</si>
  <si>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</si>
  <si>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</si>
  <si>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</si>
  <si>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</si>
  <si>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</si>
  <si>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</si>
  <si>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</si>
  <si>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</si>
  <si>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</si>
  <si>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</si>
  <si>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</si>
  <si>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</si>
  <si>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</si>
  <si>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</si>
  <si>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</si>
  <si>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</si>
  <si>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</si>
  <si>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</si>
  <si>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</si>
  <si>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</si>
  <si>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</si>
  <si>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</si>
  <si>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</si>
  <si>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</si>
  <si>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</si>
  <si>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</si>
  <si>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</si>
  <si>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</si>
  <si>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</si>
  <si>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</si>
  <si>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</si>
  <si>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</si>
  <si>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</si>
  <si>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</si>
  <si>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</si>
  <si>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</si>
  <si>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</si>
  <si>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</si>
  <si>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</si>
  <si>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</si>
  <si>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</si>
  <si>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</si>
  <si>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</si>
  <si>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</si>
  <si>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</si>
  <si>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</si>
  <si>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</si>
  <si>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</si>
  <si>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</si>
  <si>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</si>
  <si>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</si>
  <si>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</si>
  <si>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</si>
  <si>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</si>
  <si>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</si>
  <si>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</si>
  <si>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</si>
  <si>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</si>
  <si>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</si>
  <si>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</si>
  <si>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</si>
  <si>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</si>
  <si>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</si>
  <si>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</si>
  <si>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</si>
  <si>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</si>
  <si>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</si>
  <si>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</si>
  <si>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</si>
  <si>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</si>
  <si>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</si>
  <si>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</si>
  <si>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</si>
  <si>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</si>
  <si>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</si>
  <si>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</si>
  <si>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</si>
  <si>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</si>
  <si>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</si>
  <si>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</si>
  <si>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</si>
  <si>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</si>
  <si>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</si>
  <si>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</si>
  <si>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</si>
  <si>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</si>
  <si>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</si>
  <si>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</si>
  <si>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</si>
  <si>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</si>
  <si>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</si>
  <si>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</si>
  <si>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</si>
  <si>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</si>
  <si>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</si>
  <si>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</si>
  <si>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</si>
  <si>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</si>
  <si>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</si>
  <si>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</si>
  <si>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</si>
  <si>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</si>
  <si>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</si>
  <si>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</si>
  <si>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</si>
  <si>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</si>
  <si>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</si>
  <si>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</si>
  <si>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</si>
  <si>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</si>
  <si>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</si>
  <si>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</si>
  <si>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</si>
  <si>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</si>
  <si>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</si>
  <si>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</si>
  <si>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</si>
  <si>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</si>
  <si>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</si>
  <si>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</si>
  <si>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</si>
  <si>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</si>
  <si>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</si>
  <si>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</si>
  <si>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</si>
  <si>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</si>
  <si>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</si>
  <si>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</si>
  <si>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</si>
  <si>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</si>
  <si>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</si>
  <si>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</si>
  <si>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</si>
  <si>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</si>
  <si>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</si>
  <si>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</si>
  <si>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</si>
  <si>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</si>
  <si>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</si>
  <si>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</si>
  <si>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</si>
  <si>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</si>
  <si>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</si>
  <si>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</si>
  <si>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</si>
  <si>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</si>
  <si>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</si>
  <si>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</si>
  <si>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</si>
  <si>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</si>
  <si>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</si>
  <si>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</si>
  <si>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</si>
  <si>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</si>
  <si>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</si>
  <si>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</si>
  <si>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</si>
  <si>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</si>
  <si>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</si>
  <si>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</si>
  <si>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</si>
  <si>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</si>
  <si>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</si>
  <si>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</si>
  <si>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</si>
  <si>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</si>
  <si>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</si>
  <si>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</si>
  <si>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</si>
  <si>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</si>
  <si>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</si>
  <si>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</si>
  <si>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</si>
  <si>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</si>
  <si>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</si>
  <si>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</si>
  <si>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</si>
  <si>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</si>
  <si>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</si>
  <si>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</si>
  <si>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</si>
  <si>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</si>
  <si>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</si>
  <si>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</si>
  <si>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</si>
  <si>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</si>
  <si>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</si>
  <si>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</si>
  <si>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</si>
  <si>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</si>
  <si>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</si>
  <si>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</si>
  <si>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</si>
  <si>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</si>
  <si>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</si>
  <si>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</si>
  <si>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</si>
  <si>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</si>
  <si>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</si>
  <si>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</si>
  <si>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</si>
  <si>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</si>
  <si>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</si>
  <si>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</si>
  <si>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</si>
  <si>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</si>
  <si>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</si>
  <si>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</si>
  <si>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</si>
  <si>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</si>
  <si>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</si>
  <si>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</si>
  <si>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</si>
  <si>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</si>
  <si>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</si>
  <si>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</si>
  <si>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</si>
  <si>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</si>
  <si>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</si>
  <si>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</si>
  <si>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</si>
  <si>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</si>
  <si>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</si>
  <si>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</si>
  <si>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</si>
  <si>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</si>
  <si>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</si>
  <si>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</si>
  <si>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</si>
  <si>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</si>
  <si>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</si>
  <si>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</si>
  <si>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</si>
  <si>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</si>
  <si>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</si>
  <si>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</si>
  <si>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</si>
  <si>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</si>
  <si>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</si>
  <si>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</si>
  <si>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</si>
  <si>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</si>
  <si>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</si>
  <si>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</si>
  <si>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</si>
  <si>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</si>
  <si>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</si>
  <si>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</si>
  <si>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</si>
  <si>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</si>
  <si>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</si>
  <si>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</si>
  <si>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</si>
  <si>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</si>
  <si>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</si>
  <si>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</si>
  <si>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</si>
  <si>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</si>
  <si>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</si>
  <si>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</si>
  <si>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</si>
  <si>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</si>
  <si>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</si>
  <si>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</si>
  <si>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</si>
  <si>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</si>
  <si>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</si>
  <si>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</si>
  <si>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</si>
  <si>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</si>
  <si>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</si>
  <si>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</si>
  <si>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</si>
  <si>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</si>
  <si>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</si>
  <si>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</si>
  <si>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</si>
  <si>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</si>
  <si>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</si>
  <si>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</si>
  <si>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</si>
  <si>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</si>
  <si>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</si>
  <si>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</si>
  <si>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</si>
  <si>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</si>
  <si>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</si>
  <si>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</si>
  <si>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</si>
  <si>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</si>
  <si>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</si>
  <si>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</si>
  <si>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</si>
  <si>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</si>
  <si>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</si>
  <si>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</si>
  <si>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</si>
  <si>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</si>
  <si>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</si>
  <si>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</si>
  <si>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</si>
  <si>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</si>
  <si>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</si>
  <si>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</si>
  <si>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</si>
  <si>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</si>
  <si>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</si>
  <si>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</si>
  <si>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</si>
  <si>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</si>
  <si>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</si>
  <si>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</si>
  <si>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</si>
  <si>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</si>
  <si>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</si>
  <si>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</si>
  <si>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</si>
  <si>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</si>
  <si>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</si>
  <si>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</si>
  <si>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</si>
  <si>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</si>
  <si>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</si>
  <si>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</si>
  <si>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</si>
  <si>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</si>
  <si>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</si>
  <si>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</si>
  <si>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</si>
  <si>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</si>
  <si>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</si>
  <si>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</si>
  <si>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</si>
  <si>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</si>
  <si>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</si>
  <si>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</si>
  <si>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</si>
  <si>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</si>
  <si>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</si>
  <si>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</si>
  <si>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</si>
  <si>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</si>
  <si>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</si>
  <si>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</si>
  <si>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</si>
  <si>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</si>
  <si>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</si>
  <si>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</si>
  <si>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</si>
  <si>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</si>
  <si>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</si>
  <si>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</si>
  <si>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</si>
  <si>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</si>
  <si>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</si>
  <si>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</si>
  <si>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</si>
  <si>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</si>
  <si>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</si>
  <si>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</si>
  <si>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</si>
  <si>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</si>
  <si>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</si>
  <si>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</si>
  <si>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</si>
  <si>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</si>
  <si>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</si>
  <si>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</si>
  <si>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</si>
  <si>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</si>
  <si>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</si>
  <si>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</si>
  <si>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</si>
  <si>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</si>
  <si>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</si>
  <si>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</si>
  <si>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</si>
  <si>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</si>
  <si>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</si>
  <si>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</si>
  <si>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</si>
  <si>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</si>
  <si>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</si>
  <si>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</si>
  <si>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</si>
  <si>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</si>
  <si>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</si>
  <si>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</si>
  <si>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</si>
  <si>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</si>
  <si>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</si>
  <si>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</si>
  <si>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</si>
  <si>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</si>
  <si>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</si>
  <si>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</si>
  <si>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</si>
  <si>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</si>
  <si>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</si>
  <si>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</si>
  <si>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</si>
  <si>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</si>
  <si>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</si>
  <si>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</si>
  <si>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</si>
  <si>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</si>
  <si>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</si>
  <si>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</si>
  <si>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</si>
  <si>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</si>
  <si>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</si>
  <si>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</si>
  <si>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</si>
  <si>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</si>
  <si>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</si>
  <si>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</si>
  <si>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</si>
  <si>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</si>
  <si>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</si>
  <si>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</si>
  <si>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</si>
  <si>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</si>
  <si>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</si>
  <si>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</si>
  <si>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</si>
  <si>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</si>
  <si>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</si>
  <si>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</si>
  <si>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</si>
  <si>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</si>
  <si>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</si>
  <si>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</si>
  <si>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</si>
  <si>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</si>
  <si>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</si>
  <si>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</si>
  <si>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</si>
  <si>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</si>
  <si>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</si>
  <si>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</si>
  <si>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</si>
  <si>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</si>
  <si>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</si>
  <si>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</si>
  <si>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</si>
  <si>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</si>
  <si>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</si>
  <si>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</si>
  <si>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</si>
  <si>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</si>
  <si>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</si>
  <si>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</si>
  <si>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</si>
  <si>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</si>
  <si>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</si>
  <si>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</si>
  <si>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</si>
  <si>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</si>
  <si>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</si>
  <si>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</si>
  <si>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</si>
  <si>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</si>
  <si>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</si>
  <si>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</si>
  <si>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</si>
  <si>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</si>
  <si>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</si>
  <si>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</si>
  <si>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</si>
  <si>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</si>
  <si>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</si>
  <si>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</si>
  <si>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</si>
  <si>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</si>
  <si>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</si>
  <si>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</si>
  <si>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</si>
  <si>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</si>
  <si>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</si>
  <si>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</si>
  <si>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</si>
  <si>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</si>
  <si>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</si>
  <si>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</si>
  <si>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</si>
  <si>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</si>
  <si>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</si>
  <si>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</si>
  <si>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</si>
  <si>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</si>
  <si>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</si>
  <si>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</si>
  <si>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</si>
  <si>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</si>
  <si>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</si>
  <si>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</si>
  <si>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</si>
  <si>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</si>
  <si>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</si>
  <si>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</si>
  <si>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</si>
  <si>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</si>
  <si>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</si>
  <si>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</si>
  <si>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</si>
  <si>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</si>
  <si>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</si>
  <si>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</si>
  <si>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</si>
  <si>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</si>
  <si>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</si>
  <si>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</si>
  <si>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</si>
  <si>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</si>
  <si>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</si>
  <si>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</si>
  <si>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</si>
  <si>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</si>
  <si>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</si>
  <si>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</si>
  <si>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</si>
  <si>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</si>
  <si>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</si>
  <si>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</si>
  <si>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</si>
  <si>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</si>
  <si>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</si>
  <si>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</si>
  <si>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</si>
  <si>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</si>
  <si>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</si>
  <si>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</si>
  <si>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</si>
  <si>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</si>
  <si>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</si>
  <si>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</si>
  <si>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</si>
  <si>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</si>
  <si>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</si>
  <si>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</si>
  <si>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</si>
  <si>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</si>
  <si>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</si>
  <si>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</si>
  <si>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</si>
  <si>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</si>
  <si>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</si>
  <si>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</si>
  <si>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</si>
  <si>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</si>
  <si>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</si>
  <si>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</si>
  <si>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</si>
  <si>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</si>
  <si>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</si>
  <si>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</si>
  <si>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</si>
  <si>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</si>
  <si>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</si>
  <si>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</si>
  <si>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</si>
  <si>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</si>
  <si>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</si>
  <si>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</si>
  <si>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</si>
  <si>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</si>
  <si>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</si>
  <si>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</si>
  <si>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</si>
  <si>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</si>
  <si>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</si>
  <si>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</si>
  <si>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</si>
  <si>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</si>
  <si>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</si>
  <si>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</si>
  <si>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</si>
  <si>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</si>
  <si>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</si>
  <si>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</si>
  <si>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</si>
  <si>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</si>
  <si>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</si>
  <si>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</si>
  <si>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</si>
  <si>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</si>
  <si>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</si>
  <si>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</si>
  <si>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</si>
  <si>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</si>
  <si>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</si>
  <si>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</si>
  <si>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</si>
  <si>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</si>
  <si>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</si>
  <si>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</si>
  <si>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</si>
  <si>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</si>
  <si>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</si>
  <si>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</si>
  <si>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</si>
  <si>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</si>
  <si>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</si>
  <si>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</si>
  <si>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</si>
  <si>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</si>
  <si>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</si>
  <si>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</si>
  <si>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</si>
  <si>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</si>
  <si>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</si>
  <si>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</si>
  <si>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</si>
  <si>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</si>
  <si>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</si>
  <si>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</si>
  <si>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</si>
  <si>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</si>
  <si>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</si>
  <si>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</si>
  <si>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</si>
  <si>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</si>
  <si>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</si>
  <si>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</si>
  <si>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</si>
  <si>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</si>
  <si>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</si>
  <si>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</si>
  <si>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</si>
  <si>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</si>
  <si>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</si>
  <si>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</si>
  <si>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</si>
  <si>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</si>
  <si>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</si>
  <si>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</si>
  <si>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</si>
  <si>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</si>
  <si>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</si>
  <si>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</si>
  <si>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</si>
  <si>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</si>
  <si>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</si>
  <si>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</si>
  <si>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</si>
  <si>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</si>
  <si>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</si>
  <si>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</si>
  <si>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</si>
  <si>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</si>
  <si>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</si>
  <si>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</si>
  <si>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</si>
  <si>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</si>
  <si>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</si>
  <si>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</si>
  <si>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</si>
  <si>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</si>
  <si>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</si>
  <si>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</si>
  <si>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</si>
  <si>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</si>
  <si>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</si>
  <si>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</si>
  <si>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</si>
  <si>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</si>
  <si>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</si>
  <si>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</si>
  <si>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</si>
  <si>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</si>
  <si>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</si>
  <si>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</si>
  <si>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</si>
  <si>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</si>
  <si>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</si>
  <si>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</si>
  <si>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</si>
  <si>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</si>
  <si>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</si>
  <si>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</si>
  <si>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</si>
  <si>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</si>
  <si>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</si>
  <si>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</si>
  <si>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</si>
  <si>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</si>
  <si>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</si>
  <si>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</si>
  <si>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</si>
  <si>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</si>
  <si>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</si>
  <si>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</si>
  <si>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</si>
  <si>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</si>
  <si>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</si>
  <si>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</si>
  <si>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</si>
  <si>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</si>
  <si>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</si>
  <si>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</si>
  <si>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</si>
  <si>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</si>
  <si>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</si>
  <si>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</si>
  <si>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</si>
  <si>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</si>
  <si>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</si>
  <si>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</si>
  <si>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</si>
  <si>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</si>
  <si>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</si>
  <si>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</si>
  <si>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</si>
  <si>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</si>
  <si>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</si>
  <si>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</si>
  <si>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</si>
  <si>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</si>
  <si>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</si>
  <si>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</si>
  <si>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</si>
  <si>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</si>
  <si>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</si>
  <si>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</si>
  <si>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</si>
  <si>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</si>
  <si>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</si>
  <si>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</si>
  <si>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</si>
  <si>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</si>
  <si>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</si>
  <si>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</si>
  <si>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</si>
  <si>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</si>
  <si>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</si>
  <si>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</si>
  <si>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</si>
  <si>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</si>
  <si>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</si>
  <si>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</si>
  <si>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</si>
  <si>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</si>
  <si>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</si>
  <si>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</si>
  <si>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</si>
  <si>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</si>
  <si>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</si>
  <si>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</si>
  <si>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</si>
  <si>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</si>
  <si>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</si>
  <si>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</si>
  <si>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</si>
  <si>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</si>
  <si>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</si>
  <si>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</si>
  <si>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</si>
  <si>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</si>
  <si>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</si>
  <si>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</si>
  <si>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</si>
  <si>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</si>
  <si>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</si>
  <si>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</si>
  <si>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</si>
  <si>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</si>
  <si>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</si>
  <si>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</si>
  <si>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</si>
  <si>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</si>
  <si>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</si>
  <si>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</si>
  <si>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</si>
  <si>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</si>
  <si>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8/08</t>
  </si>
  <si>
    <t>8/18</t>
  </si>
  <si>
    <t>11/02</t>
  </si>
  <si>
    <t>11/12</t>
  </si>
  <si>
    <t>7/5</t>
  </si>
  <si>
    <t>7/29</t>
  </si>
  <si>
    <t>6/06</t>
  </si>
  <si>
    <t>7/26</t>
  </si>
  <si>
    <t>8/07</t>
  </si>
  <si>
    <t>8/17</t>
  </si>
  <si>
    <t>BEDFORD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</si>
</sst>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DC33-B876-4437-9243-CBE82BF83E4B}">
  <sheetPr transitionEvaluation="1" transitionEntry="1" codeName="Sheet1">
    <tabColor indexed="56"/>
  </sheetPr>
  <dimension ref="A1:AQ666"/>
  <sheetViews>
    <sheetView tabSelected="1" zoomScale="75" zoomScaleNormal="12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59" sqref="H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904</v>
      </c>
      <c r="B2" s="21">
        <v>41</v>
      </c>
      <c r="C2" s="21">
        <v>41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2999448.71</v>
      </c>
      <c r="G9" s="18">
        <v>500</v>
      </c>
      <c r="H9" s="18">
        <v>0</v>
      </c>
      <c r="I9" s="18">
        <v>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121893.33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141251.44</v>
      </c>
      <c r="H12" s="18">
        <v>0</v>
      </c>
      <c r="I12" s="18">
        <v>517276.28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8769.2999999999993</v>
      </c>
      <c r="G13" s="18">
        <v>9735</v>
      </c>
      <c r="H13" s="18">
        <v>335870.86</v>
      </c>
      <c r="I13" s="18">
        <v>0</v>
      </c>
      <c r="J13" s="67">
        <f>SUM(I434)</f>
        <v>520018.54000000004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51978.55</v>
      </c>
      <c r="G14" s="18">
        <v>5875.73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2574003.13</v>
      </c>
      <c r="G17" s="18">
        <v>11180</v>
      </c>
      <c r="H17" s="18">
        <v>1979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5756093.0199999996</v>
      </c>
      <c r="G19" s="41">
        <f>SUM(G9:G18)</f>
        <v>168542.17</v>
      </c>
      <c r="H19" s="41">
        <f>SUM(H9:H18)</f>
        <v>337849.86</v>
      </c>
      <c r="I19" s="41">
        <f>SUM(I9:I18)</f>
        <v>517276.28</v>
      </c>
      <c r="J19" s="41">
        <f>SUM(J9:J18)</f>
        <v>520018.54000000004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422800.23</v>
      </c>
      <c r="G23" s="18">
        <v>0</v>
      </c>
      <c r="H23" s="18">
        <v>235727.49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7192.69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885699.89+82088.28</f>
        <v>967788.17</v>
      </c>
      <c r="G25" s="18">
        <v>8649.92</v>
      </c>
      <c r="H25" s="18">
        <v>36560.26</v>
      </c>
      <c r="I25" s="18">
        <v>11001.98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45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2048317.9</v>
      </c>
      <c r="G29" s="18">
        <v>12258.69</v>
      </c>
      <c r="H29" s="18">
        <v>63003.86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8632.5</v>
      </c>
      <c r="G31" s="18">
        <v>34710.589999999997</v>
      </c>
      <c r="H31" s="18">
        <v>2558.25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3454731.49</v>
      </c>
      <c r="G33" s="41">
        <f>SUM(G23:G32)</f>
        <v>55619.199999999997</v>
      </c>
      <c r="H33" s="41">
        <f>SUM(H23:H32)</f>
        <v>337849.86</v>
      </c>
      <c r="I33" s="41">
        <f>SUM(I23:I32)</f>
        <v>11001.98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227277.15</v>
      </c>
      <c r="G37" s="18">
        <v>2269</v>
      </c>
      <c r="H37" s="18">
        <v>0</v>
      </c>
      <c r="I37" s="18">
        <v>88687.03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110653.97</v>
      </c>
      <c r="H41" s="18">
        <v>0</v>
      </c>
      <c r="I41" s="18">
        <v>417587.27</v>
      </c>
      <c r="J41" s="13">
        <f>SUM(I449)</f>
        <v>520018.54000000004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2156172.66-82088.28</f>
        <v>2074084.3800000001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2301361.5300000003</v>
      </c>
      <c r="G43" s="41">
        <f>SUM(G35:G42)</f>
        <v>112922.97</v>
      </c>
      <c r="H43" s="41">
        <f>SUM(H35:H42)</f>
        <v>0</v>
      </c>
      <c r="I43" s="41">
        <f>SUM(I35:I42)</f>
        <v>506274.30000000005</v>
      </c>
      <c r="J43" s="41">
        <f>SUM(J35:J42)</f>
        <v>520018.54000000004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5756093.0200000005</v>
      </c>
      <c r="G44" s="41">
        <f>G43+G33</f>
        <v>168542.16999999998</v>
      </c>
      <c r="H44" s="41">
        <f>H43+H33</f>
        <v>337849.86</v>
      </c>
      <c r="I44" s="41">
        <f>I43+I33</f>
        <v>517276.28</v>
      </c>
      <c r="J44" s="41">
        <f>J43+J33</f>
        <v>520018.54000000004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39935720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39935720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104852.2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41385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146237.20000000001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347.73</v>
      </c>
      <c r="G88" s="18">
        <v>0</v>
      </c>
      <c r="H88" s="18">
        <v>0</v>
      </c>
      <c r="I88" s="18">
        <v>0</v>
      </c>
      <c r="J88" s="18">
        <v>7496.7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1389950.97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96383</v>
      </c>
      <c r="G93" s="18">
        <v>0</v>
      </c>
      <c r="H93" s="18">
        <v>0</v>
      </c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5570.54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361701.95-4439.76</f>
        <v>357262.19</v>
      </c>
      <c r="G102" s="18">
        <v>0</v>
      </c>
      <c r="H102" s="18">
        <v>10902.83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453992.92</v>
      </c>
      <c r="G103" s="41">
        <f>SUM(G88:G102)</f>
        <v>1389950.97</v>
      </c>
      <c r="H103" s="41">
        <f>SUM(H88:H102)</f>
        <v>16473.37</v>
      </c>
      <c r="I103" s="41">
        <f>SUM(I88:I102)</f>
        <v>0</v>
      </c>
      <c r="J103" s="41">
        <f>SUM(J88:J102)</f>
        <v>7496.7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40535950.120000005</v>
      </c>
      <c r="G104" s="41">
        <f>G52+G103</f>
        <v>1389950.97</v>
      </c>
      <c r="H104" s="41">
        <f>H52+H71+H86+H103</f>
        <v>16473.37</v>
      </c>
      <c r="I104" s="41">
        <f>I52+I103</f>
        <v>0</v>
      </c>
      <c r="J104" s="41">
        <f>J52+J103</f>
        <v>7496.7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2501854.13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7612906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959882.87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5624.48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11080267.479999999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1181216.46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452262.78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4439.76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16082.32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39500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1677419</v>
      </c>
      <c r="G128" s="41">
        <f>SUM(G115:G127)</f>
        <v>16082.32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12757686.479999999</v>
      </c>
      <c r="G132" s="41">
        <f>G113+SUM(G128:G129)</f>
        <v>16082.32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56864.98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95331.47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158655.14000000001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1257653.1599999999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484600.62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484600.62</v>
      </c>
      <c r="G154" s="41">
        <f>SUM(G142:G153)</f>
        <v>158655.14000000001</v>
      </c>
      <c r="H154" s="41">
        <f>SUM(H142:H153)</f>
        <v>1409849.6099999999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484600.62</v>
      </c>
      <c r="G161" s="41">
        <f>G139+G154+SUM(G155:G160)</f>
        <v>158655.14000000001</v>
      </c>
      <c r="H161" s="41">
        <f>H139+H154+SUM(H155:H160)</f>
        <v>1409849.6099999999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537.95000000000005</v>
      </c>
      <c r="I171" s="18">
        <v>0</v>
      </c>
      <c r="J171" s="18">
        <v>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9213.68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9213.68</v>
      </c>
      <c r="G173" s="18">
        <v>0</v>
      </c>
      <c r="H173" s="24" t="s">
        <v>312</v>
      </c>
      <c r="I173" s="18">
        <v>537.95000000000005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9213.68</v>
      </c>
      <c r="G175" s="41">
        <f>SUM(G171:G174)</f>
        <v>0</v>
      </c>
      <c r="H175" s="41">
        <f>SUM(H171:H174)</f>
        <v>9751.630000000001</v>
      </c>
      <c r="I175" s="41">
        <f>SUM(I171:I174)</f>
        <v>537.95000000000005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9213.68</v>
      </c>
      <c r="G184" s="41">
        <f>G175+SUM(G180:G183)</f>
        <v>0</v>
      </c>
      <c r="H184" s="41">
        <f>+H175+SUM(H180:H183)</f>
        <v>9751.630000000001</v>
      </c>
      <c r="I184" s="41">
        <f>I169+I175+SUM(I180:I183)</f>
        <v>537.95000000000005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53787450.899999999</v>
      </c>
      <c r="G185" s="47">
        <f>G104+G132+G161+G184</f>
        <v>1564688.4300000002</v>
      </c>
      <c r="H185" s="47">
        <f>H104+H132+H161+H184</f>
        <v>1436074.6099999999</v>
      </c>
      <c r="I185" s="47">
        <f>I104+I132+I161+I184</f>
        <v>537.95000000000005</v>
      </c>
      <c r="J185" s="47">
        <f>J104+J132+J184</f>
        <v>7496.7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8237348.4199999999</v>
      </c>
      <c r="G189" s="18">
        <v>3666996.13</v>
      </c>
      <c r="H189" s="18">
        <v>92680.18</v>
      </c>
      <c r="I189" s="18">
        <v>446726.9</v>
      </c>
      <c r="J189" s="18">
        <v>17518.72</v>
      </c>
      <c r="K189" s="18">
        <v>0</v>
      </c>
      <c r="L189" s="19">
        <f>SUM(F189:K189)</f>
        <v>12461270.350000001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2783571.39</v>
      </c>
      <c r="G190" s="18">
        <v>1239154.28</v>
      </c>
      <c r="H190" s="18">
        <v>117346.85</v>
      </c>
      <c r="I190" s="18">
        <v>30201.82</v>
      </c>
      <c r="J190" s="18">
        <v>0</v>
      </c>
      <c r="K190" s="18">
        <v>0</v>
      </c>
      <c r="L190" s="19">
        <f>SUM(F190:K190)</f>
        <v>4170274.34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48841</v>
      </c>
      <c r="G192" s="18">
        <v>21742.400000000001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70583.399999999994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867387.49</v>
      </c>
      <c r="G194" s="18">
        <v>386132.33</v>
      </c>
      <c r="H194" s="18">
        <v>567878.89</v>
      </c>
      <c r="I194" s="18">
        <v>17655.150000000001</v>
      </c>
      <c r="J194" s="18">
        <v>0</v>
      </c>
      <c r="K194" s="18">
        <v>0</v>
      </c>
      <c r="L194" s="19">
        <f t="shared" ref="L194:L200" si="0">SUM(F194:K194)</f>
        <v>1839053.8599999999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316643.15999999997</v>
      </c>
      <c r="G195" s="18">
        <v>237637.28</v>
      </c>
      <c r="H195" s="18">
        <v>33821.67</v>
      </c>
      <c r="I195" s="18">
        <v>47646.76</v>
      </c>
      <c r="J195" s="18">
        <v>118640.78</v>
      </c>
      <c r="K195" s="18">
        <v>13220.53</v>
      </c>
      <c r="L195" s="19">
        <f t="shared" si="0"/>
        <v>767610.18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364617.68</v>
      </c>
      <c r="G196" s="18">
        <v>162315.78</v>
      </c>
      <c r="H196" s="18">
        <v>69537.63</v>
      </c>
      <c r="I196" s="18">
        <v>14396.39</v>
      </c>
      <c r="J196" s="18">
        <v>12493.33</v>
      </c>
      <c r="K196" s="18">
        <v>8493.8799999999992</v>
      </c>
      <c r="L196" s="19">
        <f t="shared" si="0"/>
        <v>631854.68999999994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950266.82</v>
      </c>
      <c r="G197" s="18">
        <v>423027.48</v>
      </c>
      <c r="H197" s="18">
        <v>24474.36</v>
      </c>
      <c r="I197" s="18">
        <v>16438.2</v>
      </c>
      <c r="J197" s="18">
        <v>5699.45</v>
      </c>
      <c r="K197" s="18">
        <v>9085.02</v>
      </c>
      <c r="L197" s="19">
        <f t="shared" si="0"/>
        <v>1428991.3299999998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107685.23</v>
      </c>
      <c r="G198" s="18">
        <v>48018.05</v>
      </c>
      <c r="H198" s="18">
        <v>60617.99</v>
      </c>
      <c r="I198" s="18">
        <v>0</v>
      </c>
      <c r="J198" s="18">
        <v>0</v>
      </c>
      <c r="K198" s="18">
        <v>0</v>
      </c>
      <c r="L198" s="19">
        <f t="shared" si="0"/>
        <v>216321.27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756061.35</v>
      </c>
      <c r="G199" s="18">
        <v>336573.6</v>
      </c>
      <c r="H199" s="18">
        <v>584491.76</v>
      </c>
      <c r="I199" s="18">
        <v>561961.15</v>
      </c>
      <c r="J199" s="18">
        <v>2949.95</v>
      </c>
      <c r="K199" s="18">
        <v>781</v>
      </c>
      <c r="L199" s="19">
        <f t="shared" si="0"/>
        <v>2242818.81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18933.2</v>
      </c>
      <c r="G200" s="18">
        <v>8428.44</v>
      </c>
      <c r="H200" s="18">
        <v>1212282.96</v>
      </c>
      <c r="I200" s="18">
        <v>0</v>
      </c>
      <c r="J200" s="18">
        <v>0</v>
      </c>
      <c r="K200" s="18">
        <v>0</v>
      </c>
      <c r="L200" s="19">
        <f t="shared" si="0"/>
        <v>1239644.5999999999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28749.16</v>
      </c>
      <c r="I201" s="18">
        <v>0</v>
      </c>
      <c r="J201" s="18">
        <v>0</v>
      </c>
      <c r="K201" s="18">
        <v>0</v>
      </c>
      <c r="L201" s="19">
        <f>SUM(F201:K201)</f>
        <v>28749.16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14451355.74</v>
      </c>
      <c r="G203" s="41">
        <f t="shared" si="1"/>
        <v>6530025.7700000014</v>
      </c>
      <c r="H203" s="41">
        <f t="shared" si="1"/>
        <v>2791881.45</v>
      </c>
      <c r="I203" s="41">
        <f t="shared" si="1"/>
        <v>1135026.3700000001</v>
      </c>
      <c r="J203" s="41">
        <f t="shared" si="1"/>
        <v>157302.23000000001</v>
      </c>
      <c r="K203" s="41">
        <f t="shared" si="1"/>
        <v>31580.43</v>
      </c>
      <c r="L203" s="41">
        <f t="shared" si="1"/>
        <v>25097171.990000002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2910934.59</v>
      </c>
      <c r="G207" s="18">
        <v>1295763.1399999999</v>
      </c>
      <c r="H207" s="18">
        <v>32950.07</v>
      </c>
      <c r="I207" s="18">
        <v>129393.62</v>
      </c>
      <c r="J207" s="18">
        <v>18564.18</v>
      </c>
      <c r="K207" s="18">
        <v>0</v>
      </c>
      <c r="L207" s="19">
        <f>SUM(F207:K207)</f>
        <v>4387605.5999999996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809597.96</v>
      </c>
      <c r="G208" s="18">
        <v>360406.34</v>
      </c>
      <c r="H208" s="18">
        <v>219487.53</v>
      </c>
      <c r="I208" s="18">
        <v>4838.6499999999996</v>
      </c>
      <c r="J208" s="18">
        <v>0</v>
      </c>
      <c r="K208" s="18">
        <v>0</v>
      </c>
      <c r="L208" s="19">
        <f>SUM(F208:K208)</f>
        <v>1394330.48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100637.08</v>
      </c>
      <c r="G210" s="18">
        <v>44800.31</v>
      </c>
      <c r="H210" s="18">
        <v>7540</v>
      </c>
      <c r="I210" s="18">
        <v>6065.88</v>
      </c>
      <c r="J210" s="18">
        <v>0</v>
      </c>
      <c r="K210" s="18">
        <v>1350</v>
      </c>
      <c r="L210" s="19">
        <f>SUM(F210:K210)</f>
        <v>160393.27000000002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281038.2</v>
      </c>
      <c r="G212" s="18">
        <v>125108.95</v>
      </c>
      <c r="H212" s="18">
        <v>301224.46000000002</v>
      </c>
      <c r="I212" s="18">
        <v>3985.84</v>
      </c>
      <c r="J212" s="18">
        <v>0</v>
      </c>
      <c r="K212" s="18">
        <v>0</v>
      </c>
      <c r="L212" s="19">
        <f t="shared" ref="L212:L218" si="2">SUM(F212:K212)</f>
        <v>711357.45000000007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97871.52</v>
      </c>
      <c r="G213" s="18">
        <v>73451.53</v>
      </c>
      <c r="H213" s="18">
        <v>10360.81</v>
      </c>
      <c r="I213" s="18">
        <v>16819.72</v>
      </c>
      <c r="J213" s="18">
        <v>36284.42</v>
      </c>
      <c r="K213" s="18">
        <v>4086.34</v>
      </c>
      <c r="L213" s="19">
        <f t="shared" si="2"/>
        <v>238874.34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112700.01</v>
      </c>
      <c r="G214" s="18">
        <v>50170.33</v>
      </c>
      <c r="H214" s="18">
        <v>21493.45</v>
      </c>
      <c r="I214" s="18">
        <v>4449.79</v>
      </c>
      <c r="J214" s="18">
        <v>3861.58</v>
      </c>
      <c r="K214" s="18">
        <v>2625.38</v>
      </c>
      <c r="L214" s="19">
        <f t="shared" si="2"/>
        <v>195300.54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271452.3</v>
      </c>
      <c r="G215" s="18">
        <v>120841.62</v>
      </c>
      <c r="H215" s="18">
        <v>13729.87</v>
      </c>
      <c r="I215" s="18">
        <v>3135.8</v>
      </c>
      <c r="J215" s="18">
        <v>1761.65</v>
      </c>
      <c r="K215" s="18">
        <v>2080</v>
      </c>
      <c r="L215" s="19">
        <f t="shared" si="2"/>
        <v>413001.24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33284.519999999997</v>
      </c>
      <c r="G216" s="18">
        <v>14817.17</v>
      </c>
      <c r="H216" s="18">
        <v>18736.47</v>
      </c>
      <c r="I216" s="18">
        <v>0</v>
      </c>
      <c r="J216" s="18">
        <v>0</v>
      </c>
      <c r="K216" s="18">
        <v>0</v>
      </c>
      <c r="L216" s="19">
        <f t="shared" si="2"/>
        <v>66838.16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226358.42</v>
      </c>
      <c r="G217" s="18">
        <v>100767.31</v>
      </c>
      <c r="H217" s="18">
        <v>180661.09</v>
      </c>
      <c r="I217" s="18">
        <v>49455.6</v>
      </c>
      <c r="J217" s="18">
        <v>911.8</v>
      </c>
      <c r="K217" s="18">
        <v>241.4</v>
      </c>
      <c r="L217" s="19">
        <f t="shared" si="2"/>
        <v>558395.62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5852.08</v>
      </c>
      <c r="G218" s="18">
        <v>2605.15</v>
      </c>
      <c r="H218" s="18">
        <v>386436.47</v>
      </c>
      <c r="I218" s="18">
        <v>0</v>
      </c>
      <c r="J218" s="18">
        <v>0</v>
      </c>
      <c r="K218" s="18">
        <v>0</v>
      </c>
      <c r="L218" s="19">
        <f t="shared" si="2"/>
        <v>394893.69999999995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8886.1</v>
      </c>
      <c r="I219" s="18">
        <v>0</v>
      </c>
      <c r="J219" s="18">
        <v>0</v>
      </c>
      <c r="K219" s="18">
        <v>0</v>
      </c>
      <c r="L219" s="19">
        <f>SUM(F219:K219)</f>
        <v>8886.1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4849726.6799999988</v>
      </c>
      <c r="G221" s="41">
        <f>SUM(G207:G220)</f>
        <v>2188731.85</v>
      </c>
      <c r="H221" s="41">
        <f>SUM(H207:H220)</f>
        <v>1201506.32</v>
      </c>
      <c r="I221" s="41">
        <f>SUM(I207:I220)</f>
        <v>218144.9</v>
      </c>
      <c r="J221" s="41">
        <f>SUM(J207:J220)</f>
        <v>61383.630000000005</v>
      </c>
      <c r="K221" s="41">
        <f t="shared" si="3"/>
        <v>10383.120000000001</v>
      </c>
      <c r="L221" s="41">
        <f t="shared" si="3"/>
        <v>8529876.5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4150036.47</v>
      </c>
      <c r="G225" s="18">
        <v>1847459.51</v>
      </c>
      <c r="H225" s="18">
        <v>252761.07</v>
      </c>
      <c r="I225" s="18">
        <v>480749.09</v>
      </c>
      <c r="J225" s="18">
        <v>0</v>
      </c>
      <c r="K225" s="18">
        <v>12650.31</v>
      </c>
      <c r="L225" s="19">
        <f>SUM(F225:K225)</f>
        <v>6743656.4500000002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905002.53</v>
      </c>
      <c r="G226" s="18">
        <v>402877.31</v>
      </c>
      <c r="H226" s="18">
        <v>1237754.25</v>
      </c>
      <c r="I226" s="18">
        <v>19550.259999999998</v>
      </c>
      <c r="J226" s="18">
        <v>0</v>
      </c>
      <c r="K226" s="18">
        <v>0</v>
      </c>
      <c r="L226" s="19">
        <f>SUM(F226:K226)</f>
        <v>2565184.3499999996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41600</v>
      </c>
      <c r="I227" s="18">
        <v>0</v>
      </c>
      <c r="J227" s="18">
        <v>0</v>
      </c>
      <c r="K227" s="18">
        <v>0</v>
      </c>
      <c r="L227" s="19">
        <f>SUM(F227:K227)</f>
        <v>41600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401779.9</v>
      </c>
      <c r="G228" s="18">
        <v>178859.17</v>
      </c>
      <c r="H228" s="18">
        <v>87465.07</v>
      </c>
      <c r="I228" s="18">
        <v>65407.88</v>
      </c>
      <c r="J228" s="18">
        <v>0</v>
      </c>
      <c r="K228" s="18">
        <v>13580.94</v>
      </c>
      <c r="L228" s="19">
        <f>SUM(F228:K228)</f>
        <v>747092.96000000008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305578.44</v>
      </c>
      <c r="G230" s="18">
        <v>136033.45000000001</v>
      </c>
      <c r="H230" s="18">
        <v>679218.96</v>
      </c>
      <c r="I230" s="18">
        <v>14298.34</v>
      </c>
      <c r="J230" s="18">
        <v>0</v>
      </c>
      <c r="K230" s="18">
        <v>0</v>
      </c>
      <c r="L230" s="19">
        <f t="shared" ref="L230:L236" si="4">SUM(F230:K230)</f>
        <v>1135129.1900000002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161200.16</v>
      </c>
      <c r="G231" s="18">
        <v>120978.98</v>
      </c>
      <c r="H231" s="18">
        <v>16213.24</v>
      </c>
      <c r="I231" s="18">
        <v>34789.78</v>
      </c>
      <c r="J231" s="18">
        <v>59762.58</v>
      </c>
      <c r="K231" s="18">
        <v>6730.45</v>
      </c>
      <c r="L231" s="19">
        <f t="shared" si="4"/>
        <v>399675.19000000006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185623.55</v>
      </c>
      <c r="G232" s="18">
        <v>82633.490000000005</v>
      </c>
      <c r="H232" s="18">
        <v>35400.980000000003</v>
      </c>
      <c r="I232" s="18">
        <v>7329.07</v>
      </c>
      <c r="J232" s="18">
        <v>6360.24</v>
      </c>
      <c r="K232" s="18">
        <v>4324.16</v>
      </c>
      <c r="L232" s="19">
        <f t="shared" si="4"/>
        <v>321671.48999999993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748775.16</v>
      </c>
      <c r="G233" s="18">
        <v>333330.03000000003</v>
      </c>
      <c r="H233" s="18">
        <v>27149.72</v>
      </c>
      <c r="I233" s="18">
        <v>8346.41</v>
      </c>
      <c r="J233" s="18">
        <v>2901.54</v>
      </c>
      <c r="K233" s="18">
        <v>30944.99</v>
      </c>
      <c r="L233" s="19">
        <f t="shared" si="4"/>
        <v>1151447.8499999999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54821.57</v>
      </c>
      <c r="G234" s="18">
        <v>24404.76</v>
      </c>
      <c r="H234" s="18">
        <v>30860.07</v>
      </c>
      <c r="I234" s="18">
        <v>0</v>
      </c>
      <c r="J234" s="18">
        <v>0</v>
      </c>
      <c r="K234" s="18">
        <v>0</v>
      </c>
      <c r="L234" s="19">
        <f t="shared" si="4"/>
        <v>110086.39999999999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318705.33</v>
      </c>
      <c r="G235" s="18">
        <v>141877.10999999999</v>
      </c>
      <c r="H235" s="18">
        <v>297559.44</v>
      </c>
      <c r="I235" s="18">
        <v>474094.91</v>
      </c>
      <c r="J235" s="18">
        <v>1501.79</v>
      </c>
      <c r="K235" s="18">
        <v>397.6</v>
      </c>
      <c r="L235" s="19">
        <f t="shared" si="4"/>
        <v>1234136.1800000002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9638.7199999999993</v>
      </c>
      <c r="G236" s="18">
        <v>4290.8500000000004</v>
      </c>
      <c r="H236" s="18">
        <v>710255.03</v>
      </c>
      <c r="I236" s="18">
        <v>0</v>
      </c>
      <c r="J236" s="18">
        <v>0</v>
      </c>
      <c r="K236" s="18">
        <v>0</v>
      </c>
      <c r="L236" s="19">
        <f t="shared" si="4"/>
        <v>724184.6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14635.94</v>
      </c>
      <c r="I237" s="18">
        <v>0</v>
      </c>
      <c r="J237" s="18">
        <v>0</v>
      </c>
      <c r="K237" s="18">
        <v>0</v>
      </c>
      <c r="L237" s="19">
        <f>SUM(F237:K237)</f>
        <v>14635.94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7241161.830000001</v>
      </c>
      <c r="G239" s="41">
        <f t="shared" si="5"/>
        <v>3272744.66</v>
      </c>
      <c r="H239" s="41">
        <f t="shared" si="5"/>
        <v>3430873.77</v>
      </c>
      <c r="I239" s="41">
        <f t="shared" si="5"/>
        <v>1104565.74</v>
      </c>
      <c r="J239" s="41">
        <f t="shared" si="5"/>
        <v>70526.149999999994</v>
      </c>
      <c r="K239" s="41">
        <f t="shared" si="5"/>
        <v>68628.450000000012</v>
      </c>
      <c r="L239" s="41">
        <f t="shared" si="5"/>
        <v>15188500.6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34650</v>
      </c>
      <c r="I243" s="18">
        <v>0</v>
      </c>
      <c r="J243" s="18">
        <v>0</v>
      </c>
      <c r="K243" s="18">
        <v>0</v>
      </c>
      <c r="L243" s="19">
        <f t="shared" si="6"/>
        <v>34650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34650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34650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26542244.25</v>
      </c>
      <c r="G249" s="41">
        <f t="shared" si="8"/>
        <v>11991502.280000001</v>
      </c>
      <c r="H249" s="41">
        <f t="shared" si="8"/>
        <v>7458911.540000001</v>
      </c>
      <c r="I249" s="41">
        <f t="shared" si="8"/>
        <v>2457737.0099999998</v>
      </c>
      <c r="J249" s="41">
        <f t="shared" si="8"/>
        <v>289212.01</v>
      </c>
      <c r="K249" s="41">
        <f t="shared" si="8"/>
        <v>110592.00000000001</v>
      </c>
      <c r="L249" s="41">
        <f t="shared" si="8"/>
        <v>48850199.090000004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3787012.7</v>
      </c>
      <c r="L252" s="19">
        <f>SUM(F252:K252)</f>
        <v>3787012.7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931188.56</v>
      </c>
      <c r="L253" s="19">
        <f>SUM(F253:K253)</f>
        <v>931188.56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537.95000000000005</v>
      </c>
      <c r="L256" s="19">
        <f t="shared" ref="L256:L262" si="9">SUM(F256:K256)</f>
        <v>537.95000000000005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4718739.21</v>
      </c>
      <c r="L262" s="41">
        <f t="shared" si="9"/>
        <v>4718739.21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26542244.25</v>
      </c>
      <c r="G263" s="42">
        <f t="shared" si="11"/>
        <v>11991502.280000001</v>
      </c>
      <c r="H263" s="42">
        <f t="shared" si="11"/>
        <v>7458911.540000001</v>
      </c>
      <c r="I263" s="42">
        <f t="shared" si="11"/>
        <v>2457737.0099999998</v>
      </c>
      <c r="J263" s="42">
        <f t="shared" si="11"/>
        <v>289212.01</v>
      </c>
      <c r="K263" s="42">
        <f t="shared" si="11"/>
        <v>4829331.21</v>
      </c>
      <c r="L263" s="42">
        <f t="shared" si="11"/>
        <v>53568938.300000004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39393.730000000003</v>
      </c>
      <c r="G268" s="18">
        <v>2993.16</v>
      </c>
      <c r="H268" s="18">
        <v>1291.43</v>
      </c>
      <c r="I268" s="18">
        <v>4549.47</v>
      </c>
      <c r="J268" s="18">
        <v>4670.8999999999996</v>
      </c>
      <c r="K268" s="18">
        <v>0</v>
      </c>
      <c r="L268" s="19">
        <f>SUM(F268:K268)</f>
        <v>52898.69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234366.73</v>
      </c>
      <c r="G269" s="18">
        <v>26366.38</v>
      </c>
      <c r="H269" s="18">
        <v>114262.91</v>
      </c>
      <c r="I269" s="18">
        <v>14953.08</v>
      </c>
      <c r="J269" s="18">
        <v>45786</v>
      </c>
      <c r="K269" s="18">
        <v>0</v>
      </c>
      <c r="L269" s="19">
        <f>SUM(F269:K269)</f>
        <v>435735.10000000003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103268</v>
      </c>
      <c r="G273" s="18">
        <v>0</v>
      </c>
      <c r="H273" s="18">
        <v>37.79</v>
      </c>
      <c r="I273" s="18">
        <v>0</v>
      </c>
      <c r="J273" s="18">
        <v>32878.300000000003</v>
      </c>
      <c r="K273" s="18">
        <v>0</v>
      </c>
      <c r="L273" s="19">
        <f t="shared" ref="L273:L279" si="12">SUM(F273:K273)</f>
        <v>136184.09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31200</v>
      </c>
      <c r="G274" s="18">
        <v>50</v>
      </c>
      <c r="H274" s="18">
        <v>45814.41</v>
      </c>
      <c r="I274" s="18">
        <v>0</v>
      </c>
      <c r="J274" s="18">
        <v>0</v>
      </c>
      <c r="K274" s="18">
        <v>0</v>
      </c>
      <c r="L274" s="19">
        <f t="shared" si="12"/>
        <v>77064.41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9490.52</v>
      </c>
      <c r="G275" s="18">
        <v>726.03</v>
      </c>
      <c r="H275" s="18">
        <v>50.05</v>
      </c>
      <c r="I275" s="18">
        <v>0</v>
      </c>
      <c r="J275" s="18">
        <v>0</v>
      </c>
      <c r="K275" s="18">
        <v>0</v>
      </c>
      <c r="L275" s="19">
        <f t="shared" si="12"/>
        <v>10266.6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417718.98000000004</v>
      </c>
      <c r="G282" s="42">
        <f t="shared" si="13"/>
        <v>30135.57</v>
      </c>
      <c r="H282" s="42">
        <f t="shared" si="13"/>
        <v>161456.58999999997</v>
      </c>
      <c r="I282" s="42">
        <f t="shared" si="13"/>
        <v>19502.55</v>
      </c>
      <c r="J282" s="42">
        <f t="shared" si="13"/>
        <v>83335.200000000012</v>
      </c>
      <c r="K282" s="42">
        <f t="shared" si="13"/>
        <v>0</v>
      </c>
      <c r="L282" s="41">
        <f t="shared" si="13"/>
        <v>712148.89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267.49</v>
      </c>
      <c r="G287" s="18">
        <v>0</v>
      </c>
      <c r="H287" s="18">
        <v>1281.43</v>
      </c>
      <c r="I287" s="18">
        <v>1908.78</v>
      </c>
      <c r="J287" s="18">
        <v>0</v>
      </c>
      <c r="K287" s="18">
        <v>0</v>
      </c>
      <c r="L287" s="19">
        <f>SUM(F287:K287)</f>
        <v>3457.7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151361.54</v>
      </c>
      <c r="G288" s="18">
        <v>48092.78</v>
      </c>
      <c r="H288" s="18">
        <v>0</v>
      </c>
      <c r="I288" s="18">
        <v>3881.85</v>
      </c>
      <c r="J288" s="18">
        <v>17935</v>
      </c>
      <c r="K288" s="18">
        <v>0</v>
      </c>
      <c r="L288" s="19">
        <f>SUM(F288:K288)</f>
        <v>221271.17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70802</v>
      </c>
      <c r="G292" s="18">
        <v>0</v>
      </c>
      <c r="H292" s="18">
        <v>65.239999999999995</v>
      </c>
      <c r="I292" s="18">
        <v>0</v>
      </c>
      <c r="J292" s="18">
        <v>32878.300000000003</v>
      </c>
      <c r="K292" s="18">
        <v>0</v>
      </c>
      <c r="L292" s="19">
        <f t="shared" ref="L292:L298" si="14">SUM(F292:K292)</f>
        <v>103745.54000000001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27791</v>
      </c>
      <c r="G293" s="18">
        <v>10216.41</v>
      </c>
      <c r="H293" s="18">
        <v>300</v>
      </c>
      <c r="I293" s="18">
        <v>0</v>
      </c>
      <c r="J293" s="18">
        <v>0</v>
      </c>
      <c r="K293" s="18">
        <v>0</v>
      </c>
      <c r="L293" s="19">
        <f t="shared" si="14"/>
        <v>38307.410000000003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250222.03</v>
      </c>
      <c r="G301" s="42">
        <f t="shared" si="15"/>
        <v>58309.19</v>
      </c>
      <c r="H301" s="42">
        <f t="shared" si="15"/>
        <v>1646.67</v>
      </c>
      <c r="I301" s="42">
        <f t="shared" si="15"/>
        <v>5790.63</v>
      </c>
      <c r="J301" s="42">
        <f t="shared" si="15"/>
        <v>50813.3</v>
      </c>
      <c r="K301" s="42">
        <f t="shared" si="15"/>
        <v>0</v>
      </c>
      <c r="L301" s="41">
        <f t="shared" si="15"/>
        <v>366781.82000000007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267.49</v>
      </c>
      <c r="G306" s="18">
        <v>0</v>
      </c>
      <c r="H306" s="18">
        <v>2210.2600000000002</v>
      </c>
      <c r="I306" s="18">
        <v>3431.51</v>
      </c>
      <c r="J306" s="18">
        <v>0</v>
      </c>
      <c r="K306" s="18">
        <v>0</v>
      </c>
      <c r="L306" s="19">
        <f>SUM(F306:K306)</f>
        <v>5909.26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194601.72</v>
      </c>
      <c r="G307" s="18">
        <v>6377.37</v>
      </c>
      <c r="H307" s="18">
        <v>59643</v>
      </c>
      <c r="I307" s="18">
        <v>2924.5</v>
      </c>
      <c r="J307" s="18">
        <v>17935</v>
      </c>
      <c r="K307" s="18">
        <v>0</v>
      </c>
      <c r="L307" s="19">
        <f>SUM(F307:K307)</f>
        <v>281481.58999999997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54.91</v>
      </c>
      <c r="I311" s="18">
        <v>0</v>
      </c>
      <c r="J311" s="18">
        <v>0</v>
      </c>
      <c r="K311" s="18">
        <v>0</v>
      </c>
      <c r="L311" s="19">
        <f t="shared" ref="L311:L317" si="16">SUM(F311:K311)</f>
        <v>54.91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42000</v>
      </c>
      <c r="G312" s="18">
        <v>0</v>
      </c>
      <c r="H312" s="18">
        <v>6623.47</v>
      </c>
      <c r="I312" s="18">
        <v>420.21</v>
      </c>
      <c r="J312" s="18">
        <v>0</v>
      </c>
      <c r="K312" s="18">
        <v>0</v>
      </c>
      <c r="L312" s="19">
        <f t="shared" si="16"/>
        <v>49043.68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236869.21</v>
      </c>
      <c r="G320" s="42">
        <f t="shared" si="17"/>
        <v>6377.37</v>
      </c>
      <c r="H320" s="42">
        <f t="shared" si="17"/>
        <v>68531.64</v>
      </c>
      <c r="I320" s="42">
        <f t="shared" si="17"/>
        <v>6776.22</v>
      </c>
      <c r="J320" s="42">
        <f t="shared" si="17"/>
        <v>17935</v>
      </c>
      <c r="K320" s="42">
        <f t="shared" si="17"/>
        <v>0</v>
      </c>
      <c r="L320" s="41">
        <f t="shared" si="17"/>
        <v>336489.43999999994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10902.83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10902.83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10902.83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10902.83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904810.22</v>
      </c>
      <c r="G330" s="41">
        <f t="shared" si="20"/>
        <v>94822.13</v>
      </c>
      <c r="H330" s="41">
        <f t="shared" si="20"/>
        <v>242537.72999999995</v>
      </c>
      <c r="I330" s="41">
        <f t="shared" si="20"/>
        <v>32069.4</v>
      </c>
      <c r="J330" s="41">
        <f t="shared" si="20"/>
        <v>152083.5</v>
      </c>
      <c r="K330" s="41">
        <f t="shared" si="20"/>
        <v>0</v>
      </c>
      <c r="L330" s="41">
        <f t="shared" si="20"/>
        <v>1426322.98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9751.6299999999992</v>
      </c>
      <c r="L336" s="19">
        <f t="shared" ref="L336:L342" si="21">SUM(F336:K336)</f>
        <v>9751.6299999999992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9751.6299999999992</v>
      </c>
      <c r="L343" s="41">
        <f>SUM(L333:L342)</f>
        <v>9751.6299999999992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904810.22</v>
      </c>
      <c r="G344" s="41">
        <f>G330</f>
        <v>94822.13</v>
      </c>
      <c r="H344" s="41">
        <f>H330</f>
        <v>242537.72999999995</v>
      </c>
      <c r="I344" s="41">
        <f>I330</f>
        <v>32069.4</v>
      </c>
      <c r="J344" s="41">
        <f>J330</f>
        <v>152083.5</v>
      </c>
      <c r="K344" s="47">
        <f>K330+K343</f>
        <v>9751.6299999999992</v>
      </c>
      <c r="L344" s="41">
        <f>L330+L343</f>
        <v>1436074.6099999999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228789.74</v>
      </c>
      <c r="G350" s="18">
        <v>80993.8</v>
      </c>
      <c r="H350" s="18">
        <v>17366.599999999999</v>
      </c>
      <c r="I350" s="18">
        <v>399707.89</v>
      </c>
      <c r="J350" s="18">
        <v>45027.67</v>
      </c>
      <c r="K350" s="18">
        <v>0</v>
      </c>
      <c r="L350" s="13">
        <f>SUM(F350:K350)</f>
        <v>771885.70000000007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56989.24</v>
      </c>
      <c r="G351" s="18">
        <v>20174.75</v>
      </c>
      <c r="H351" s="18">
        <v>1896.1</v>
      </c>
      <c r="I351" s="18">
        <v>149748.53</v>
      </c>
      <c r="J351" s="18">
        <v>1753.46</v>
      </c>
      <c r="K351" s="18">
        <v>0</v>
      </c>
      <c r="L351" s="19">
        <f>SUM(F351:K351)</f>
        <v>230562.08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158497.06</v>
      </c>
      <c r="G352" s="18">
        <v>56109.5</v>
      </c>
      <c r="H352" s="18">
        <v>8100.09</v>
      </c>
      <c r="I352" s="18">
        <v>311925.2</v>
      </c>
      <c r="J352" s="18">
        <v>6471.68</v>
      </c>
      <c r="K352" s="18">
        <v>0</v>
      </c>
      <c r="L352" s="19">
        <f>SUM(F352:K352)</f>
        <v>541103.53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9213.68</v>
      </c>
      <c r="L353" s="13">
        <f>SUM(F353:K353)</f>
        <v>9213.68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444276.04</v>
      </c>
      <c r="G354" s="47">
        <f t="shared" si="22"/>
        <v>157278.04999999999</v>
      </c>
      <c r="H354" s="47">
        <f t="shared" si="22"/>
        <v>27362.789999999997</v>
      </c>
      <c r="I354" s="47">
        <f t="shared" si="22"/>
        <v>861381.62000000011</v>
      </c>
      <c r="J354" s="47">
        <f t="shared" si="22"/>
        <v>53252.81</v>
      </c>
      <c r="K354" s="47">
        <f t="shared" si="22"/>
        <v>9213.68</v>
      </c>
      <c r="L354" s="47">
        <f t="shared" si="22"/>
        <v>1552764.99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364367.85</v>
      </c>
      <c r="G359" s="18">
        <v>138998.54999999999</v>
      </c>
      <c r="H359" s="18">
        <v>287047.65000000002</v>
      </c>
      <c r="I359" s="56">
        <f>SUM(F359:H359)</f>
        <v>790414.05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35347.120000000003</v>
      </c>
      <c r="G360" s="63">
        <v>10756.47</v>
      </c>
      <c r="H360" s="63">
        <v>24863.98</v>
      </c>
      <c r="I360" s="56">
        <f>SUM(F360:H360)</f>
        <v>70967.570000000007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399714.97</v>
      </c>
      <c r="G361" s="47">
        <f>SUM(G359:G360)</f>
        <v>149755.01999999999</v>
      </c>
      <c r="H361" s="47">
        <f>SUM(H359:H360)</f>
        <v>311911.63</v>
      </c>
      <c r="I361" s="47">
        <f>SUM(I359:I360)</f>
        <v>861381.62000000011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97524.92</v>
      </c>
      <c r="J372" s="18">
        <v>266484.73</v>
      </c>
      <c r="K372" s="18">
        <v>0</v>
      </c>
      <c r="L372" s="13">
        <f t="shared" si="23"/>
        <v>364009.64999999997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97524.92</v>
      </c>
      <c r="J374" s="47">
        <f t="shared" si="24"/>
        <v>266484.73</v>
      </c>
      <c r="K374" s="47">
        <f t="shared" si="24"/>
        <v>0</v>
      </c>
      <c r="L374" s="47">
        <f t="shared" si="24"/>
        <v>364009.64999999997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4463.3599999999997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4463.3599999999997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v>134.37</v>
      </c>
      <c r="I380" s="18">
        <v>0</v>
      </c>
      <c r="J380" s="24" t="s">
        <v>312</v>
      </c>
      <c r="K380" s="24" t="s">
        <v>312</v>
      </c>
      <c r="L380" s="56">
        <f t="shared" si="25"/>
        <v>134.37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v>0</v>
      </c>
      <c r="I381" s="18">
        <v>0</v>
      </c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4597.7299999999996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4597.7299999999996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0</v>
      </c>
      <c r="H388" s="18">
        <v>714.79</v>
      </c>
      <c r="I388" s="18">
        <v>0</v>
      </c>
      <c r="J388" s="24" t="s">
        <v>312</v>
      </c>
      <c r="K388" s="24" t="s">
        <v>312</v>
      </c>
      <c r="L388" s="56">
        <f t="shared" si="26"/>
        <v>714.79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2184.1799999999998</v>
      </c>
      <c r="I390" s="18">
        <v>0</v>
      </c>
      <c r="J390" s="24" t="s">
        <v>312</v>
      </c>
      <c r="K390" s="24" t="s">
        <v>312</v>
      </c>
      <c r="L390" s="56">
        <f t="shared" si="26"/>
        <v>2184.1799999999998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2898.97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2898.97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7496.6999999999989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7496.6999999999989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0</v>
      </c>
      <c r="G432" s="18">
        <v>0</v>
      </c>
      <c r="H432" s="18">
        <v>0</v>
      </c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368510.07</v>
      </c>
      <c r="G434" s="18">
        <v>151508.47</v>
      </c>
      <c r="H434" s="18">
        <v>0</v>
      </c>
      <c r="I434" s="56">
        <f t="shared" si="33"/>
        <v>520018.54000000004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368510.07</v>
      </c>
      <c r="G438" s="13">
        <f>SUM(G431:G437)</f>
        <v>151508.47</v>
      </c>
      <c r="H438" s="13">
        <f>SUM(H431:H437)</f>
        <v>0</v>
      </c>
      <c r="I438" s="13">
        <f>SUM(I431:I437)</f>
        <v>520018.54000000004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368510.07</v>
      </c>
      <c r="G449" s="18">
        <v>151508.47</v>
      </c>
      <c r="H449" s="18">
        <v>0</v>
      </c>
      <c r="I449" s="56">
        <f>SUM(F449:H449)</f>
        <v>520018.54000000004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368510.07</v>
      </c>
      <c r="G450" s="83">
        <f>SUM(G446:G449)</f>
        <v>151508.47</v>
      </c>
      <c r="H450" s="83">
        <f>SUM(H446:H449)</f>
        <v>0</v>
      </c>
      <c r="I450" s="83">
        <f>SUM(I446:I449)</f>
        <v>520018.54000000004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368510.07</v>
      </c>
      <c r="G451" s="42">
        <f>G444+G450</f>
        <v>151508.47</v>
      </c>
      <c r="H451" s="42">
        <f>H444+H450</f>
        <v>0</v>
      </c>
      <c r="I451" s="42">
        <f>I444+I450</f>
        <v>520018.54000000004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2082848.93</v>
      </c>
      <c r="G455" s="18">
        <v>109245.56</v>
      </c>
      <c r="H455" s="18">
        <v>0</v>
      </c>
      <c r="I455" s="18">
        <v>869746</v>
      </c>
      <c r="J455" s="18">
        <v>512521.84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53787450.899999999</v>
      </c>
      <c r="G458" s="18">
        <f>G185</f>
        <v>1564688.4300000002</v>
      </c>
      <c r="H458" s="18">
        <f>H185</f>
        <v>1436074.6099999999</v>
      </c>
      <c r="I458" s="18">
        <f>I185</f>
        <v>537.95000000000005</v>
      </c>
      <c r="J458" s="18">
        <f>J185</f>
        <v>7496.7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53787450.899999999</v>
      </c>
      <c r="G460" s="53">
        <f>SUM(G458:G459)</f>
        <v>1564688.4300000002</v>
      </c>
      <c r="H460" s="53">
        <f>SUM(H458:H459)</f>
        <v>1436074.6099999999</v>
      </c>
      <c r="I460" s="53">
        <f>SUM(I458:I459)</f>
        <v>537.95000000000005</v>
      </c>
      <c r="J460" s="53">
        <f>SUM(J458:J459)</f>
        <v>7496.7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53568938.300000004</v>
      </c>
      <c r="G462" s="18">
        <f>L354</f>
        <v>1552764.99</v>
      </c>
      <c r="H462" s="18">
        <f>L344</f>
        <v>1436074.6099999999</v>
      </c>
      <c r="I462" s="18">
        <f>L374</f>
        <v>364009.64999999997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</v>
      </c>
      <c r="G463" s="18">
        <v>8246.0300000000007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53568938.300000004</v>
      </c>
      <c r="G464" s="53">
        <f>SUM(G462:G463)</f>
        <v>1561011.02</v>
      </c>
      <c r="H464" s="53">
        <f>SUM(H462:H463)</f>
        <v>1436074.6099999999</v>
      </c>
      <c r="I464" s="53">
        <f>SUM(I462:I463)</f>
        <v>364009.64999999997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2301361.5299999937</v>
      </c>
      <c r="G466" s="53">
        <f>(G455+G460)- G464</f>
        <v>112922.9700000002</v>
      </c>
      <c r="H466" s="53">
        <f>(H455+H460)- H464</f>
        <v>0</v>
      </c>
      <c r="I466" s="53">
        <f>(I455+I460)- I464</f>
        <v>506274.3</v>
      </c>
      <c r="J466" s="53">
        <f>(J455+J460)- J464</f>
        <v>520018.54000000004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10</v>
      </c>
      <c r="H480" s="154">
        <v>24</v>
      </c>
      <c r="I480" s="154">
        <v>20</v>
      </c>
      <c r="J480" s="154">
        <v>10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 t="s">
        <v>900</v>
      </c>
      <c r="J481" s="155" t="s">
        <v>902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 t="s">
        <v>901</v>
      </c>
      <c r="J482" s="155" t="s">
        <v>903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3935000</v>
      </c>
      <c r="G483" s="18">
        <v>3181000</v>
      </c>
      <c r="H483" s="18">
        <v>47505000</v>
      </c>
      <c r="I483" s="18">
        <v>800000</v>
      </c>
      <c r="J483" s="18">
        <v>2681350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3.34</v>
      </c>
      <c r="G484" s="18">
        <v>3.37</v>
      </c>
      <c r="H484" s="18">
        <v>4.34</v>
      </c>
      <c r="I484" s="18">
        <v>4.5199999999999996</v>
      </c>
      <c r="J484" s="18">
        <v>4.28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3935000</v>
      </c>
      <c r="G485" s="18">
        <v>1280000</v>
      </c>
      <c r="H485" s="18">
        <v>37385520.689999998</v>
      </c>
      <c r="I485" s="18">
        <v>720000</v>
      </c>
      <c r="J485" s="18">
        <v>2415000</v>
      </c>
      <c r="K485" s="53">
        <f>SUM(F485:J485)</f>
        <v>45735520.689999998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410000</v>
      </c>
      <c r="G487" s="18">
        <v>320000</v>
      </c>
      <c r="H487" s="18">
        <v>2747013</v>
      </c>
      <c r="I487" s="18">
        <v>40000</v>
      </c>
      <c r="J487" s="18">
        <v>270000</v>
      </c>
      <c r="K487" s="53">
        <f t="shared" si="34"/>
        <v>3787013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3525000</v>
      </c>
      <c r="G488" s="205">
        <v>960000</v>
      </c>
      <c r="H488" s="205">
        <v>34638507.689999998</v>
      </c>
      <c r="I488" s="205">
        <v>680000</v>
      </c>
      <c r="J488" s="205">
        <v>2145000</v>
      </c>
      <c r="K488" s="206">
        <f t="shared" si="34"/>
        <v>41948507.689999998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697775</v>
      </c>
      <c r="G489" s="18">
        <v>57600</v>
      </c>
      <c r="H489" s="18">
        <v>32234710.219999999</v>
      </c>
      <c r="I489" s="18">
        <v>261035</v>
      </c>
      <c r="J489" s="18">
        <v>400461.5</v>
      </c>
      <c r="K489" s="53">
        <f t="shared" si="34"/>
        <v>33651581.719999999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4222775</v>
      </c>
      <c r="G490" s="42">
        <f>SUM(G488:G489)</f>
        <v>1017600</v>
      </c>
      <c r="H490" s="42">
        <f>SUM(H488:H489)</f>
        <v>66873217.909999996</v>
      </c>
      <c r="I490" s="42">
        <f>SUM(I488:I489)</f>
        <v>941035</v>
      </c>
      <c r="J490" s="42">
        <f>SUM(J488:J489)</f>
        <v>2545461.5</v>
      </c>
      <c r="K490" s="42">
        <f t="shared" si="34"/>
        <v>75600089.409999996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405000</v>
      </c>
      <c r="G491" s="205">
        <v>320000</v>
      </c>
      <c r="H491" s="205">
        <v>2618405.5099999998</v>
      </c>
      <c r="I491" s="205">
        <v>40000</v>
      </c>
      <c r="J491" s="205">
        <v>270000</v>
      </c>
      <c r="K491" s="206">
        <f t="shared" si="34"/>
        <v>3653405.51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141087.5</v>
      </c>
      <c r="G492" s="18">
        <v>32000</v>
      </c>
      <c r="H492" s="18">
        <v>725515.75</v>
      </c>
      <c r="I492" s="18">
        <v>29580</v>
      </c>
      <c r="J492" s="18">
        <v>90375</v>
      </c>
      <c r="K492" s="53">
        <f t="shared" si="34"/>
        <v>1018558.25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546087.5</v>
      </c>
      <c r="G493" s="42">
        <f>SUM(G491:G492)</f>
        <v>352000</v>
      </c>
      <c r="H493" s="42">
        <f>SUM(H491:H492)</f>
        <v>3343921.26</v>
      </c>
      <c r="I493" s="42">
        <f>SUM(I491:I492)</f>
        <v>69580</v>
      </c>
      <c r="J493" s="42">
        <f>SUM(J491:J492)</f>
        <v>360375</v>
      </c>
      <c r="K493" s="42">
        <f t="shared" si="34"/>
        <v>4671963.76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2775090.55</v>
      </c>
      <c r="G511" s="18">
        <v>1235470.31</v>
      </c>
      <c r="H511" s="18">
        <v>318357.90999999997</v>
      </c>
      <c r="I511" s="18">
        <v>18294.580000000002</v>
      </c>
      <c r="J511" s="18">
        <v>239.61</v>
      </c>
      <c r="K511" s="18">
        <v>0</v>
      </c>
      <c r="L511" s="88">
        <f>SUM(F511:K511)</f>
        <v>4347452.96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874256.86</v>
      </c>
      <c r="G512" s="18">
        <v>389219.15</v>
      </c>
      <c r="H512" s="18">
        <v>183216.69</v>
      </c>
      <c r="I512" s="18">
        <v>4105.59</v>
      </c>
      <c r="J512" s="18">
        <v>74.06</v>
      </c>
      <c r="K512" s="18">
        <v>0</v>
      </c>
      <c r="L512" s="88">
        <f>SUM(F512:K512)</f>
        <v>1450872.35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1107089.53</v>
      </c>
      <c r="G513" s="18">
        <v>492876.26</v>
      </c>
      <c r="H513" s="18">
        <v>1237657.04</v>
      </c>
      <c r="I513" s="18">
        <v>13081.29</v>
      </c>
      <c r="J513" s="18">
        <v>121.98</v>
      </c>
      <c r="K513" s="18">
        <v>0</v>
      </c>
      <c r="L513" s="88">
        <f>SUM(F513:K513)</f>
        <v>2850826.1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4756436.9399999995</v>
      </c>
      <c r="G514" s="108">
        <f t="shared" ref="G514:L514" si="35">SUM(G511:G513)</f>
        <v>2117565.7199999997</v>
      </c>
      <c r="H514" s="108">
        <f t="shared" si="35"/>
        <v>1739231.6400000001</v>
      </c>
      <c r="I514" s="108">
        <f t="shared" si="35"/>
        <v>35481.460000000006</v>
      </c>
      <c r="J514" s="108">
        <f t="shared" si="35"/>
        <v>435.65000000000003</v>
      </c>
      <c r="K514" s="108">
        <f t="shared" si="35"/>
        <v>0</v>
      </c>
      <c r="L514" s="89">
        <f t="shared" si="35"/>
        <v>8649151.4100000001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516229.53</v>
      </c>
      <c r="G516" s="18">
        <v>229825.39</v>
      </c>
      <c r="H516" s="18">
        <v>800287.95</v>
      </c>
      <c r="I516" s="18">
        <v>9793.59</v>
      </c>
      <c r="J516" s="18">
        <v>36166.129999999997</v>
      </c>
      <c r="K516" s="18">
        <v>0</v>
      </c>
      <c r="L516" s="88">
        <f>SUM(F516:K516)</f>
        <v>1592302.59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141391.22</v>
      </c>
      <c r="G517" s="18">
        <v>62947.37</v>
      </c>
      <c r="H517" s="18">
        <v>134194.32</v>
      </c>
      <c r="I517" s="18">
        <v>1604.99</v>
      </c>
      <c r="J517" s="18">
        <v>11178.62</v>
      </c>
      <c r="K517" s="18">
        <v>0</v>
      </c>
      <c r="L517" s="88">
        <f>SUM(F517:K517)</f>
        <v>351316.52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1123.6500000000001</v>
      </c>
      <c r="G518" s="18">
        <v>500.25</v>
      </c>
      <c r="H518" s="18">
        <v>415732.77</v>
      </c>
      <c r="I518" s="18">
        <v>2362.98</v>
      </c>
      <c r="J518" s="18">
        <v>18411.849999999999</v>
      </c>
      <c r="K518" s="18">
        <v>0</v>
      </c>
      <c r="L518" s="88">
        <f>SUM(F518:K518)</f>
        <v>438131.5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658744.4</v>
      </c>
      <c r="G519" s="89">
        <f t="shared" ref="G519:L519" si="36">SUM(G516:G518)</f>
        <v>293273.01</v>
      </c>
      <c r="H519" s="89">
        <f t="shared" si="36"/>
        <v>1350215.04</v>
      </c>
      <c r="I519" s="89">
        <f t="shared" si="36"/>
        <v>13761.56</v>
      </c>
      <c r="J519" s="89">
        <f t="shared" si="36"/>
        <v>65756.600000000006</v>
      </c>
      <c r="K519" s="89">
        <f t="shared" si="36"/>
        <v>0</v>
      </c>
      <c r="L519" s="89">
        <f t="shared" si="36"/>
        <v>2381750.6100000003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88936.76</v>
      </c>
      <c r="G521" s="18">
        <v>39594.65</v>
      </c>
      <c r="H521" s="18">
        <v>1478.32</v>
      </c>
      <c r="I521" s="18">
        <v>491.8</v>
      </c>
      <c r="J521" s="18">
        <v>12493.34</v>
      </c>
      <c r="K521" s="18">
        <v>1408.13</v>
      </c>
      <c r="L521" s="88">
        <f>SUM(F521:K521)</f>
        <v>144403.00000000003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27489.54</v>
      </c>
      <c r="G522" s="18">
        <v>12238.34</v>
      </c>
      <c r="H522" s="18">
        <v>456.94</v>
      </c>
      <c r="I522" s="18">
        <v>152.01</v>
      </c>
      <c r="J522" s="18">
        <v>3861.58</v>
      </c>
      <c r="K522" s="18">
        <v>435.24</v>
      </c>
      <c r="L522" s="88">
        <f>SUM(F522:K522)</f>
        <v>44633.650000000009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45276.9</v>
      </c>
      <c r="G523" s="18">
        <f>20157.28-0.01</f>
        <v>20157.27</v>
      </c>
      <c r="H523" s="18">
        <v>752.6</v>
      </c>
      <c r="I523" s="18">
        <v>250.37</v>
      </c>
      <c r="J523" s="18">
        <v>6360.24</v>
      </c>
      <c r="K523" s="18">
        <v>716.86</v>
      </c>
      <c r="L523" s="88">
        <f>SUM(F523:K523)</f>
        <v>73514.240000000005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161703.19999999998</v>
      </c>
      <c r="G524" s="89">
        <f t="shared" ref="G524:L524" si="37">SUM(G521:G523)</f>
        <v>71990.260000000009</v>
      </c>
      <c r="H524" s="89">
        <f t="shared" si="37"/>
        <v>2687.86</v>
      </c>
      <c r="I524" s="89">
        <f t="shared" si="37"/>
        <v>894.18</v>
      </c>
      <c r="J524" s="89">
        <f t="shared" si="37"/>
        <v>22715.16</v>
      </c>
      <c r="K524" s="89">
        <f t="shared" si="37"/>
        <v>2560.23</v>
      </c>
      <c r="L524" s="89">
        <f t="shared" si="37"/>
        <v>262550.89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0</v>
      </c>
      <c r="I526" s="18">
        <v>21103.78</v>
      </c>
      <c r="J526" s="18">
        <v>0</v>
      </c>
      <c r="K526" s="18">
        <v>0</v>
      </c>
      <c r="L526" s="88">
        <f>SUM(F526:K526)</f>
        <v>21103.78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0</v>
      </c>
      <c r="I527" s="18">
        <v>6522.99</v>
      </c>
      <c r="J527" s="18">
        <v>0</v>
      </c>
      <c r="K527" s="18">
        <v>0</v>
      </c>
      <c r="L527" s="88">
        <f>SUM(F527:K527)</f>
        <v>6522.99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0</v>
      </c>
      <c r="I528" s="18">
        <v>10743.74</v>
      </c>
      <c r="J528" s="18">
        <v>0</v>
      </c>
      <c r="K528" s="18">
        <v>0</v>
      </c>
      <c r="L528" s="88">
        <f>SUM(F528:K528)</f>
        <v>10743.74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38370.509999999995</v>
      </c>
      <c r="J529" s="89">
        <f t="shared" si="38"/>
        <v>0</v>
      </c>
      <c r="K529" s="89">
        <f t="shared" si="38"/>
        <v>0</v>
      </c>
      <c r="L529" s="89">
        <f t="shared" si="38"/>
        <v>38370.509999999995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0</v>
      </c>
      <c r="G531" s="18">
        <v>0</v>
      </c>
      <c r="H531" s="18">
        <v>360824.17</v>
      </c>
      <c r="I531" s="18">
        <v>0</v>
      </c>
      <c r="J531" s="18">
        <v>0</v>
      </c>
      <c r="K531" s="18">
        <v>0</v>
      </c>
      <c r="L531" s="88">
        <f>SUM(F531:K531)</f>
        <v>360824.17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0</v>
      </c>
      <c r="G532" s="18">
        <v>0</v>
      </c>
      <c r="H532" s="18">
        <v>111527.46</v>
      </c>
      <c r="I532" s="18">
        <v>0</v>
      </c>
      <c r="J532" s="18">
        <v>0</v>
      </c>
      <c r="K532" s="18">
        <v>0</v>
      </c>
      <c r="L532" s="88">
        <f>SUM(F532:K532)</f>
        <v>111527.46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0</v>
      </c>
      <c r="G533" s="18">
        <v>0</v>
      </c>
      <c r="H533" s="18">
        <v>183692.3</v>
      </c>
      <c r="I533" s="18">
        <v>0</v>
      </c>
      <c r="J533" s="18">
        <v>0</v>
      </c>
      <c r="K533" s="18">
        <v>0</v>
      </c>
      <c r="L533" s="88">
        <f>SUM(F533:K533)</f>
        <v>183692.3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656043.92999999993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656043.92999999993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5576884.54</v>
      </c>
      <c r="G535" s="89">
        <f t="shared" ref="G535:L535" si="40">G514+G519+G524+G529+G534</f>
        <v>2482828.9899999993</v>
      </c>
      <c r="H535" s="89">
        <f t="shared" si="40"/>
        <v>3748178.4699999997</v>
      </c>
      <c r="I535" s="89">
        <f t="shared" si="40"/>
        <v>88507.709999999992</v>
      </c>
      <c r="J535" s="89">
        <f t="shared" si="40"/>
        <v>88907.41</v>
      </c>
      <c r="K535" s="89">
        <f t="shared" si="40"/>
        <v>2560.23</v>
      </c>
      <c r="L535" s="89">
        <f t="shared" si="40"/>
        <v>11987867.35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4347452.96</v>
      </c>
      <c r="G539" s="87">
        <f>L516</f>
        <v>1592302.59</v>
      </c>
      <c r="H539" s="87">
        <f>L521</f>
        <v>144403.00000000003</v>
      </c>
      <c r="I539" s="87">
        <f>L526</f>
        <v>21103.78</v>
      </c>
      <c r="J539" s="87">
        <f>L531</f>
        <v>360824.17</v>
      </c>
      <c r="K539" s="87">
        <f>SUM(F539:J539)</f>
        <v>6466086.5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1450872.35</v>
      </c>
      <c r="G540" s="87">
        <f>L517</f>
        <v>351316.52</v>
      </c>
      <c r="H540" s="87">
        <f>L522</f>
        <v>44633.650000000009</v>
      </c>
      <c r="I540" s="87">
        <f>L527</f>
        <v>6522.99</v>
      </c>
      <c r="J540" s="87">
        <f>L532</f>
        <v>111527.46</v>
      </c>
      <c r="K540" s="87">
        <f>SUM(F540:J540)</f>
        <v>1964872.97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2850826.1</v>
      </c>
      <c r="G541" s="87">
        <f>L518</f>
        <v>438131.5</v>
      </c>
      <c r="H541" s="87">
        <f>L523</f>
        <v>73514.240000000005</v>
      </c>
      <c r="I541" s="87">
        <f>L528</f>
        <v>10743.74</v>
      </c>
      <c r="J541" s="87">
        <f>L533</f>
        <v>183692.3</v>
      </c>
      <c r="K541" s="87">
        <f>SUM(F541:J541)</f>
        <v>3556907.8800000004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8649151.4100000001</v>
      </c>
      <c r="G542" s="89">
        <f t="shared" si="41"/>
        <v>2381750.6100000003</v>
      </c>
      <c r="H542" s="89">
        <f t="shared" si="41"/>
        <v>262550.89</v>
      </c>
      <c r="I542" s="89">
        <f t="shared" si="41"/>
        <v>38370.509999999995</v>
      </c>
      <c r="J542" s="89">
        <f t="shared" si="41"/>
        <v>656043.92999999993</v>
      </c>
      <c r="K542" s="89">
        <f t="shared" si="41"/>
        <v>11987867.350000001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0</v>
      </c>
      <c r="G547" s="18">
        <v>0</v>
      </c>
      <c r="H547" s="18">
        <v>0</v>
      </c>
      <c r="I547" s="18">
        <v>0</v>
      </c>
      <c r="J547" s="18">
        <v>0</v>
      </c>
      <c r="K547" s="18">
        <v>0</v>
      </c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20015.169999999998</v>
      </c>
      <c r="G552" s="18">
        <v>8906.75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28921.919999999998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6186.51</v>
      </c>
      <c r="G553" s="18">
        <v>2753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8939.51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10189.540000000001</v>
      </c>
      <c r="G554" s="18">
        <v>4534.3500000000004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14723.890000000001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36391.22</v>
      </c>
      <c r="G555" s="89">
        <f t="shared" si="43"/>
        <v>16194.1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52585.32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241402</v>
      </c>
      <c r="G557" s="18">
        <v>106595.09</v>
      </c>
      <c r="H557" s="18">
        <v>0</v>
      </c>
      <c r="I557" s="18">
        <v>12466.43</v>
      </c>
      <c r="J557" s="18">
        <v>0</v>
      </c>
      <c r="K557" s="18">
        <v>0</v>
      </c>
      <c r="L557" s="88">
        <f>SUM(F557:K557)</f>
        <v>360463.51999999996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30806.05</v>
      </c>
      <c r="G558" s="18">
        <v>13602.93</v>
      </c>
      <c r="H558" s="18">
        <v>0</v>
      </c>
      <c r="I558" s="18">
        <v>905.9</v>
      </c>
      <c r="J558" s="18">
        <v>0</v>
      </c>
      <c r="K558" s="18">
        <v>0</v>
      </c>
      <c r="L558" s="88">
        <f>SUM(F558:K558)</f>
        <v>45314.879999999997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6753.65</v>
      </c>
      <c r="J559" s="18">
        <v>0</v>
      </c>
      <c r="K559" s="18">
        <v>0</v>
      </c>
      <c r="L559" s="88">
        <f>SUM(F559:K559)</f>
        <v>6753.65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272208.05</v>
      </c>
      <c r="G560" s="194">
        <f t="shared" ref="G560:L560" si="44">SUM(G557:G559)</f>
        <v>120198.01999999999</v>
      </c>
      <c r="H560" s="194">
        <f t="shared" si="44"/>
        <v>0</v>
      </c>
      <c r="I560" s="194">
        <f t="shared" si="44"/>
        <v>20125.98</v>
      </c>
      <c r="J560" s="194">
        <f t="shared" si="44"/>
        <v>0</v>
      </c>
      <c r="K560" s="194">
        <f t="shared" si="44"/>
        <v>0</v>
      </c>
      <c r="L560" s="194">
        <f t="shared" si="44"/>
        <v>412532.05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308599.27</v>
      </c>
      <c r="G561" s="89">
        <f t="shared" ref="G561:L561" si="45">G550+G555+G560</f>
        <v>136392.12</v>
      </c>
      <c r="H561" s="89">
        <f t="shared" si="45"/>
        <v>0</v>
      </c>
      <c r="I561" s="89">
        <f t="shared" si="45"/>
        <v>20125.98</v>
      </c>
      <c r="J561" s="89">
        <f t="shared" si="45"/>
        <v>0</v>
      </c>
      <c r="K561" s="89">
        <f t="shared" si="45"/>
        <v>0</v>
      </c>
      <c r="L561" s="89">
        <f t="shared" si="45"/>
        <v>465117.37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f>111190.2+82088.28</f>
        <v>193278.47999999998</v>
      </c>
      <c r="I565" s="87">
        <f>SUM(F565:H565)</f>
        <v>193278.47999999998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26771.31</v>
      </c>
      <c r="G569" s="18">
        <v>0</v>
      </c>
      <c r="H569" s="18">
        <v>0</v>
      </c>
      <c r="I569" s="87">
        <f t="shared" si="46"/>
        <v>26771.31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213117.91</v>
      </c>
      <c r="G572" s="18">
        <v>177316.69</v>
      </c>
      <c r="H572" s="18">
        <v>1123660.23</v>
      </c>
      <c r="I572" s="87">
        <f t="shared" si="46"/>
        <v>1514094.83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0</v>
      </c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878820.43</v>
      </c>
      <c r="I581" s="18">
        <v>271635.40999999997</v>
      </c>
      <c r="J581" s="18">
        <v>432784.52</v>
      </c>
      <c r="K581" s="104">
        <f t="shared" ref="K581:K587" si="47">SUM(H581:J581)</f>
        <v>1583240.36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360824.17</v>
      </c>
      <c r="I582" s="18">
        <v>111527.46</v>
      </c>
      <c r="J582" s="18">
        <v>183692.3</v>
      </c>
      <c r="K582" s="104">
        <f t="shared" si="47"/>
        <v>656043.92999999993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14615</v>
      </c>
      <c r="K583" s="104">
        <f t="shared" si="47"/>
        <v>14615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7572.83</v>
      </c>
      <c r="J584" s="18">
        <v>76212.399999999994</v>
      </c>
      <c r="K584" s="104">
        <f t="shared" si="47"/>
        <v>83785.23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0</v>
      </c>
      <c r="I585" s="18">
        <v>4158</v>
      </c>
      <c r="J585" s="18">
        <v>16880.38</v>
      </c>
      <c r="K585" s="104">
        <f t="shared" si="47"/>
        <v>21038.38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1239644.6000000001</v>
      </c>
      <c r="I588" s="108">
        <f>SUM(I581:I587)</f>
        <v>394893.7</v>
      </c>
      <c r="J588" s="108">
        <f>SUM(J581:J587)</f>
        <v>724184.60000000009</v>
      </c>
      <c r="K588" s="108">
        <f>SUM(K581:K587)</f>
        <v>2358722.9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240637.43</v>
      </c>
      <c r="I594" s="18">
        <v>112196.93</v>
      </c>
      <c r="J594" s="18">
        <v>88461.15</v>
      </c>
      <c r="K594" s="104">
        <f>SUM(H594:J594)</f>
        <v>441295.51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240637.43</v>
      </c>
      <c r="I595" s="108">
        <f>SUM(I592:I594)</f>
        <v>112196.93</v>
      </c>
      <c r="J595" s="108">
        <f>SUM(J592:J594)</f>
        <v>88461.15</v>
      </c>
      <c r="K595" s="108">
        <f>SUM(K592:K594)</f>
        <v>441295.51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4238.95</v>
      </c>
      <c r="G602" s="18">
        <v>1871.78</v>
      </c>
      <c r="H602" s="18">
        <v>0</v>
      </c>
      <c r="I602" s="18">
        <v>1723.4</v>
      </c>
      <c r="J602" s="18">
        <v>0</v>
      </c>
      <c r="K602" s="18">
        <v>0</v>
      </c>
      <c r="L602" s="88">
        <f>SUM(F602:K602)</f>
        <v>7834.1299999999992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47607.47</v>
      </c>
      <c r="G603" s="18">
        <v>21021.87</v>
      </c>
      <c r="H603" s="18">
        <v>0</v>
      </c>
      <c r="I603" s="18">
        <v>0</v>
      </c>
      <c r="J603" s="18">
        <v>0</v>
      </c>
      <c r="K603" s="18">
        <v>0</v>
      </c>
      <c r="L603" s="88">
        <f>SUM(F603:K603)</f>
        <v>68629.34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51846.42</v>
      </c>
      <c r="G604" s="108">
        <f t="shared" si="48"/>
        <v>22893.649999999998</v>
      </c>
      <c r="H604" s="108">
        <f t="shared" si="48"/>
        <v>0</v>
      </c>
      <c r="I604" s="108">
        <f t="shared" si="48"/>
        <v>1723.4</v>
      </c>
      <c r="J604" s="108">
        <f t="shared" si="48"/>
        <v>0</v>
      </c>
      <c r="K604" s="108">
        <f t="shared" si="48"/>
        <v>0</v>
      </c>
      <c r="L604" s="89">
        <f t="shared" si="48"/>
        <v>76463.47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5756093.0199999996</v>
      </c>
      <c r="H607" s="109">
        <f>SUM(F44)</f>
        <v>5756093.0200000005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168542.17</v>
      </c>
      <c r="H608" s="109">
        <f>SUM(G44)</f>
        <v>168542.16999999998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337849.86</v>
      </c>
      <c r="H609" s="109">
        <f>SUM(H44)</f>
        <v>337849.86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517276.28</v>
      </c>
      <c r="H610" s="109">
        <f>SUM(I44)</f>
        <v>517276.28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520018.54000000004</v>
      </c>
      <c r="H611" s="109">
        <f>SUM(J44)</f>
        <v>520018.54000000004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2301361.5300000003</v>
      </c>
      <c r="H612" s="109">
        <f>F466</f>
        <v>2301361.5299999937</v>
      </c>
      <c r="I612" s="121" t="s">
        <v>106</v>
      </c>
      <c r="J612" s="109">
        <f t="shared" ref="J612:J645" si="49">G612-H612</f>
        <v>6.5192580223083496E-9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112922.97</v>
      </c>
      <c r="H613" s="109">
        <f>G466</f>
        <v>112922.9700000002</v>
      </c>
      <c r="I613" s="121" t="s">
        <v>108</v>
      </c>
      <c r="J613" s="109">
        <f t="shared" si="49"/>
        <v>-2.0372681319713593E-10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506274.30000000005</v>
      </c>
      <c r="H615" s="109">
        <f>I466</f>
        <v>506274.3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520018.54000000004</v>
      </c>
      <c r="H616" s="109">
        <f>J466</f>
        <v>520018.54000000004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53787450.899999999</v>
      </c>
      <c r="H617" s="104">
        <f>SUM(F458)</f>
        <v>53787450.899999999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1564688.4300000002</v>
      </c>
      <c r="H618" s="104">
        <f>SUM(G458)</f>
        <v>1564688.4300000002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1436074.6099999999</v>
      </c>
      <c r="H619" s="104">
        <f>SUM(H458)</f>
        <v>1436074.6099999999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537.95000000000005</v>
      </c>
      <c r="H620" s="104">
        <f>SUM(I458)</f>
        <v>537.95000000000005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7496.7</v>
      </c>
      <c r="H621" s="104">
        <f>SUM(J458)</f>
        <v>7496.7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53568938.300000004</v>
      </c>
      <c r="H622" s="104">
        <f>SUM(F462)</f>
        <v>53568938.300000004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1436074.6099999999</v>
      </c>
      <c r="H623" s="104">
        <f>SUM(H462)</f>
        <v>1436074.6099999999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861381.62000000011</v>
      </c>
      <c r="H624" s="104">
        <f>I361</f>
        <v>861381.62000000011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1552764.99</v>
      </c>
      <c r="H625" s="104">
        <f>SUM(G462)</f>
        <v>1552764.99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364009.64999999997</v>
      </c>
      <c r="H626" s="104">
        <f>SUM(I462)</f>
        <v>364009.64999999997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7496.6999999999989</v>
      </c>
      <c r="H627" s="164">
        <f>SUM(J458)</f>
        <v>7496.7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368510.07</v>
      </c>
      <c r="H629" s="104">
        <f>SUM(F451)</f>
        <v>368510.07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151508.47</v>
      </c>
      <c r="H630" s="104">
        <f>SUM(G451)</f>
        <v>151508.47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520018.54000000004</v>
      </c>
      <c r="H632" s="104">
        <f>SUM(I451)</f>
        <v>520018.54000000004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7496.7</v>
      </c>
      <c r="H634" s="104">
        <f>H400</f>
        <v>7496.6999999999989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7496.7</v>
      </c>
      <c r="H636" s="104">
        <f>L400</f>
        <v>7496.6999999999989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2358722.9</v>
      </c>
      <c r="H637" s="104">
        <f>L200+L218+L236</f>
        <v>2358722.9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441295.51</v>
      </c>
      <c r="H638" s="104">
        <f>(J249+J330)-(J247+J328)</f>
        <v>441295.51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1239644.5999999999</v>
      </c>
      <c r="H639" s="104">
        <f>H588</f>
        <v>1239644.6000000001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394893.69999999995</v>
      </c>
      <c r="H640" s="104">
        <f>I588</f>
        <v>394893.7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724184.6</v>
      </c>
      <c r="H641" s="104">
        <f>J588</f>
        <v>724184.60000000009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537.95000000000005</v>
      </c>
      <c r="H643" s="104">
        <f>K256</f>
        <v>537.95000000000005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26581206.580000002</v>
      </c>
      <c r="G650" s="19">
        <f>(L221+L301+L351)</f>
        <v>9127220.4000000004</v>
      </c>
      <c r="H650" s="19">
        <f>(L239+L320+L352)</f>
        <v>16066093.569999998</v>
      </c>
      <c r="I650" s="19">
        <f>SUM(F650:H650)</f>
        <v>51774520.550000004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695074.57931160636</v>
      </c>
      <c r="G651" s="19">
        <f>(L351/IF(SUM(L350:L352)=0,1,SUM(L350:L352))*(SUM(G89:G102)))</f>
        <v>207618.61602204695</v>
      </c>
      <c r="H651" s="19">
        <f>(L352/IF(SUM(L350:L352)=0,1,SUM(L350:L352))*(SUM(G89:G102)))</f>
        <v>487257.77466634661</v>
      </c>
      <c r="I651" s="19">
        <f>SUM(F651:H651)</f>
        <v>1389950.97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1239644.5999999999</v>
      </c>
      <c r="G652" s="19">
        <f>(L218+L298)-(J218+J298)</f>
        <v>394893.69999999995</v>
      </c>
      <c r="H652" s="19">
        <f>(L236+L317)-(J236+J317)</f>
        <v>724184.6</v>
      </c>
      <c r="I652" s="19">
        <f>SUM(F652:H652)</f>
        <v>2358722.9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480526.65</v>
      </c>
      <c r="G653" s="200">
        <f>SUM(G565:G577)+SUM(I592:I594)+L602</f>
        <v>297347.75</v>
      </c>
      <c r="H653" s="200">
        <f>SUM(H565:H577)+SUM(J592:J594)+L603</f>
        <v>1474029.2</v>
      </c>
      <c r="I653" s="19">
        <f>SUM(F653:H653)</f>
        <v>2251903.6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24165960.750688396</v>
      </c>
      <c r="G654" s="19">
        <f>G650-SUM(G651:G653)</f>
        <v>8227360.3339779535</v>
      </c>
      <c r="H654" s="19">
        <f>H650-SUM(H651:H653)</f>
        <v>13380621.995333653</v>
      </c>
      <c r="I654" s="19">
        <f>I650-SUM(I651:I653)</f>
        <v>45773943.080000006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559.77+526.79+456.04+759.7</f>
        <v>2302.3000000000002</v>
      </c>
      <c r="G655" s="249">
        <v>761.62</v>
      </c>
      <c r="H655" s="249">
        <v>1196.74</v>
      </c>
      <c r="I655" s="19">
        <f>SUM(F655:H655)</f>
        <v>4260.66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10496.44</v>
      </c>
      <c r="G657" s="19">
        <f>ROUND(G654/G655,2)</f>
        <v>10802.45</v>
      </c>
      <c r="H657" s="19">
        <f>ROUND(H654/H655,2)</f>
        <v>11180.89</v>
      </c>
      <c r="I657" s="19">
        <f>ROUND(I654/I655,2)</f>
        <v>10743.39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-20.6</v>
      </c>
      <c r="I660" s="19">
        <f>SUM(F660:H660)</f>
        <v>-20.6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10496.44</v>
      </c>
      <c r="G662" s="19">
        <f>ROUND((G654+G659)/(G655+G660),2)</f>
        <v>10802.45</v>
      </c>
      <c r="H662" s="19">
        <f>ROUND((H654+H659)/(H655+H660),2)</f>
        <v>11376.73</v>
      </c>
      <c r="I662" s="19">
        <f>ROUND((I654+I659)/(I655+I660),2)</f>
        <v>10795.59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3983-FFA7-468C-B023-C646E03C82DB}">
  <sheetPr>
    <tabColor indexed="20"/>
  </sheetPr>
  <dimension ref="A1:C52"/>
  <sheetViews>
    <sheetView workbookViewId="0">
      <selection activeCell="C30" sqref="C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BEDFORD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15338248.190000001</v>
      </c>
      <c r="C9" s="230">
        <f>'DOE25'!G189+'DOE25'!G207+'DOE25'!G225+'DOE25'!G268+'DOE25'!G287+'DOE25'!G306</f>
        <v>6813211.9399999995</v>
      </c>
    </row>
    <row r="10" spans="1:3" x14ac:dyDescent="0.2">
      <c r="A10" t="s">
        <v>813</v>
      </c>
      <c r="B10" s="241">
        <v>14235547.25</v>
      </c>
      <c r="C10" s="241">
        <v>6323394.9100000001</v>
      </c>
    </row>
    <row r="11" spans="1:3" x14ac:dyDescent="0.2">
      <c r="A11" t="s">
        <v>814</v>
      </c>
      <c r="B11" s="241">
        <v>500087.58</v>
      </c>
      <c r="C11" s="241">
        <v>222137.67</v>
      </c>
    </row>
    <row r="12" spans="1:3" x14ac:dyDescent="0.2">
      <c r="A12" t="s">
        <v>815</v>
      </c>
      <c r="B12" s="241">
        <v>602613.36</v>
      </c>
      <c r="C12" s="241">
        <v>267679.35999999999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15338248.189999999</v>
      </c>
      <c r="C13" s="232">
        <f>SUM(C10:C12)</f>
        <v>6813211.9400000004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5078501.87</v>
      </c>
      <c r="C18" s="230">
        <f>'DOE25'!G190+'DOE25'!G208+'DOE25'!G226+'DOE25'!G269+'DOE25'!G288+'DOE25'!G307</f>
        <v>2083274.4600000002</v>
      </c>
    </row>
    <row r="19" spans="1:3" x14ac:dyDescent="0.2">
      <c r="A19" t="s">
        <v>813</v>
      </c>
      <c r="B19" s="241">
        <v>3034760.97</v>
      </c>
      <c r="C19" s="241">
        <v>1244902.57</v>
      </c>
    </row>
    <row r="20" spans="1:3" x14ac:dyDescent="0.2">
      <c r="A20" t="s">
        <v>814</v>
      </c>
      <c r="B20" s="241">
        <v>1766016.74</v>
      </c>
      <c r="C20" s="241">
        <v>724445.45</v>
      </c>
    </row>
    <row r="21" spans="1:3" x14ac:dyDescent="0.2">
      <c r="A21" t="s">
        <v>815</v>
      </c>
      <c r="B21" s="241">
        <v>277724.15999999997</v>
      </c>
      <c r="C21" s="241">
        <v>113926.44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5078501.87</v>
      </c>
      <c r="C22" s="232">
        <f>SUM(C19:C21)</f>
        <v>2083274.46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551257.98</v>
      </c>
      <c r="C36" s="236">
        <f>'DOE25'!G192+'DOE25'!G210+'DOE25'!G228+'DOE25'!G271+'DOE25'!G290+'DOE25'!G309</f>
        <v>245401.88</v>
      </c>
    </row>
    <row r="37" spans="1:3" x14ac:dyDescent="0.2">
      <c r="A37" t="s">
        <v>813</v>
      </c>
      <c r="B37" s="241">
        <v>460584.98</v>
      </c>
      <c r="C37" s="241">
        <v>205037.25</v>
      </c>
    </row>
    <row r="38" spans="1:3" x14ac:dyDescent="0.2">
      <c r="A38" t="s">
        <v>814</v>
      </c>
      <c r="B38" s="241">
        <v>0</v>
      </c>
      <c r="C38" s="241">
        <v>0</v>
      </c>
    </row>
    <row r="39" spans="1:3" x14ac:dyDescent="0.2">
      <c r="A39" t="s">
        <v>815</v>
      </c>
      <c r="B39" s="241">
        <v>90673</v>
      </c>
      <c r="C39" s="241">
        <v>40364.629999999997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551257.98</v>
      </c>
      <c r="C40" s="232">
        <f>SUM(C37:C39)</f>
        <v>245401.88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6C37-6E25-46DD-B239-4CA4FEE67620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BEDFORD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32741991.200000003</v>
      </c>
      <c r="D5" s="20">
        <f>SUM('DOE25'!L189:L192)+SUM('DOE25'!L207:L210)+SUM('DOE25'!L225:L228)-F5-G5</f>
        <v>32678327.050000004</v>
      </c>
      <c r="E5" s="244"/>
      <c r="F5" s="256">
        <f>SUM('DOE25'!J189:J192)+SUM('DOE25'!J207:J210)+SUM('DOE25'!J225:J228)</f>
        <v>36082.9</v>
      </c>
      <c r="G5" s="53">
        <f>SUM('DOE25'!K189:K192)+SUM('DOE25'!K207:K210)+SUM('DOE25'!K225:K228)</f>
        <v>27581.25</v>
      </c>
      <c r="H5" s="260"/>
    </row>
    <row r="6" spans="1:9" x14ac:dyDescent="0.2">
      <c r="A6" s="32">
        <v>2100</v>
      </c>
      <c r="B6" t="s">
        <v>835</v>
      </c>
      <c r="C6" s="246">
        <f t="shared" si="0"/>
        <v>3685540.5</v>
      </c>
      <c r="D6" s="20">
        <f>'DOE25'!L194+'DOE25'!L212+'DOE25'!L230-F6-G6</f>
        <v>3685540.5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1406159.71</v>
      </c>
      <c r="D7" s="20">
        <f>'DOE25'!L195+'DOE25'!L213+'DOE25'!L231-F7-G7</f>
        <v>1167434.6099999999</v>
      </c>
      <c r="E7" s="244"/>
      <c r="F7" s="256">
        <f>'DOE25'!J195+'DOE25'!J213+'DOE25'!J231</f>
        <v>214687.78000000003</v>
      </c>
      <c r="G7" s="53">
        <f>'DOE25'!K195+'DOE25'!K213+'DOE25'!K231</f>
        <v>24037.320000000003</v>
      </c>
      <c r="H7" s="260"/>
    </row>
    <row r="8" spans="1:9" x14ac:dyDescent="0.2">
      <c r="A8" s="32">
        <v>2300</v>
      </c>
      <c r="B8" t="s">
        <v>836</v>
      </c>
      <c r="C8" s="246">
        <f t="shared" si="0"/>
        <v>650914.67000000016</v>
      </c>
      <c r="D8" s="244"/>
      <c r="E8" s="20">
        <f>'DOE25'!L196+'DOE25'!L214+'DOE25'!L232-F8-G8-D9-D11</f>
        <v>612756.10000000009</v>
      </c>
      <c r="F8" s="256">
        <f>'DOE25'!J196+'DOE25'!J214+'DOE25'!J232</f>
        <v>22715.15</v>
      </c>
      <c r="G8" s="53">
        <f>'DOE25'!K196+'DOE25'!K214+'DOE25'!K232</f>
        <v>15443.419999999998</v>
      </c>
      <c r="H8" s="260"/>
    </row>
    <row r="9" spans="1:9" x14ac:dyDescent="0.2">
      <c r="A9" s="32">
        <v>2310</v>
      </c>
      <c r="B9" t="s">
        <v>852</v>
      </c>
      <c r="C9" s="246">
        <f t="shared" si="0"/>
        <v>12324.12</v>
      </c>
      <c r="D9" s="245">
        <v>12324.12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17897.509999999998</v>
      </c>
      <c r="D10" s="244"/>
      <c r="E10" s="245">
        <v>17897.509999999998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485587.93</v>
      </c>
      <c r="D11" s="245">
        <v>485587.93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2993440.42</v>
      </c>
      <c r="D12" s="20">
        <f>'DOE25'!L197+'DOE25'!L215+'DOE25'!L233-F12-G12</f>
        <v>2940967.77</v>
      </c>
      <c r="E12" s="244"/>
      <c r="F12" s="256">
        <f>'DOE25'!J197+'DOE25'!J215+'DOE25'!J233</f>
        <v>10362.64</v>
      </c>
      <c r="G12" s="53">
        <f>'DOE25'!K197+'DOE25'!K215+'DOE25'!K233</f>
        <v>42110.01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393245.82999999996</v>
      </c>
      <c r="D13" s="244"/>
      <c r="E13" s="20">
        <f>'DOE25'!L198+'DOE25'!L216+'DOE25'!L234-F13-G13</f>
        <v>393245.82999999996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4035350.6100000003</v>
      </c>
      <c r="D14" s="20">
        <f>'DOE25'!L199+'DOE25'!L217+'DOE25'!L235-F14-G14</f>
        <v>4028567.0700000003</v>
      </c>
      <c r="E14" s="244"/>
      <c r="F14" s="256">
        <f>'DOE25'!J199+'DOE25'!J217+'DOE25'!J235</f>
        <v>5363.54</v>
      </c>
      <c r="G14" s="53">
        <f>'DOE25'!K199+'DOE25'!K217+'DOE25'!K235</f>
        <v>1420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2358722.9</v>
      </c>
      <c r="D15" s="20">
        <f>'DOE25'!L200+'DOE25'!L218+'DOE25'!L236-F15-G15</f>
        <v>2358722.9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52271.200000000004</v>
      </c>
      <c r="D16" s="244"/>
      <c r="E16" s="20">
        <f>'DOE25'!L201+'DOE25'!L219+'DOE25'!L237-F16-G16</f>
        <v>52271.200000000004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34650</v>
      </c>
      <c r="D17" s="20">
        <f>'DOE25'!L243-F17-G17</f>
        <v>34650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4718201.26</v>
      </c>
      <c r="D25" s="244"/>
      <c r="E25" s="244"/>
      <c r="F25" s="259"/>
      <c r="G25" s="257"/>
      <c r="H25" s="258">
        <f>'DOE25'!L252+'DOE25'!L253+'DOE25'!L333+'DOE25'!L334</f>
        <v>4718201.26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753137.26</v>
      </c>
      <c r="D29" s="20">
        <f>'DOE25'!L350+'DOE25'!L351+'DOE25'!L352-'DOE25'!I359-F29-G29</f>
        <v>699884.45</v>
      </c>
      <c r="E29" s="244"/>
      <c r="F29" s="256">
        <f>'DOE25'!J350+'DOE25'!J351+'DOE25'!J352</f>
        <v>53252.81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1415420.15</v>
      </c>
      <c r="D31" s="20">
        <f>'DOE25'!L282+'DOE25'!L301+'DOE25'!L320+'DOE25'!L325+'DOE25'!L326+'DOE25'!L327-F31-G31</f>
        <v>1263336.6499999999</v>
      </c>
      <c r="E31" s="244"/>
      <c r="F31" s="256">
        <f>'DOE25'!J282+'DOE25'!J301+'DOE25'!J320+'DOE25'!J325+'DOE25'!J326+'DOE25'!J327</f>
        <v>152083.5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49355343.050000004</v>
      </c>
      <c r="E33" s="247">
        <f>SUM(E5:E31)</f>
        <v>1076170.6400000001</v>
      </c>
      <c r="F33" s="247">
        <f>SUM(F5:F31)</f>
        <v>494548.32</v>
      </c>
      <c r="G33" s="247">
        <f>SUM(G5:G31)</f>
        <v>110592</v>
      </c>
      <c r="H33" s="247">
        <f>SUM(H5:H31)</f>
        <v>4718201.26</v>
      </c>
    </row>
    <row r="35" spans="2:8" ht="12" thickBot="1" x14ac:dyDescent="0.25">
      <c r="B35" s="254" t="s">
        <v>881</v>
      </c>
      <c r="D35" s="255">
        <f>E33</f>
        <v>1076170.6400000001</v>
      </c>
      <c r="E35" s="250"/>
    </row>
    <row r="36" spans="2:8" ht="12" thickTop="1" x14ac:dyDescent="0.2">
      <c r="B36" t="s">
        <v>849</v>
      </c>
      <c r="D36" s="20">
        <f>D33</f>
        <v>49355343.050000004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610B-9568-412D-800F-39F4BEA0847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BEDFORD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2999448.71</v>
      </c>
      <c r="D9" s="95">
        <f>'DOE25'!G9</f>
        <v>500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121893.33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141251.44</v>
      </c>
      <c r="E12" s="95">
        <f>'DOE25'!H12</f>
        <v>0</v>
      </c>
      <c r="F12" s="95">
        <f>'DOE25'!I12</f>
        <v>517276.28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8769.2999999999993</v>
      </c>
      <c r="D13" s="95">
        <f>'DOE25'!G13</f>
        <v>9735</v>
      </c>
      <c r="E13" s="95">
        <f>'DOE25'!H13</f>
        <v>335870.86</v>
      </c>
      <c r="F13" s="95">
        <f>'DOE25'!I13</f>
        <v>0</v>
      </c>
      <c r="G13" s="95">
        <f>'DOE25'!J13</f>
        <v>520018.54000000004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51978.55</v>
      </c>
      <c r="D14" s="95">
        <f>'DOE25'!G14</f>
        <v>5875.73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2574003.13</v>
      </c>
      <c r="D17" s="95">
        <f>'DOE25'!G17</f>
        <v>11180</v>
      </c>
      <c r="E17" s="95">
        <f>'DOE25'!H17</f>
        <v>1979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5756093.0199999996</v>
      </c>
      <c r="D19" s="41">
        <f>SUM(D9:D18)</f>
        <v>168542.17</v>
      </c>
      <c r="E19" s="41">
        <f>SUM(E9:E18)</f>
        <v>337849.86</v>
      </c>
      <c r="F19" s="41">
        <f>SUM(F9:F18)</f>
        <v>517276.28</v>
      </c>
      <c r="G19" s="41">
        <f>SUM(G9:G18)</f>
        <v>520018.54000000004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422800.23</v>
      </c>
      <c r="D22" s="95">
        <f>'DOE25'!G23</f>
        <v>0</v>
      </c>
      <c r="E22" s="95">
        <f>'DOE25'!H23</f>
        <v>235727.49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7192.69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967788.17</v>
      </c>
      <c r="D24" s="95">
        <f>'DOE25'!G25</f>
        <v>8649.92</v>
      </c>
      <c r="E24" s="95">
        <f>'DOE25'!H25</f>
        <v>36560.26</v>
      </c>
      <c r="F24" s="95">
        <f>'DOE25'!I25</f>
        <v>11001.98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2048317.9</v>
      </c>
      <c r="D28" s="95">
        <f>'DOE25'!G29</f>
        <v>12258.69</v>
      </c>
      <c r="E28" s="95">
        <f>'DOE25'!H29</f>
        <v>63003.86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8632.5</v>
      </c>
      <c r="D30" s="95">
        <f>'DOE25'!G31</f>
        <v>34710.589999999997</v>
      </c>
      <c r="E30" s="95">
        <f>'DOE25'!H31</f>
        <v>2558.25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3454731.49</v>
      </c>
      <c r="D32" s="41">
        <f>SUM(D22:D31)</f>
        <v>55619.199999999997</v>
      </c>
      <c r="E32" s="41">
        <f>SUM(E22:E31)</f>
        <v>337849.86</v>
      </c>
      <c r="F32" s="41">
        <f>SUM(F22:F31)</f>
        <v>11001.98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227277.15</v>
      </c>
      <c r="D36" s="95">
        <f>'DOE25'!G37</f>
        <v>2269</v>
      </c>
      <c r="E36" s="95">
        <f>'DOE25'!H37</f>
        <v>0</v>
      </c>
      <c r="F36" s="95">
        <f>'DOE25'!I37</f>
        <v>88687.03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110653.97</v>
      </c>
      <c r="E40" s="95">
        <f>'DOE25'!H41</f>
        <v>0</v>
      </c>
      <c r="F40" s="95">
        <f>'DOE25'!I41</f>
        <v>417587.27</v>
      </c>
      <c r="G40" s="95">
        <f>'DOE25'!J41</f>
        <v>520018.54000000004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2074084.3800000001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2301361.5300000003</v>
      </c>
      <c r="D42" s="41">
        <f>SUM(D34:D41)</f>
        <v>112922.97</v>
      </c>
      <c r="E42" s="41">
        <f>SUM(E34:E41)</f>
        <v>0</v>
      </c>
      <c r="F42" s="41">
        <f>SUM(F34:F41)</f>
        <v>506274.30000000005</v>
      </c>
      <c r="G42" s="41">
        <f>SUM(G34:G41)</f>
        <v>520018.54000000004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5756093.0200000005</v>
      </c>
      <c r="D43" s="41">
        <f>D42+D32</f>
        <v>168542.16999999998</v>
      </c>
      <c r="E43" s="41">
        <f>E42+E32</f>
        <v>337849.86</v>
      </c>
      <c r="F43" s="41">
        <f>F42+F32</f>
        <v>517276.28</v>
      </c>
      <c r="G43" s="41">
        <f>G42+G32</f>
        <v>520018.54000000004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39935720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146237.20000000001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347.73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7496.7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1389950.97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453645.19</v>
      </c>
      <c r="D53" s="95">
        <f>SUM('DOE25'!G90:G102)</f>
        <v>0</v>
      </c>
      <c r="E53" s="95">
        <f>SUM('DOE25'!H90:H102)</f>
        <v>16473.37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600230.12</v>
      </c>
      <c r="D54" s="130">
        <f>SUM(D49:D53)</f>
        <v>1389950.97</v>
      </c>
      <c r="E54" s="130">
        <f>SUM(E49:E53)</f>
        <v>16473.37</v>
      </c>
      <c r="F54" s="130">
        <f>SUM(F49:F53)</f>
        <v>0</v>
      </c>
      <c r="G54" s="130">
        <f>SUM(G49:G53)</f>
        <v>7496.7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40535950.119999997</v>
      </c>
      <c r="D55" s="22">
        <f>D48+D54</f>
        <v>1389950.97</v>
      </c>
      <c r="E55" s="22">
        <f>E48+E54</f>
        <v>16473.37</v>
      </c>
      <c r="F55" s="22">
        <f>F48+F54</f>
        <v>0</v>
      </c>
      <c r="G55" s="22">
        <f>G48+G54</f>
        <v>7496.7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2501854.13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7612906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959882.87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5624.48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11080267.479999999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1181216.46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452262.78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4439.76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39500</v>
      </c>
      <c r="D69" s="95">
        <f>SUM('DOE25'!G123:G127)</f>
        <v>16082.32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1677419</v>
      </c>
      <c r="D70" s="130">
        <f>SUM(D64:D69)</f>
        <v>16082.32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12757686.479999999</v>
      </c>
      <c r="D73" s="130">
        <f>SUM(D71:D72)+D70+D62</f>
        <v>16082.32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484600.62</v>
      </c>
      <c r="D80" s="95">
        <f>SUM('DOE25'!G145:G153)</f>
        <v>158655.14000000001</v>
      </c>
      <c r="E80" s="95">
        <f>SUM('DOE25'!H145:H153)</f>
        <v>1409849.6099999999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484600.62</v>
      </c>
      <c r="D83" s="131">
        <f>SUM(D77:D82)</f>
        <v>158655.14000000001</v>
      </c>
      <c r="E83" s="131">
        <f>SUM(E77:E82)</f>
        <v>1409849.6099999999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537.95000000000005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9213.68</v>
      </c>
      <c r="D89" s="95">
        <f>SUM('DOE25'!G172:G173)</f>
        <v>0</v>
      </c>
      <c r="E89" s="95">
        <f>SUM('DOE25'!H172:H173)</f>
        <v>9213.68</v>
      </c>
      <c r="F89" s="95">
        <f>SUM('DOE25'!I172:I173)</f>
        <v>537.95000000000005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9213.68</v>
      </c>
      <c r="D95" s="86">
        <f>SUM(D85:D94)</f>
        <v>0</v>
      </c>
      <c r="E95" s="86">
        <f>SUM(E85:E94)</f>
        <v>9751.630000000001</v>
      </c>
      <c r="F95" s="86">
        <f>SUM(F85:F94)</f>
        <v>537.95000000000005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53787450.899999991</v>
      </c>
      <c r="D96" s="86">
        <f>D55+D73+D83+D95</f>
        <v>1564688.4300000002</v>
      </c>
      <c r="E96" s="86">
        <f>E55+E73+E83+E95</f>
        <v>1436074.6099999999</v>
      </c>
      <c r="F96" s="86">
        <f>F55+F73+F83+F95</f>
        <v>537.95000000000005</v>
      </c>
      <c r="G96" s="86">
        <f>G55+G73+G95</f>
        <v>7496.7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23592532.400000002</v>
      </c>
      <c r="D101" s="24" t="s">
        <v>312</v>
      </c>
      <c r="E101" s="95">
        <f>('DOE25'!L268)+('DOE25'!L287)+('DOE25'!L306)</f>
        <v>62265.65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8129789.1699999999</v>
      </c>
      <c r="D102" s="24" t="s">
        <v>312</v>
      </c>
      <c r="E102" s="95">
        <f>('DOE25'!L269)+('DOE25'!L288)+('DOE25'!L307)</f>
        <v>938487.86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41600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978069.63000000012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10902.83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34650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32776641.199999999</v>
      </c>
      <c r="D107" s="86">
        <f>SUM(D101:D106)</f>
        <v>0</v>
      </c>
      <c r="E107" s="86">
        <f>SUM(E101:E106)</f>
        <v>1011656.34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3685540.5</v>
      </c>
      <c r="D110" s="24" t="s">
        <v>312</v>
      </c>
      <c r="E110" s="95">
        <f>+('DOE25'!L273)+('DOE25'!L292)+('DOE25'!L311)</f>
        <v>239984.54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1406159.71</v>
      </c>
      <c r="D111" s="24" t="s">
        <v>312</v>
      </c>
      <c r="E111" s="95">
        <f>+('DOE25'!L274)+('DOE25'!L293)+('DOE25'!L312)</f>
        <v>164415.5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1148826.72</v>
      </c>
      <c r="D112" s="24" t="s">
        <v>312</v>
      </c>
      <c r="E112" s="95">
        <f>+('DOE25'!L275)+('DOE25'!L294)+('DOE25'!L313)</f>
        <v>10266.6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2993440.42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393245.82999999996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4035350.6100000003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2358722.9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52271.200000000004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1543551.31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16073557.889999999</v>
      </c>
      <c r="D120" s="86">
        <f>SUM(D110:D119)</f>
        <v>1543551.31</v>
      </c>
      <c r="E120" s="86">
        <f>SUM(E110:E119)</f>
        <v>414666.64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364009.64999999997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3787012.7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931188.56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9213.68</v>
      </c>
      <c r="E126" s="95">
        <f>'DOE25'!L336</f>
        <v>9751.6299999999992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537.95000000000005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4597.7299999999996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2898.97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-7496.6999999999989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4718739.21</v>
      </c>
      <c r="D136" s="141">
        <f>SUM(D122:D135)</f>
        <v>9213.68</v>
      </c>
      <c r="E136" s="141">
        <f>SUM(E122:E135)</f>
        <v>9751.6299999999992</v>
      </c>
      <c r="F136" s="141">
        <f>SUM(F122:F135)</f>
        <v>364009.64999999997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53568938.299999997</v>
      </c>
      <c r="D137" s="86">
        <f>(D107+D120+D136)</f>
        <v>1552764.99</v>
      </c>
      <c r="E137" s="86">
        <f>(E107+E120+E136)</f>
        <v>1436074.6099999999</v>
      </c>
      <c r="F137" s="86">
        <f>(F107+F120+F136)</f>
        <v>364009.64999999997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10</v>
      </c>
      <c r="D143" s="153">
        <f>'DOE25'!H480</f>
        <v>24</v>
      </c>
      <c r="E143" s="153">
        <f>'DOE25'!I480</f>
        <v>20</v>
      </c>
      <c r="F143" s="153">
        <f>'DOE25'!J480</f>
        <v>10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8/08</v>
      </c>
      <c r="C144" s="152" t="str">
        <f>'DOE25'!G481</f>
        <v>11/02</v>
      </c>
      <c r="D144" s="152" t="str">
        <f>'DOE25'!H481</f>
        <v>7/5</v>
      </c>
      <c r="E144" s="152" t="str">
        <f>'DOE25'!I481</f>
        <v>6/06</v>
      </c>
      <c r="F144" s="152" t="str">
        <f>'DOE25'!J481</f>
        <v>8/07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8/18</v>
      </c>
      <c r="C145" s="152" t="str">
        <f>'DOE25'!G482</f>
        <v>11/12</v>
      </c>
      <c r="D145" s="152" t="str">
        <f>'DOE25'!H482</f>
        <v>7/29</v>
      </c>
      <c r="E145" s="152" t="str">
        <f>'DOE25'!I482</f>
        <v>7/26</v>
      </c>
      <c r="F145" s="152" t="str">
        <f>'DOE25'!J482</f>
        <v>8/17</v>
      </c>
      <c r="G145" s="24" t="s">
        <v>312</v>
      </c>
    </row>
    <row r="146" spans="1:7" x14ac:dyDescent="0.2">
      <c r="A146" s="136" t="s">
        <v>30</v>
      </c>
      <c r="B146" s="137">
        <f>'DOE25'!F483</f>
        <v>3935000</v>
      </c>
      <c r="C146" s="137">
        <f>'DOE25'!G483</f>
        <v>3181000</v>
      </c>
      <c r="D146" s="137">
        <f>'DOE25'!H483</f>
        <v>47505000</v>
      </c>
      <c r="E146" s="137">
        <f>'DOE25'!I483</f>
        <v>800000</v>
      </c>
      <c r="F146" s="137">
        <f>'DOE25'!J483</f>
        <v>2681350</v>
      </c>
      <c r="G146" s="24" t="s">
        <v>312</v>
      </c>
    </row>
    <row r="147" spans="1:7" x14ac:dyDescent="0.2">
      <c r="A147" s="136" t="s">
        <v>31</v>
      </c>
      <c r="B147" s="137">
        <f>'DOE25'!F484</f>
        <v>3.34</v>
      </c>
      <c r="C147" s="137">
        <f>'DOE25'!G484</f>
        <v>3.37</v>
      </c>
      <c r="D147" s="137">
        <f>'DOE25'!H484</f>
        <v>4.34</v>
      </c>
      <c r="E147" s="137">
        <f>'DOE25'!I484</f>
        <v>4.5199999999999996</v>
      </c>
      <c r="F147" s="137">
        <f>'DOE25'!J484</f>
        <v>4.28</v>
      </c>
      <c r="G147" s="24" t="s">
        <v>312</v>
      </c>
    </row>
    <row r="148" spans="1:7" x14ac:dyDescent="0.2">
      <c r="A148" s="22" t="s">
        <v>32</v>
      </c>
      <c r="B148" s="137">
        <f>'DOE25'!F485</f>
        <v>3935000</v>
      </c>
      <c r="C148" s="137">
        <f>'DOE25'!G485</f>
        <v>1280000</v>
      </c>
      <c r="D148" s="137">
        <f>'DOE25'!H485</f>
        <v>37385520.689999998</v>
      </c>
      <c r="E148" s="137">
        <f>'DOE25'!I485</f>
        <v>720000</v>
      </c>
      <c r="F148" s="137">
        <f>'DOE25'!J485</f>
        <v>2415000</v>
      </c>
      <c r="G148" s="138">
        <f>SUM(B148:F148)</f>
        <v>45735520.689999998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410000</v>
      </c>
      <c r="C150" s="137">
        <f>'DOE25'!G487</f>
        <v>320000</v>
      </c>
      <c r="D150" s="137">
        <f>'DOE25'!H487</f>
        <v>2747013</v>
      </c>
      <c r="E150" s="137">
        <f>'DOE25'!I487</f>
        <v>40000</v>
      </c>
      <c r="F150" s="137">
        <f>'DOE25'!J487</f>
        <v>270000</v>
      </c>
      <c r="G150" s="138">
        <f t="shared" si="0"/>
        <v>3787013</v>
      </c>
    </row>
    <row r="151" spans="1:7" x14ac:dyDescent="0.2">
      <c r="A151" s="22" t="s">
        <v>35</v>
      </c>
      <c r="B151" s="137">
        <f>'DOE25'!F488</f>
        <v>3525000</v>
      </c>
      <c r="C151" s="137">
        <f>'DOE25'!G488</f>
        <v>960000</v>
      </c>
      <c r="D151" s="137">
        <f>'DOE25'!H488</f>
        <v>34638507.689999998</v>
      </c>
      <c r="E151" s="137">
        <f>'DOE25'!I488</f>
        <v>680000</v>
      </c>
      <c r="F151" s="137">
        <f>'DOE25'!J488</f>
        <v>2145000</v>
      </c>
      <c r="G151" s="138">
        <f t="shared" si="0"/>
        <v>41948507.689999998</v>
      </c>
    </row>
    <row r="152" spans="1:7" x14ac:dyDescent="0.2">
      <c r="A152" s="22" t="s">
        <v>36</v>
      </c>
      <c r="B152" s="137">
        <f>'DOE25'!F489</f>
        <v>697775</v>
      </c>
      <c r="C152" s="137">
        <f>'DOE25'!G489</f>
        <v>57600</v>
      </c>
      <c r="D152" s="137">
        <f>'DOE25'!H489</f>
        <v>32234710.219999999</v>
      </c>
      <c r="E152" s="137">
        <f>'DOE25'!I489</f>
        <v>261035</v>
      </c>
      <c r="F152" s="137">
        <f>'DOE25'!J489</f>
        <v>400461.5</v>
      </c>
      <c r="G152" s="138">
        <f t="shared" si="0"/>
        <v>33651581.719999999</v>
      </c>
    </row>
    <row r="153" spans="1:7" x14ac:dyDescent="0.2">
      <c r="A153" s="22" t="s">
        <v>37</v>
      </c>
      <c r="B153" s="137">
        <f>'DOE25'!F490</f>
        <v>4222775</v>
      </c>
      <c r="C153" s="137">
        <f>'DOE25'!G490</f>
        <v>1017600</v>
      </c>
      <c r="D153" s="137">
        <f>'DOE25'!H490</f>
        <v>66873217.909999996</v>
      </c>
      <c r="E153" s="137">
        <f>'DOE25'!I490</f>
        <v>941035</v>
      </c>
      <c r="F153" s="137">
        <f>'DOE25'!J490</f>
        <v>2545461.5</v>
      </c>
      <c r="G153" s="138">
        <f t="shared" si="0"/>
        <v>75600089.409999996</v>
      </c>
    </row>
    <row r="154" spans="1:7" x14ac:dyDescent="0.2">
      <c r="A154" s="22" t="s">
        <v>38</v>
      </c>
      <c r="B154" s="137">
        <f>'DOE25'!F491</f>
        <v>405000</v>
      </c>
      <c r="C154" s="137">
        <f>'DOE25'!G491</f>
        <v>320000</v>
      </c>
      <c r="D154" s="137">
        <f>'DOE25'!H491</f>
        <v>2618405.5099999998</v>
      </c>
      <c r="E154" s="137">
        <f>'DOE25'!I491</f>
        <v>40000</v>
      </c>
      <c r="F154" s="137">
        <f>'DOE25'!J491</f>
        <v>270000</v>
      </c>
      <c r="G154" s="138">
        <f t="shared" si="0"/>
        <v>3653405.51</v>
      </c>
    </row>
    <row r="155" spans="1:7" x14ac:dyDescent="0.2">
      <c r="A155" s="22" t="s">
        <v>39</v>
      </c>
      <c r="B155" s="137">
        <f>'DOE25'!F492</f>
        <v>141087.5</v>
      </c>
      <c r="C155" s="137">
        <f>'DOE25'!G492</f>
        <v>32000</v>
      </c>
      <c r="D155" s="137">
        <f>'DOE25'!H492</f>
        <v>725515.75</v>
      </c>
      <c r="E155" s="137">
        <f>'DOE25'!I492</f>
        <v>29580</v>
      </c>
      <c r="F155" s="137">
        <f>'DOE25'!J492</f>
        <v>90375</v>
      </c>
      <c r="G155" s="138">
        <f t="shared" si="0"/>
        <v>1018558.25</v>
      </c>
    </row>
    <row r="156" spans="1:7" x14ac:dyDescent="0.2">
      <c r="A156" s="22" t="s">
        <v>269</v>
      </c>
      <c r="B156" s="137">
        <f>'DOE25'!F493</f>
        <v>546087.5</v>
      </c>
      <c r="C156" s="137">
        <f>'DOE25'!G493</f>
        <v>352000</v>
      </c>
      <c r="D156" s="137">
        <f>'DOE25'!H493</f>
        <v>3343921.26</v>
      </c>
      <c r="E156" s="137">
        <f>'DOE25'!I493</f>
        <v>69580</v>
      </c>
      <c r="F156" s="137">
        <f>'DOE25'!J493</f>
        <v>360375</v>
      </c>
      <c r="G156" s="138">
        <f t="shared" si="0"/>
        <v>4671963.76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C95F-647A-40AA-BE8B-5F1BC9F5D4BC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BEDFORD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10496</v>
      </c>
    </row>
    <row r="5" spans="1:4" x14ac:dyDescent="0.2">
      <c r="B5" t="s">
        <v>735</v>
      </c>
      <c r="C5" s="179">
        <f>IF('DOE25'!G655+'DOE25'!G660=0,0,ROUND('DOE25'!G662,0))</f>
        <v>10802</v>
      </c>
    </row>
    <row r="6" spans="1:4" x14ac:dyDescent="0.2">
      <c r="B6" t="s">
        <v>62</v>
      </c>
      <c r="C6" s="179">
        <f>IF('DOE25'!H655+'DOE25'!H660=0,0,ROUND('DOE25'!H662,0))</f>
        <v>11377</v>
      </c>
    </row>
    <row r="7" spans="1:4" x14ac:dyDescent="0.2">
      <c r="B7" t="s">
        <v>736</v>
      </c>
      <c r="C7" s="179">
        <f>IF('DOE25'!I655+'DOE25'!I660=0,0,ROUND('DOE25'!I662,0))</f>
        <v>10796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23654798</v>
      </c>
      <c r="D10" s="182">
        <f>ROUND((C10/$C$28)*100,1)</f>
        <v>46.1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9068277</v>
      </c>
      <c r="D11" s="182">
        <f>ROUND((C11/$C$28)*100,1)</f>
        <v>17.7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41600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978070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3925525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1570575</v>
      </c>
      <c r="D16" s="182">
        <f t="shared" si="0"/>
        <v>3.1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1211365</v>
      </c>
      <c r="D17" s="182">
        <f t="shared" si="0"/>
        <v>2.4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2993440</v>
      </c>
      <c r="D18" s="182">
        <f t="shared" si="0"/>
        <v>5.8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393246</v>
      </c>
      <c r="D19" s="182">
        <f t="shared" si="0"/>
        <v>0.8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4035351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2358723</v>
      </c>
      <c r="D21" s="182">
        <f t="shared" si="0"/>
        <v>4.5999999999999996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10903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34650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931189</v>
      </c>
      <c r="D25" s="182">
        <f t="shared" si="0"/>
        <v>1.8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153600.03000000003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51361312.030000001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364010</v>
      </c>
    </row>
    <row r="30" spans="1:4" x14ac:dyDescent="0.2">
      <c r="B30" s="187" t="s">
        <v>760</v>
      </c>
      <c r="C30" s="180">
        <f>SUM(C28:C29)</f>
        <v>51725322.030000001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3787013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39935720</v>
      </c>
      <c r="D35" s="182">
        <f t="shared" ref="D35:D40" si="1">ROUND((C35/$C$41)*100,1)</f>
        <v>72.099999999999994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624200.19000000507</v>
      </c>
      <c r="D36" s="182">
        <f t="shared" si="1"/>
        <v>1.1000000000000001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10114760</v>
      </c>
      <c r="D37" s="182">
        <f t="shared" si="1"/>
        <v>18.3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2659009</v>
      </c>
      <c r="D38" s="182">
        <f t="shared" si="1"/>
        <v>4.8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2053105</v>
      </c>
      <c r="D39" s="182">
        <f t="shared" si="1"/>
        <v>3.7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55386794.190000005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7F5B-FAC0-4AB5-98FE-C9F982E4A34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BEDFORD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2010-10-15T19:16:32Z</cp:lastPrinted>
  <dcterms:created xsi:type="dcterms:W3CDTF">1997-12-04T19:04:30Z</dcterms:created>
  <dcterms:modified xsi:type="dcterms:W3CDTF">2025-01-02T14:39:30Z</dcterms:modified>
</cp:coreProperties>
</file>