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C4428188-8B40-4EA5-9C76-9A55817E0399}" xr6:coauthVersionLast="47" xr6:coauthVersionMax="47" xr10:uidLastSave="{00000000-0000-0000-0000-000000000000}"/>
  <workbookProtection workbookPassword="B70A" lockStructure="1"/>
  <bookViews>
    <workbookView xWindow="4185" yWindow="4185" windowWidth="21600" windowHeight="11505" tabRatio="855" xr2:uid="{5F01B71A-F268-4129-B4E0-707ABDF0333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8" i="1" l="1"/>
  <c r="H147" i="1"/>
  <c r="H462" i="1"/>
  <c r="D9" i="13"/>
  <c r="F49" i="1"/>
  <c r="F458" i="1"/>
  <c r="F462" i="1"/>
  <c r="H94" i="1"/>
  <c r="H148" i="1"/>
  <c r="H146" i="1"/>
  <c r="H154" i="1" s="1"/>
  <c r="G41" i="1"/>
  <c r="G43" i="1" s="1"/>
  <c r="G9" i="1"/>
  <c r="J581" i="1"/>
  <c r="I581" i="1"/>
  <c r="H581" i="1"/>
  <c r="G462" i="1"/>
  <c r="H360" i="1"/>
  <c r="G360" i="1"/>
  <c r="F360" i="1"/>
  <c r="I352" i="1"/>
  <c r="I351" i="1"/>
  <c r="L351" i="1" s="1"/>
  <c r="I350" i="1"/>
  <c r="L350" i="1" s="1"/>
  <c r="H311" i="1"/>
  <c r="H320" i="1" s="1"/>
  <c r="I311" i="1"/>
  <c r="H308" i="1"/>
  <c r="H274" i="1"/>
  <c r="H235" i="1"/>
  <c r="H217" i="1"/>
  <c r="H199" i="1"/>
  <c r="H236" i="1"/>
  <c r="I236" i="1"/>
  <c r="I218" i="1"/>
  <c r="H218" i="1"/>
  <c r="I200" i="1"/>
  <c r="H200" i="1"/>
  <c r="H232" i="1"/>
  <c r="H214" i="1"/>
  <c r="H196" i="1"/>
  <c r="B19" i="12"/>
  <c r="C12" i="12"/>
  <c r="H594" i="1"/>
  <c r="J582" i="1"/>
  <c r="I582" i="1"/>
  <c r="H582" i="1"/>
  <c r="I513" i="1"/>
  <c r="G518" i="1"/>
  <c r="F518" i="1"/>
  <c r="L518" i="1" s="1"/>
  <c r="G541" i="1" s="1"/>
  <c r="H513" i="1"/>
  <c r="L513" i="1" s="1"/>
  <c r="F541" i="1" s="1"/>
  <c r="K541" i="1" s="1"/>
  <c r="G513" i="1"/>
  <c r="F513" i="1"/>
  <c r="G533" i="1"/>
  <c r="F533" i="1"/>
  <c r="J518" i="1"/>
  <c r="I518" i="1"/>
  <c r="H518" i="1"/>
  <c r="I512" i="1"/>
  <c r="G512" i="1"/>
  <c r="F512" i="1"/>
  <c r="L512" i="1" s="1"/>
  <c r="F540" i="1" s="1"/>
  <c r="G517" i="1"/>
  <c r="G519" i="1" s="1"/>
  <c r="F517" i="1"/>
  <c r="L517" i="1" s="1"/>
  <c r="G540" i="1" s="1"/>
  <c r="H512" i="1"/>
  <c r="G532" i="1"/>
  <c r="F532" i="1"/>
  <c r="H517" i="1"/>
  <c r="J517" i="1"/>
  <c r="I517" i="1"/>
  <c r="G516" i="1"/>
  <c r="F516" i="1"/>
  <c r="G511" i="1"/>
  <c r="G514" i="1" s="1"/>
  <c r="F511" i="1"/>
  <c r="I511" i="1"/>
  <c r="I514" i="1" s="1"/>
  <c r="I535" i="1" s="1"/>
  <c r="H511" i="1"/>
  <c r="H514" i="1" s="1"/>
  <c r="H535" i="1" s="1"/>
  <c r="G531" i="1"/>
  <c r="F531" i="1"/>
  <c r="H516" i="1"/>
  <c r="J516" i="1"/>
  <c r="I516" i="1"/>
  <c r="H572" i="1"/>
  <c r="F572" i="1"/>
  <c r="I307" i="1"/>
  <c r="J306" i="1"/>
  <c r="J320" i="1" s="1"/>
  <c r="I288" i="1"/>
  <c r="I287" i="1"/>
  <c r="I269" i="1"/>
  <c r="I282" i="1" s="1"/>
  <c r="I268" i="1"/>
  <c r="I226" i="1"/>
  <c r="J225" i="1"/>
  <c r="I208" i="1"/>
  <c r="I207" i="1"/>
  <c r="I190" i="1"/>
  <c r="I189" i="1"/>
  <c r="G236" i="1"/>
  <c r="G235" i="1"/>
  <c r="L235" i="1" s="1"/>
  <c r="G234" i="1"/>
  <c r="L234" i="1" s="1"/>
  <c r="G233" i="1"/>
  <c r="L233" i="1" s="1"/>
  <c r="G232" i="1"/>
  <c r="G239" i="1" s="1"/>
  <c r="G231" i="1"/>
  <c r="G230" i="1"/>
  <c r="G228" i="1"/>
  <c r="G227" i="1"/>
  <c r="G226" i="1"/>
  <c r="G225" i="1"/>
  <c r="G218" i="1"/>
  <c r="G217" i="1"/>
  <c r="G216" i="1"/>
  <c r="G215" i="1"/>
  <c r="G214" i="1"/>
  <c r="G213" i="1"/>
  <c r="G212" i="1"/>
  <c r="G210" i="1"/>
  <c r="G208" i="1"/>
  <c r="G207" i="1"/>
  <c r="G200" i="1"/>
  <c r="G199" i="1"/>
  <c r="G198" i="1"/>
  <c r="G197" i="1"/>
  <c r="G196" i="1"/>
  <c r="G195" i="1"/>
  <c r="L195" i="1" s="1"/>
  <c r="G194" i="1"/>
  <c r="G192" i="1"/>
  <c r="G190" i="1"/>
  <c r="G189" i="1"/>
  <c r="I235" i="1"/>
  <c r="H234" i="1"/>
  <c r="H228" i="1"/>
  <c r="I217" i="1"/>
  <c r="H216" i="1"/>
  <c r="H210" i="1"/>
  <c r="I199" i="1"/>
  <c r="H198" i="1"/>
  <c r="H192" i="1"/>
  <c r="K308" i="1"/>
  <c r="K228" i="1"/>
  <c r="G311" i="1"/>
  <c r="F311" i="1"/>
  <c r="G288" i="1"/>
  <c r="L288" i="1" s="1"/>
  <c r="F288" i="1"/>
  <c r="J287" i="1"/>
  <c r="G292" i="1"/>
  <c r="F292" i="1"/>
  <c r="F301" i="1" s="1"/>
  <c r="G273" i="1"/>
  <c r="F273" i="1"/>
  <c r="F282" i="1" s="1"/>
  <c r="F330" i="1" s="1"/>
  <c r="F344" i="1" s="1"/>
  <c r="G269" i="1"/>
  <c r="F269" i="1"/>
  <c r="K269" i="1"/>
  <c r="K268" i="1"/>
  <c r="H269" i="1"/>
  <c r="J268" i="1"/>
  <c r="H268" i="1"/>
  <c r="K342" i="1"/>
  <c r="J199" i="1"/>
  <c r="F232" i="1"/>
  <c r="F214" i="1"/>
  <c r="L214" i="1" s="1"/>
  <c r="F196" i="1"/>
  <c r="F190" i="1"/>
  <c r="F189" i="1"/>
  <c r="F217" i="1"/>
  <c r="F212" i="1"/>
  <c r="F208" i="1"/>
  <c r="F207" i="1"/>
  <c r="F235" i="1"/>
  <c r="F233" i="1"/>
  <c r="F230" i="1"/>
  <c r="F227" i="1"/>
  <c r="L227" i="1" s="1"/>
  <c r="F225" i="1"/>
  <c r="L225" i="1"/>
  <c r="L236" i="1"/>
  <c r="H652" i="1" s="1"/>
  <c r="F236" i="1"/>
  <c r="K232" i="1"/>
  <c r="G8" i="13" s="1"/>
  <c r="J232" i="1"/>
  <c r="I232" i="1"/>
  <c r="J231" i="1"/>
  <c r="I231" i="1"/>
  <c r="H231" i="1"/>
  <c r="K230" i="1"/>
  <c r="K239" i="1" s="1"/>
  <c r="J230" i="1"/>
  <c r="J239" i="1" s="1"/>
  <c r="I230" i="1"/>
  <c r="I239" i="1" s="1"/>
  <c r="H230" i="1"/>
  <c r="I228" i="1"/>
  <c r="F228" i="1"/>
  <c r="H226" i="1"/>
  <c r="F226" i="1"/>
  <c r="I225" i="1"/>
  <c r="H225" i="1"/>
  <c r="F218" i="1"/>
  <c r="K214" i="1"/>
  <c r="J214" i="1"/>
  <c r="F8" i="13" s="1"/>
  <c r="I214" i="1"/>
  <c r="I221" i="1" s="1"/>
  <c r="H213" i="1"/>
  <c r="H221" i="1" s="1"/>
  <c r="K212" i="1"/>
  <c r="J212" i="1"/>
  <c r="I212" i="1"/>
  <c r="H212" i="1"/>
  <c r="L210" i="1"/>
  <c r="F210" i="1"/>
  <c r="H208" i="1"/>
  <c r="J207" i="1"/>
  <c r="H207" i="1"/>
  <c r="I194" i="1"/>
  <c r="I203" i="1" s="1"/>
  <c r="I249" i="1" s="1"/>
  <c r="I263" i="1" s="1"/>
  <c r="H190" i="1"/>
  <c r="H203" i="1" s="1"/>
  <c r="F200" i="1"/>
  <c r="L200" i="1" s="1"/>
  <c r="F199" i="1"/>
  <c r="L199" i="1" s="1"/>
  <c r="K196" i="1"/>
  <c r="J196" i="1"/>
  <c r="I196" i="1"/>
  <c r="H195" i="1"/>
  <c r="K194" i="1"/>
  <c r="H194" i="1"/>
  <c r="J194" i="1"/>
  <c r="F192" i="1"/>
  <c r="F194" i="1"/>
  <c r="L194" i="1" s="1"/>
  <c r="J189" i="1"/>
  <c r="H189" i="1"/>
  <c r="H151" i="1"/>
  <c r="F94" i="1"/>
  <c r="F96" i="1"/>
  <c r="C60" i="2"/>
  <c r="B2" i="13"/>
  <c r="D39" i="13"/>
  <c r="F13" i="13"/>
  <c r="G13" i="13"/>
  <c r="L198" i="1"/>
  <c r="L216" i="1"/>
  <c r="F16" i="13"/>
  <c r="G16" i="13"/>
  <c r="L201" i="1"/>
  <c r="L219" i="1"/>
  <c r="L237" i="1"/>
  <c r="G5" i="13"/>
  <c r="L191" i="1"/>
  <c r="L207" i="1"/>
  <c r="L208" i="1"/>
  <c r="L209" i="1"/>
  <c r="C103" i="2" s="1"/>
  <c r="L228" i="1"/>
  <c r="F7" i="13"/>
  <c r="G7" i="13"/>
  <c r="F12" i="13"/>
  <c r="G12" i="13"/>
  <c r="L197" i="1"/>
  <c r="C18" i="10" s="1"/>
  <c r="L215" i="1"/>
  <c r="F14" i="13"/>
  <c r="G14" i="13"/>
  <c r="F15" i="13"/>
  <c r="G15" i="13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2" i="1"/>
  <c r="I359" i="1"/>
  <c r="I361" i="1" s="1"/>
  <c r="H624" i="1" s="1"/>
  <c r="J282" i="1"/>
  <c r="J301" i="1"/>
  <c r="K282" i="1"/>
  <c r="K301" i="1"/>
  <c r="L268" i="1"/>
  <c r="L270" i="1"/>
  <c r="L271" i="1"/>
  <c r="L274" i="1"/>
  <c r="L275" i="1"/>
  <c r="E112" i="2" s="1"/>
  <c r="L276" i="1"/>
  <c r="E113" i="2" s="1"/>
  <c r="L277" i="1"/>
  <c r="L278" i="1"/>
  <c r="E115" i="2" s="1"/>
  <c r="L279" i="1"/>
  <c r="L280" i="1"/>
  <c r="E117" i="2" s="1"/>
  <c r="L289" i="1"/>
  <c r="L290" i="1"/>
  <c r="L292" i="1"/>
  <c r="L293" i="1"/>
  <c r="L294" i="1"/>
  <c r="L295" i="1"/>
  <c r="L296" i="1"/>
  <c r="L297" i="1"/>
  <c r="L298" i="1"/>
  <c r="L299" i="1"/>
  <c r="L307" i="1"/>
  <c r="L309" i="1"/>
  <c r="E104" i="2" s="1"/>
  <c r="L312" i="1"/>
  <c r="E111" i="2" s="1"/>
  <c r="L313" i="1"/>
  <c r="L314" i="1"/>
  <c r="L315" i="1"/>
  <c r="L316" i="1"/>
  <c r="L317" i="1"/>
  <c r="L318" i="1"/>
  <c r="L325" i="1"/>
  <c r="L326" i="1"/>
  <c r="E106" i="2" s="1"/>
  <c r="L327" i="1"/>
  <c r="L252" i="1"/>
  <c r="L253" i="1"/>
  <c r="L333" i="1"/>
  <c r="L334" i="1"/>
  <c r="L247" i="1"/>
  <c r="F22" i="13" s="1"/>
  <c r="C22" i="13" s="1"/>
  <c r="L328" i="1"/>
  <c r="C11" i="13"/>
  <c r="C10" i="13"/>
  <c r="C9" i="13"/>
  <c r="L353" i="1"/>
  <c r="B4" i="12"/>
  <c r="B36" i="12"/>
  <c r="B40" i="12"/>
  <c r="C40" i="12"/>
  <c r="C27" i="12"/>
  <c r="B31" i="12"/>
  <c r="C31" i="12"/>
  <c r="B9" i="12"/>
  <c r="A13" i="12" s="1"/>
  <c r="B13" i="12"/>
  <c r="C9" i="12"/>
  <c r="C13" i="12"/>
  <c r="B22" i="12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/>
  <c r="G51" i="2"/>
  <c r="G53" i="2"/>
  <c r="F2" i="11"/>
  <c r="L603" i="1"/>
  <c r="H653" i="1" s="1"/>
  <c r="I653" i="1" s="1"/>
  <c r="L602" i="1"/>
  <c r="G653" i="1"/>
  <c r="L601" i="1"/>
  <c r="L604" i="1" s="1"/>
  <c r="F653" i="1"/>
  <c r="C40" i="10"/>
  <c r="F52" i="1"/>
  <c r="G52" i="1"/>
  <c r="H52" i="1"/>
  <c r="I52" i="1"/>
  <c r="F71" i="1"/>
  <c r="F86" i="1"/>
  <c r="F103" i="1"/>
  <c r="G103" i="1"/>
  <c r="H71" i="1"/>
  <c r="H104" i="1" s="1"/>
  <c r="H86" i="1"/>
  <c r="E50" i="2" s="1"/>
  <c r="H103" i="1"/>
  <c r="I103" i="1"/>
  <c r="I104" i="1" s="1"/>
  <c r="J103" i="1"/>
  <c r="J104" i="1"/>
  <c r="C37" i="10"/>
  <c r="F113" i="1"/>
  <c r="F132" i="1" s="1"/>
  <c r="F128" i="1"/>
  <c r="G113" i="1"/>
  <c r="G128" i="1"/>
  <c r="G132" i="1"/>
  <c r="H113" i="1"/>
  <c r="H128" i="1"/>
  <c r="H132" i="1"/>
  <c r="I113" i="1"/>
  <c r="I128" i="1"/>
  <c r="I132" i="1" s="1"/>
  <c r="I185" i="1" s="1"/>
  <c r="G620" i="1" s="1"/>
  <c r="J620" i="1" s="1"/>
  <c r="J113" i="1"/>
  <c r="J132" i="1" s="1"/>
  <c r="J185" i="1" s="1"/>
  <c r="J128" i="1"/>
  <c r="F139" i="1"/>
  <c r="F154" i="1"/>
  <c r="F161" i="1"/>
  <c r="G139" i="1"/>
  <c r="D77" i="2" s="1"/>
  <c r="D83" i="2" s="1"/>
  <c r="G154" i="1"/>
  <c r="H139" i="1"/>
  <c r="I139" i="1"/>
  <c r="I161" i="1" s="1"/>
  <c r="I154" i="1"/>
  <c r="L242" i="1"/>
  <c r="C105" i="2" s="1"/>
  <c r="L324" i="1"/>
  <c r="E105" i="2" s="1"/>
  <c r="C23" i="10"/>
  <c r="L246" i="1"/>
  <c r="L260" i="1"/>
  <c r="C134" i="2" s="1"/>
  <c r="L261" i="1"/>
  <c r="L341" i="1"/>
  <c r="L342" i="1"/>
  <c r="I655" i="1"/>
  <c r="I660" i="1"/>
  <c r="I659" i="1"/>
  <c r="C42" i="10"/>
  <c r="L366" i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6" i="1"/>
  <c r="L519" i="1" s="1"/>
  <c r="G539" i="1"/>
  <c r="L521" i="1"/>
  <c r="H539" i="1"/>
  <c r="L522" i="1"/>
  <c r="H540" i="1" s="1"/>
  <c r="L523" i="1"/>
  <c r="H541" i="1"/>
  <c r="L526" i="1"/>
  <c r="I539" i="1"/>
  <c r="L527" i="1"/>
  <c r="L529" i="1" s="1"/>
  <c r="I540" i="1"/>
  <c r="L528" i="1"/>
  <c r="I541" i="1"/>
  <c r="L531" i="1"/>
  <c r="J539" i="1"/>
  <c r="L532" i="1"/>
  <c r="J540" i="1" s="1"/>
  <c r="L533" i="1"/>
  <c r="J541" i="1"/>
  <c r="E124" i="2"/>
  <c r="E123" i="2"/>
  <c r="E136" i="2" s="1"/>
  <c r="K262" i="1"/>
  <c r="J262" i="1"/>
  <c r="I262" i="1"/>
  <c r="H262" i="1"/>
  <c r="G262" i="1"/>
  <c r="F262" i="1"/>
  <c r="A1" i="2"/>
  <c r="A2" i="2"/>
  <c r="C9" i="2"/>
  <c r="C19" i="2" s="1"/>
  <c r="E9" i="2"/>
  <c r="E19" i="2" s="1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F19" i="2" s="1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C32" i="2" s="1"/>
  <c r="D23" i="2"/>
  <c r="D32" i="2" s="1"/>
  <c r="E23" i="2"/>
  <c r="E32" i="2" s="1"/>
  <c r="F23" i="2"/>
  <c r="I441" i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E34" i="2"/>
  <c r="F34" i="2"/>
  <c r="C35" i="2"/>
  <c r="D35" i="2"/>
  <c r="E35" i="2"/>
  <c r="F35" i="2"/>
  <c r="C36" i="2"/>
  <c r="D36" i="2"/>
  <c r="E36" i="2"/>
  <c r="E42" i="2" s="1"/>
  <c r="E43" i="2" s="1"/>
  <c r="F36" i="2"/>
  <c r="F42" i="2" s="1"/>
  <c r="I446" i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E40" i="2"/>
  <c r="F40" i="2"/>
  <c r="I449" i="1"/>
  <c r="J41" i="1" s="1"/>
  <c r="G40" i="2" s="1"/>
  <c r="C41" i="2"/>
  <c r="D41" i="2"/>
  <c r="E41" i="2"/>
  <c r="F41" i="2"/>
  <c r="C48" i="2"/>
  <c r="E48" i="2"/>
  <c r="C49" i="2"/>
  <c r="C50" i="2"/>
  <c r="C51" i="2"/>
  <c r="D51" i="2"/>
  <c r="E51" i="2"/>
  <c r="F51" i="2"/>
  <c r="F54" i="2" s="1"/>
  <c r="F55" i="2" s="1"/>
  <c r="D52" i="2"/>
  <c r="D54" i="2" s="1"/>
  <c r="D55" i="2" s="1"/>
  <c r="D96" i="2" s="1"/>
  <c r="C53" i="2"/>
  <c r="C54" i="2" s="1"/>
  <c r="C55" i="2" s="1"/>
  <c r="D53" i="2"/>
  <c r="E53" i="2"/>
  <c r="F53" i="2"/>
  <c r="C58" i="2"/>
  <c r="C59" i="2"/>
  <c r="C61" i="2"/>
  <c r="D61" i="2"/>
  <c r="D62" i="2" s="1"/>
  <c r="D73" i="2" s="1"/>
  <c r="E61" i="2"/>
  <c r="E62" i="2"/>
  <c r="F61" i="2"/>
  <c r="F62" i="2"/>
  <c r="G61" i="2"/>
  <c r="G62" i="2"/>
  <c r="C64" i="2"/>
  <c r="F64" i="2"/>
  <c r="C65" i="2"/>
  <c r="F65" i="2"/>
  <c r="C66" i="2"/>
  <c r="C67" i="2"/>
  <c r="C68" i="2"/>
  <c r="E68" i="2"/>
  <c r="E70" i="2" s="1"/>
  <c r="F68" i="2"/>
  <c r="C69" i="2"/>
  <c r="C70" i="2" s="1"/>
  <c r="C73" i="2" s="1"/>
  <c r="D69" i="2"/>
  <c r="E69" i="2"/>
  <c r="F69" i="2"/>
  <c r="G69" i="2"/>
  <c r="G70" i="2" s="1"/>
  <c r="G73" i="2" s="1"/>
  <c r="D70" i="2"/>
  <c r="C71" i="2"/>
  <c r="D71" i="2"/>
  <c r="E71" i="2"/>
  <c r="C72" i="2"/>
  <c r="E72" i="2"/>
  <c r="C77" i="2"/>
  <c r="F77" i="2"/>
  <c r="C79" i="2"/>
  <c r="E79" i="2"/>
  <c r="F79" i="2"/>
  <c r="C80" i="2"/>
  <c r="D80" i="2"/>
  <c r="E80" i="2"/>
  <c r="F80" i="2"/>
  <c r="F83" i="2" s="1"/>
  <c r="C81" i="2"/>
  <c r="D81" i="2"/>
  <c r="E81" i="2"/>
  <c r="F81" i="2"/>
  <c r="C82" i="2"/>
  <c r="C85" i="2"/>
  <c r="F85" i="2"/>
  <c r="C86" i="2"/>
  <c r="F86" i="2"/>
  <c r="D88" i="2"/>
  <c r="D95" i="2" s="1"/>
  <c r="E88" i="2"/>
  <c r="E95" i="2" s="1"/>
  <c r="F88" i="2"/>
  <c r="F95" i="2" s="1"/>
  <c r="G88" i="2"/>
  <c r="G95" i="2" s="1"/>
  <c r="G96" i="2" s="1"/>
  <c r="C89" i="2"/>
  <c r="D89" i="2"/>
  <c r="E89" i="2"/>
  <c r="F89" i="2"/>
  <c r="G89" i="2"/>
  <c r="C90" i="2"/>
  <c r="D90" i="2"/>
  <c r="E90" i="2"/>
  <c r="G90" i="2"/>
  <c r="C91" i="2"/>
  <c r="C95" i="2" s="1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107" i="2"/>
  <c r="F107" i="2"/>
  <c r="G107" i="2"/>
  <c r="G137" i="2" s="1"/>
  <c r="C113" i="2"/>
  <c r="C117" i="2"/>
  <c r="F120" i="2"/>
  <c r="G120" i="2"/>
  <c r="C122" i="2"/>
  <c r="E122" i="2"/>
  <c r="F122" i="2"/>
  <c r="D126" i="2"/>
  <c r="D136" i="2"/>
  <c r="E126" i="2"/>
  <c r="F126" i="2"/>
  <c r="K411" i="1"/>
  <c r="K419" i="1"/>
  <c r="K425" i="1"/>
  <c r="L255" i="1"/>
  <c r="C127" i="2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 s="1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 s="1"/>
  <c r="G490" i="1"/>
  <c r="C153" i="2"/>
  <c r="H490" i="1"/>
  <c r="K490" i="1" s="1"/>
  <c r="D153" i="2"/>
  <c r="I490" i="1"/>
  <c r="E153" i="2" s="1"/>
  <c r="J490" i="1"/>
  <c r="F153" i="2" s="1"/>
  <c r="B154" i="2"/>
  <c r="C154" i="2"/>
  <c r="D154" i="2"/>
  <c r="E154" i="2"/>
  <c r="F154" i="2"/>
  <c r="B155" i="2"/>
  <c r="C155" i="2"/>
  <c r="D155" i="2"/>
  <c r="E155" i="2"/>
  <c r="F155" i="2"/>
  <c r="F493" i="1"/>
  <c r="B156" i="2" s="1"/>
  <c r="G156" i="2" s="1"/>
  <c r="G493" i="1"/>
  <c r="C156" i="2" s="1"/>
  <c r="H493" i="1"/>
  <c r="D156" i="2" s="1"/>
  <c r="I493" i="1"/>
  <c r="E156" i="2"/>
  <c r="J493" i="1"/>
  <c r="F156" i="2"/>
  <c r="F19" i="1"/>
  <c r="G607" i="1" s="1"/>
  <c r="H19" i="1"/>
  <c r="G609" i="1"/>
  <c r="I19" i="1"/>
  <c r="F33" i="1"/>
  <c r="G33" i="1"/>
  <c r="H33" i="1"/>
  <c r="I33" i="1"/>
  <c r="I44" i="1"/>
  <c r="H610" i="1"/>
  <c r="F43" i="1"/>
  <c r="H43" i="1"/>
  <c r="H44" i="1" s="1"/>
  <c r="H609" i="1" s="1"/>
  <c r="I43" i="1"/>
  <c r="F169" i="1"/>
  <c r="I169" i="1"/>
  <c r="F175" i="1"/>
  <c r="F184" i="1" s="1"/>
  <c r="G175" i="1"/>
  <c r="H175" i="1"/>
  <c r="H184" i="1" s="1"/>
  <c r="I175" i="1"/>
  <c r="J175" i="1"/>
  <c r="F180" i="1"/>
  <c r="G180" i="1"/>
  <c r="G184" i="1"/>
  <c r="H180" i="1"/>
  <c r="I180" i="1"/>
  <c r="I184" i="1"/>
  <c r="K203" i="1"/>
  <c r="J221" i="1"/>
  <c r="F239" i="1"/>
  <c r="F248" i="1"/>
  <c r="G248" i="1"/>
  <c r="H248" i="1"/>
  <c r="I248" i="1"/>
  <c r="J248" i="1"/>
  <c r="K248" i="1"/>
  <c r="L248" i="1" s="1"/>
  <c r="H282" i="1"/>
  <c r="G301" i="1"/>
  <c r="H301" i="1"/>
  <c r="F320" i="1"/>
  <c r="G320" i="1"/>
  <c r="F329" i="1"/>
  <c r="G329" i="1"/>
  <c r="H329" i="1"/>
  <c r="I329" i="1"/>
  <c r="J329" i="1"/>
  <c r="K329" i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L374" i="1" s="1"/>
  <c r="G626" i="1" s="1"/>
  <c r="J626" i="1" s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F426" i="1"/>
  <c r="G411" i="1"/>
  <c r="G426" i="1" s="1"/>
  <c r="H411" i="1"/>
  <c r="H426" i="1" s="1"/>
  <c r="I411" i="1"/>
  <c r="J411" i="1"/>
  <c r="J426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F438" i="1"/>
  <c r="G629" i="1"/>
  <c r="J629" i="1" s="1"/>
  <c r="G438" i="1"/>
  <c r="G630" i="1" s="1"/>
  <c r="H438" i="1"/>
  <c r="G631" i="1" s="1"/>
  <c r="J631" i="1" s="1"/>
  <c r="F444" i="1"/>
  <c r="G444" i="1"/>
  <c r="H444" i="1"/>
  <c r="F450" i="1"/>
  <c r="F451" i="1"/>
  <c r="H629" i="1" s="1"/>
  <c r="G450" i="1"/>
  <c r="H450" i="1"/>
  <c r="H451" i="1"/>
  <c r="H631" i="1"/>
  <c r="G451" i="1"/>
  <c r="H630" i="1" s="1"/>
  <c r="F460" i="1"/>
  <c r="G460" i="1"/>
  <c r="G466" i="1" s="1"/>
  <c r="H613" i="1" s="1"/>
  <c r="H460" i="1"/>
  <c r="I460" i="1"/>
  <c r="J460" i="1"/>
  <c r="F464" i="1"/>
  <c r="G464" i="1"/>
  <c r="H464" i="1"/>
  <c r="H466" i="1" s="1"/>
  <c r="H614" i="1" s="1"/>
  <c r="I464" i="1"/>
  <c r="I466" i="1"/>
  <c r="H615" i="1" s="1"/>
  <c r="J615" i="1" s="1"/>
  <c r="J464" i="1"/>
  <c r="J466" i="1"/>
  <c r="H616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J514" i="1"/>
  <c r="J535" i="1" s="1"/>
  <c r="K514" i="1"/>
  <c r="K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49" i="1"/>
  <c r="L550" i="1" s="1"/>
  <c r="L561" i="1" s="1"/>
  <c r="F550" i="1"/>
  <c r="G550" i="1"/>
  <c r="H550" i="1"/>
  <c r="H561" i="1" s="1"/>
  <c r="I550" i="1"/>
  <c r="J550" i="1"/>
  <c r="K550" i="1"/>
  <c r="L552" i="1"/>
  <c r="L553" i="1"/>
  <c r="L554" i="1"/>
  <c r="L555" i="1" s="1"/>
  <c r="F555" i="1"/>
  <c r="G555" i="1"/>
  <c r="H555" i="1"/>
  <c r="I555" i="1"/>
  <c r="J555" i="1"/>
  <c r="K555" i="1"/>
  <c r="K561" i="1" s="1"/>
  <c r="L557" i="1"/>
  <c r="L558" i="1"/>
  <c r="L559" i="1"/>
  <c r="F560" i="1"/>
  <c r="G560" i="1"/>
  <c r="H560" i="1"/>
  <c r="I560" i="1"/>
  <c r="J560" i="1"/>
  <c r="K560" i="1"/>
  <c r="F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0" i="1"/>
  <c r="J610" i="1" s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G634" i="1"/>
  <c r="G642" i="1"/>
  <c r="H642" i="1"/>
  <c r="J642" i="1"/>
  <c r="G643" i="1"/>
  <c r="H643" i="1"/>
  <c r="J643" i="1"/>
  <c r="G644" i="1"/>
  <c r="H644" i="1"/>
  <c r="J644" i="1"/>
  <c r="G645" i="1"/>
  <c r="H645" i="1"/>
  <c r="J645" i="1" s="1"/>
  <c r="J24" i="1"/>
  <c r="G23" i="2"/>
  <c r="I444" i="1"/>
  <c r="E16" i="13"/>
  <c r="C16" i="13"/>
  <c r="F104" i="1"/>
  <c r="C32" i="10"/>
  <c r="J184" i="1"/>
  <c r="G635" i="1"/>
  <c r="F48" i="2"/>
  <c r="C35" i="10"/>
  <c r="G104" i="1"/>
  <c r="C36" i="10" s="1"/>
  <c r="D48" i="2"/>
  <c r="L560" i="1"/>
  <c r="I561" i="1"/>
  <c r="G561" i="1"/>
  <c r="K426" i="1"/>
  <c r="G126" i="2"/>
  <c r="G136" i="2"/>
  <c r="G152" i="2"/>
  <c r="L393" i="1"/>
  <c r="C131" i="2"/>
  <c r="C29" i="10"/>
  <c r="E116" i="2"/>
  <c r="E114" i="2"/>
  <c r="G161" i="1"/>
  <c r="L217" i="1"/>
  <c r="L231" i="1"/>
  <c r="L226" i="1"/>
  <c r="L218" i="1"/>
  <c r="G640" i="1"/>
  <c r="L196" i="1"/>
  <c r="G151" i="2"/>
  <c r="G150" i="2"/>
  <c r="G54" i="2"/>
  <c r="G55" i="2"/>
  <c r="K588" i="1"/>
  <c r="G637" i="1"/>
  <c r="J542" i="1"/>
  <c r="H542" i="1"/>
  <c r="F466" i="1"/>
  <c r="H612" i="1" s="1"/>
  <c r="J609" i="1"/>
  <c r="C62" i="2"/>
  <c r="C83" i="2"/>
  <c r="F70" i="2"/>
  <c r="G639" i="1"/>
  <c r="J639" i="1"/>
  <c r="G652" i="1"/>
  <c r="D14" i="13"/>
  <c r="C14" i="13" s="1"/>
  <c r="G154" i="2"/>
  <c r="F136" i="2"/>
  <c r="F137" i="2"/>
  <c r="J624" i="1" l="1"/>
  <c r="G22" i="2"/>
  <c r="G32" i="2" s="1"/>
  <c r="J33" i="1"/>
  <c r="F44" i="1"/>
  <c r="H607" i="1" s="1"/>
  <c r="G612" i="1"/>
  <c r="J612" i="1" s="1"/>
  <c r="C96" i="2"/>
  <c r="G542" i="1"/>
  <c r="K320" i="1"/>
  <c r="L308" i="1"/>
  <c r="E103" i="2" s="1"/>
  <c r="G203" i="1"/>
  <c r="C36" i="12"/>
  <c r="A40" i="12" s="1"/>
  <c r="L192" i="1"/>
  <c r="G221" i="1"/>
  <c r="L213" i="1"/>
  <c r="C16" i="10" s="1"/>
  <c r="I330" i="1"/>
  <c r="I344" i="1" s="1"/>
  <c r="I320" i="1"/>
  <c r="L311" i="1"/>
  <c r="G19" i="1"/>
  <c r="G608" i="1" s="1"/>
  <c r="J608" i="1" s="1"/>
  <c r="D9" i="2"/>
  <c r="D19" i="2" s="1"/>
  <c r="C112" i="2"/>
  <c r="G636" i="1"/>
  <c r="G621" i="1"/>
  <c r="J621" i="1" s="1"/>
  <c r="B18" i="12"/>
  <c r="A22" i="12" s="1"/>
  <c r="L190" i="1"/>
  <c r="L269" i="1"/>
  <c r="C18" i="12"/>
  <c r="G282" i="1"/>
  <c r="G330" i="1" s="1"/>
  <c r="G344" i="1" s="1"/>
  <c r="L287" i="1"/>
  <c r="I301" i="1"/>
  <c r="G44" i="1"/>
  <c r="H608" i="1" s="1"/>
  <c r="G613" i="1"/>
  <c r="J613" i="1" s="1"/>
  <c r="C115" i="2"/>
  <c r="C20" i="10"/>
  <c r="L212" i="1"/>
  <c r="D6" i="13" s="1"/>
  <c r="C6" i="13" s="1"/>
  <c r="G6" i="13"/>
  <c r="K221" i="1"/>
  <c r="K249" i="1" s="1"/>
  <c r="K263" i="1" s="1"/>
  <c r="H239" i="1"/>
  <c r="H249" i="1" s="1"/>
  <c r="H263" i="1" s="1"/>
  <c r="L230" i="1"/>
  <c r="L239" i="1"/>
  <c r="H650" i="1" s="1"/>
  <c r="H654" i="1" s="1"/>
  <c r="D7" i="13"/>
  <c r="C7" i="13" s="1"/>
  <c r="C111" i="2"/>
  <c r="L511" i="1"/>
  <c r="K540" i="1"/>
  <c r="D119" i="2"/>
  <c r="D120" i="2" s="1"/>
  <c r="H651" i="1"/>
  <c r="D29" i="13"/>
  <c r="C29" i="13" s="1"/>
  <c r="F651" i="1"/>
  <c r="L354" i="1"/>
  <c r="D137" i="2"/>
  <c r="E73" i="2"/>
  <c r="F32" i="2"/>
  <c r="L385" i="1"/>
  <c r="L343" i="1"/>
  <c r="D15" i="13"/>
  <c r="C15" i="13" s="1"/>
  <c r="C116" i="2"/>
  <c r="H637" i="1"/>
  <c r="J637" i="1" s="1"/>
  <c r="C21" i="10"/>
  <c r="F652" i="1"/>
  <c r="I652" i="1" s="1"/>
  <c r="G535" i="1"/>
  <c r="G651" i="1"/>
  <c r="F73" i="2"/>
  <c r="F96" i="2" s="1"/>
  <c r="F519" i="1"/>
  <c r="L419" i="1"/>
  <c r="L329" i="1"/>
  <c r="I542" i="1"/>
  <c r="J203" i="1"/>
  <c r="J249" i="1" s="1"/>
  <c r="F5" i="13"/>
  <c r="L189" i="1"/>
  <c r="L232" i="1"/>
  <c r="E8" i="13" s="1"/>
  <c r="L426" i="1"/>
  <c r="G628" i="1" s="1"/>
  <c r="J628" i="1" s="1"/>
  <c r="J37" i="1"/>
  <c r="I450" i="1"/>
  <c r="I451" i="1" s="1"/>
  <c r="H632" i="1" s="1"/>
  <c r="G9" i="2"/>
  <c r="G19" i="2" s="1"/>
  <c r="J19" i="1"/>
  <c r="G611" i="1" s="1"/>
  <c r="C25" i="10"/>
  <c r="C124" i="2"/>
  <c r="C15" i="10"/>
  <c r="J630" i="1"/>
  <c r="F43" i="2"/>
  <c r="H161" i="1"/>
  <c r="H185" i="1" s="1"/>
  <c r="G619" i="1" s="1"/>
  <c r="J619" i="1" s="1"/>
  <c r="E77" i="2"/>
  <c r="E83" i="2" s="1"/>
  <c r="H25" i="13"/>
  <c r="J330" i="1"/>
  <c r="J344" i="1" s="1"/>
  <c r="C114" i="2"/>
  <c r="F203" i="1"/>
  <c r="D42" i="2"/>
  <c r="D43" i="2" s="1"/>
  <c r="G641" i="1"/>
  <c r="J641" i="1" s="1"/>
  <c r="H330" i="1"/>
  <c r="H344" i="1" s="1"/>
  <c r="J633" i="1"/>
  <c r="J607" i="1"/>
  <c r="G155" i="2"/>
  <c r="G153" i="2"/>
  <c r="C12" i="10"/>
  <c r="G185" i="1"/>
  <c r="G618" i="1" s="1"/>
  <c r="J618" i="1" s="1"/>
  <c r="L262" i="1"/>
  <c r="C24" i="10"/>
  <c r="C38" i="10"/>
  <c r="F185" i="1"/>
  <c r="G617" i="1" s="1"/>
  <c r="J617" i="1" s="1"/>
  <c r="F31" i="13"/>
  <c r="C19" i="10"/>
  <c r="I438" i="1"/>
  <c r="G632" i="1" s="1"/>
  <c r="G614" i="1"/>
  <c r="J614" i="1" s="1"/>
  <c r="C26" i="10"/>
  <c r="L273" i="1"/>
  <c r="E110" i="2" s="1"/>
  <c r="E120" i="2" s="1"/>
  <c r="C106" i="2"/>
  <c r="C123" i="2"/>
  <c r="L306" i="1"/>
  <c r="L320" i="1" s="1"/>
  <c r="D12" i="13"/>
  <c r="C12" i="13" s="1"/>
  <c r="E13" i="13"/>
  <c r="C13" i="13" s="1"/>
  <c r="B27" i="12"/>
  <c r="A31" i="12" s="1"/>
  <c r="F514" i="1"/>
  <c r="F535" i="1" s="1"/>
  <c r="F221" i="1"/>
  <c r="E49" i="2"/>
  <c r="E54" i="2" s="1"/>
  <c r="E55" i="2" s="1"/>
  <c r="E96" i="2" s="1"/>
  <c r="D40" i="2"/>
  <c r="F6" i="13"/>
  <c r="E33" i="13" l="1"/>
  <c r="D35" i="13" s="1"/>
  <c r="C8" i="13"/>
  <c r="E101" i="2"/>
  <c r="E107" i="2" s="1"/>
  <c r="E137" i="2" s="1"/>
  <c r="L301" i="1"/>
  <c r="L221" i="1"/>
  <c r="C27" i="10"/>
  <c r="G625" i="1"/>
  <c r="J625" i="1" s="1"/>
  <c r="J632" i="1"/>
  <c r="H662" i="1"/>
  <c r="C6" i="10" s="1"/>
  <c r="H657" i="1"/>
  <c r="G31" i="13"/>
  <c r="G33" i="13" s="1"/>
  <c r="K330" i="1"/>
  <c r="K344" i="1" s="1"/>
  <c r="J43" i="1"/>
  <c r="G36" i="2"/>
  <c r="G42" i="2" s="1"/>
  <c r="G43" i="2" s="1"/>
  <c r="I651" i="1"/>
  <c r="L282" i="1"/>
  <c r="E102" i="2"/>
  <c r="C110" i="2"/>
  <c r="C120" i="2" s="1"/>
  <c r="C102" i="2"/>
  <c r="C11" i="10"/>
  <c r="L203" i="1"/>
  <c r="C101" i="2"/>
  <c r="C10" i="10"/>
  <c r="C39" i="10"/>
  <c r="F249" i="1"/>
  <c r="F263" i="1" s="1"/>
  <c r="D5" i="13"/>
  <c r="F33" i="13"/>
  <c r="C136" i="2"/>
  <c r="J263" i="1"/>
  <c r="H638" i="1"/>
  <c r="J638" i="1" s="1"/>
  <c r="F539" i="1"/>
  <c r="L514" i="1"/>
  <c r="L535" i="1" s="1"/>
  <c r="C13" i="10"/>
  <c r="C104" i="2"/>
  <c r="C130" i="2"/>
  <c r="C133" i="2" s="1"/>
  <c r="L400" i="1"/>
  <c r="C17" i="10"/>
  <c r="G249" i="1"/>
  <c r="G263" i="1" s="1"/>
  <c r="C25" i="13"/>
  <c r="H33" i="13"/>
  <c r="G627" i="1" l="1"/>
  <c r="J627" i="1" s="1"/>
  <c r="H636" i="1"/>
  <c r="J636" i="1" s="1"/>
  <c r="C5" i="13"/>
  <c r="D13" i="10"/>
  <c r="G650" i="1"/>
  <c r="G654" i="1" s="1"/>
  <c r="F542" i="1"/>
  <c r="K539" i="1"/>
  <c r="K542" i="1" s="1"/>
  <c r="C107" i="2"/>
  <c r="C137" i="2" s="1"/>
  <c r="D31" i="13"/>
  <c r="C31" i="13" s="1"/>
  <c r="L330" i="1"/>
  <c r="L344" i="1" s="1"/>
  <c r="G623" i="1" s="1"/>
  <c r="J623" i="1" s="1"/>
  <c r="F650" i="1"/>
  <c r="L249" i="1"/>
  <c r="L263" i="1" s="1"/>
  <c r="G622" i="1" s="1"/>
  <c r="J622" i="1" s="1"/>
  <c r="J44" i="1"/>
  <c r="H611" i="1" s="1"/>
  <c r="J611" i="1" s="1"/>
  <c r="G616" i="1"/>
  <c r="C41" i="10"/>
  <c r="C28" i="10"/>
  <c r="D10" i="10"/>
  <c r="D11" i="10"/>
  <c r="G657" i="1" l="1"/>
  <c r="G662" i="1"/>
  <c r="C5" i="10" s="1"/>
  <c r="C30" i="10"/>
  <c r="D22" i="10"/>
  <c r="D23" i="10"/>
  <c r="D18" i="10"/>
  <c r="D25" i="10"/>
  <c r="D16" i="10"/>
  <c r="D12" i="10"/>
  <c r="D28" i="10" s="1"/>
  <c r="D24" i="10"/>
  <c r="D15" i="10"/>
  <c r="D19" i="10"/>
  <c r="D20" i="10"/>
  <c r="D21" i="10"/>
  <c r="D26" i="10"/>
  <c r="D37" i="10"/>
  <c r="D35" i="10"/>
  <c r="D36" i="10"/>
  <c r="D40" i="10"/>
  <c r="D38" i="10"/>
  <c r="D27" i="10"/>
  <c r="J616" i="1"/>
  <c r="H646" i="1"/>
  <c r="D39" i="10"/>
  <c r="D17" i="10"/>
  <c r="F654" i="1"/>
  <c r="I650" i="1"/>
  <c r="I654" i="1" s="1"/>
  <c r="D33" i="13"/>
  <c r="D36" i="13" s="1"/>
  <c r="I657" i="1" l="1"/>
  <c r="I662" i="1"/>
  <c r="C7" i="10" s="1"/>
  <c r="D41" i="10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1159D93-D974-4491-A1D3-F87D7D889B64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4AE2460-23BE-427F-B8AD-4A1EC26BC7A6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8036B11-9EAE-4F34-A4E2-7751DB9B8776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DD7623E-3660-49BF-9A5F-3E5B8698493B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AA8F51FC-2774-4E85-BD28-2290CB2831D7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29F389F-7D57-4CC0-91D2-66EAF6019C7C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E05A3F20-0286-42AB-A946-27DF02402181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C801ACED-94CA-4543-A340-1D745CF25D1E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7309D918-2B79-4560-AB79-EF697C833638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0CCDAF28-2DF1-463E-8470-08D481B112C7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1C2BFCF7-9FDD-4210-9A80-D2107A3F1359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AC98DBC-2255-43CD-82F5-B9282DC92360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<sst xmlns="http://schemas.openxmlformats.org/spreadsheetml/2006/main" count="3868" uniqueCount="903">
  <si>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</si>
  <si>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</si>
  <si>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</si>
  <si>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</si>
  <si>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</si>
  <si>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</si>
  <si>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</si>
  <si>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</si>
  <si>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</si>
  <si>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</si>
  <si>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</si>
  <si>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</si>
  <si>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</si>
  <si>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</si>
  <si>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</si>
  <si>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</si>
  <si>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</si>
  <si>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</si>
  <si>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</si>
  <si>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</si>
  <si>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</si>
  <si>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</si>
  <si>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</si>
  <si>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</si>
  <si>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</si>
  <si>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</si>
  <si>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</si>
  <si>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</si>
  <si>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</si>
  <si>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</si>
  <si>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</si>
  <si>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</si>
  <si>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</si>
  <si>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</si>
  <si>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</si>
  <si>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</si>
  <si>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</si>
  <si>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</si>
  <si>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</si>
  <si>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</si>
  <si>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</si>
  <si>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</si>
  <si>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</si>
  <si>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</si>
  <si>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</si>
  <si>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</si>
  <si>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</si>
  <si>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</si>
  <si>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</si>
  <si>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</si>
  <si>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</si>
  <si>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</si>
  <si>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</si>
  <si>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</si>
  <si>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</si>
  <si>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</si>
  <si>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</si>
  <si>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</si>
  <si>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</si>
  <si>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</si>
  <si>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</si>
  <si>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</si>
  <si>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</si>
  <si>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</si>
  <si>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</si>
  <si>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</si>
  <si>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</si>
  <si>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</si>
  <si>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</si>
  <si>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</si>
  <si>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</si>
  <si>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</si>
  <si>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</si>
  <si>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</si>
  <si>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</si>
  <si>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</si>
  <si>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</si>
  <si>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</si>
  <si>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</si>
  <si>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</si>
  <si>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</si>
  <si>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</si>
  <si>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</si>
  <si>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</si>
  <si>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</si>
  <si>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</si>
  <si>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</si>
  <si>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</si>
  <si>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</si>
  <si>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</si>
  <si>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</si>
  <si>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</si>
  <si>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</si>
  <si>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</si>
  <si>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</si>
  <si>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</si>
  <si>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</si>
  <si>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</si>
  <si>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</si>
  <si>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</si>
  <si>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</si>
  <si>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</si>
  <si>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</si>
  <si>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</si>
  <si>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</si>
  <si>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</si>
  <si>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</si>
  <si>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</si>
  <si>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</si>
  <si>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</si>
  <si>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</si>
  <si>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</si>
  <si>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</si>
  <si>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</si>
  <si>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</si>
  <si>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</si>
  <si>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</si>
  <si>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</si>
  <si>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</si>
  <si>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</si>
  <si>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</si>
  <si>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</si>
  <si>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</si>
  <si>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</si>
  <si>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</si>
  <si>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</si>
  <si>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</si>
  <si>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</si>
  <si>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</si>
  <si>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</si>
  <si>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</si>
  <si>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</si>
  <si>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</si>
  <si>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</si>
  <si>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</si>
  <si>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</si>
  <si>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</si>
  <si>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</si>
  <si>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</si>
  <si>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</si>
  <si>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</si>
  <si>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</si>
  <si>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</si>
  <si>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</si>
  <si>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</si>
  <si>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</si>
  <si>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</si>
  <si>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</si>
  <si>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</si>
  <si>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</si>
  <si>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</si>
  <si>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</si>
  <si>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</si>
  <si>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</si>
  <si>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</si>
  <si>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</si>
  <si>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</si>
  <si>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</si>
  <si>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</si>
  <si>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</si>
  <si>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</si>
  <si>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</si>
  <si>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</si>
  <si>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</si>
  <si>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</si>
  <si>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</si>
  <si>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</si>
  <si>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</si>
  <si>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</si>
  <si>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</si>
  <si>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</si>
  <si>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</si>
  <si>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</si>
  <si>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</si>
  <si>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</si>
  <si>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</si>
  <si>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</si>
  <si>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</si>
  <si>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</si>
  <si>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</si>
  <si>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</si>
  <si>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</si>
  <si>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</si>
  <si>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</si>
  <si>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</si>
  <si>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</si>
  <si>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</si>
  <si>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</si>
  <si>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</si>
  <si>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</si>
  <si>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</si>
  <si>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</si>
  <si>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</si>
  <si>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</si>
  <si>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</si>
  <si>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</si>
  <si>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</si>
  <si>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</si>
  <si>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</si>
  <si>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</si>
  <si>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</si>
  <si>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</si>
  <si>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</si>
  <si>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</si>
  <si>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</si>
  <si>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</si>
  <si>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</si>
  <si>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</si>
  <si>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</si>
  <si>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</si>
  <si>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</si>
  <si>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</si>
  <si>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</si>
  <si>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</si>
  <si>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</si>
  <si>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</si>
  <si>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</si>
  <si>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</si>
  <si>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</si>
  <si>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</si>
  <si>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</si>
  <si>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</si>
  <si>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</si>
  <si>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</si>
  <si>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</si>
  <si>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</si>
  <si>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</si>
  <si>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</si>
  <si>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</si>
  <si>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</si>
  <si>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</si>
  <si>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</si>
  <si>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</si>
  <si>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</si>
  <si>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</si>
  <si>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</si>
  <si>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</si>
  <si>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</si>
  <si>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</si>
  <si>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</si>
  <si>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</si>
  <si>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</si>
  <si>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</si>
  <si>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</si>
  <si>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</si>
  <si>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</si>
  <si>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</si>
  <si>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</si>
  <si>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</si>
  <si>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</si>
  <si>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</si>
  <si>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</si>
  <si>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</si>
  <si>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</si>
  <si>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</si>
  <si>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</si>
  <si>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</si>
  <si>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</si>
  <si>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</si>
  <si>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</si>
  <si>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</si>
  <si>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</si>
  <si>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</si>
  <si>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</si>
  <si>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</si>
  <si>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</si>
  <si>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</si>
  <si>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</si>
  <si>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</si>
  <si>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</si>
  <si>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</si>
  <si>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</si>
  <si>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</si>
  <si>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</si>
  <si>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</si>
  <si>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</si>
  <si>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</si>
  <si>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</si>
  <si>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</si>
  <si>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</si>
  <si>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</si>
  <si>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</si>
  <si>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</si>
  <si>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</si>
  <si>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</si>
  <si>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</si>
  <si>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</si>
  <si>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</si>
  <si>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</si>
  <si>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</si>
  <si>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</si>
  <si>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</si>
  <si>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</si>
  <si>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</si>
  <si>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</si>
  <si>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</si>
  <si>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</si>
  <si>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</si>
  <si>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</si>
  <si>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</si>
  <si>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</si>
  <si>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</si>
  <si>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</si>
  <si>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</si>
  <si>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</si>
  <si>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</si>
  <si>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</si>
  <si>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</si>
  <si>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</si>
  <si>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</si>
  <si>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</si>
  <si>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</si>
  <si>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</si>
  <si>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</si>
  <si>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</si>
  <si>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</si>
  <si>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</si>
  <si>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</si>
  <si>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</si>
  <si>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</si>
  <si>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</si>
  <si>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</si>
  <si>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</si>
  <si>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</si>
  <si>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</si>
  <si>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</si>
  <si>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</si>
  <si>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</si>
  <si>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</si>
  <si>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</si>
  <si>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</si>
  <si>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</si>
  <si>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</si>
  <si>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</si>
  <si>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</si>
  <si>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</si>
  <si>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</si>
  <si>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</si>
  <si>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</si>
  <si>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</si>
  <si>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</si>
  <si>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</si>
  <si>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</si>
  <si>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</si>
  <si>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</si>
  <si>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</si>
  <si>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</si>
  <si>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</si>
  <si>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</si>
  <si>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</si>
  <si>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</si>
  <si>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</si>
  <si>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</si>
  <si>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</si>
  <si>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</si>
  <si>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</si>
  <si>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</si>
  <si>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</si>
  <si>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</si>
  <si>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</si>
  <si>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</si>
  <si>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</si>
  <si>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</si>
  <si>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</si>
  <si>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</si>
  <si>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</si>
  <si>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</si>
  <si>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</si>
  <si>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</si>
  <si>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</si>
  <si>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</si>
  <si>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</si>
  <si>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</si>
  <si>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</si>
  <si>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</si>
  <si>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</si>
  <si>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</si>
  <si>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</si>
  <si>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</si>
  <si>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</si>
  <si>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</si>
  <si>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</si>
  <si>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</si>
  <si>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</si>
  <si>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</si>
  <si>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</si>
  <si>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</si>
  <si>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</si>
  <si>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</si>
  <si>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</si>
  <si>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</si>
  <si>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</si>
  <si>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</si>
  <si>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</si>
  <si>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</si>
  <si>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</si>
  <si>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</si>
  <si>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</si>
  <si>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</si>
  <si>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</si>
  <si>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</si>
  <si>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</si>
  <si>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</si>
  <si>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</si>
  <si>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</si>
  <si>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</si>
  <si>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</si>
  <si>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</si>
  <si>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</si>
  <si>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</si>
  <si>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</si>
  <si>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</si>
  <si>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</si>
  <si>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</si>
  <si>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</si>
  <si>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</si>
  <si>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</si>
  <si>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</si>
  <si>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</si>
  <si>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</si>
  <si>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</si>
  <si>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</si>
  <si>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</si>
  <si>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</si>
  <si>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</si>
  <si>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</si>
  <si>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</si>
  <si>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</si>
  <si>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</si>
  <si>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</si>
  <si>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</si>
  <si>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</si>
  <si>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</si>
  <si>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</si>
  <si>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</si>
  <si>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</si>
  <si>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</si>
  <si>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</si>
  <si>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</si>
  <si>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</si>
  <si>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</si>
  <si>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</si>
  <si>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</si>
  <si>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</si>
  <si>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</si>
  <si>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</si>
  <si>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</si>
  <si>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</si>
  <si>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</si>
  <si>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</si>
  <si>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</si>
  <si>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</si>
  <si>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</si>
  <si>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</si>
  <si>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</si>
  <si>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</si>
  <si>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</si>
  <si>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</si>
  <si>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</si>
  <si>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</si>
  <si>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</si>
  <si>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</si>
  <si>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</si>
  <si>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</si>
  <si>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</si>
  <si>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</si>
  <si>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</si>
  <si>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</si>
  <si>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</si>
  <si>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</si>
  <si>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</si>
  <si>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</si>
  <si>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</si>
  <si>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</si>
  <si>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</si>
  <si>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</si>
  <si>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</si>
  <si>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</si>
  <si>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</si>
  <si>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</si>
  <si>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</si>
  <si>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</si>
  <si>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</si>
  <si>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</si>
  <si>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</si>
  <si>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</si>
  <si>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</si>
  <si>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</si>
  <si>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</si>
  <si>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</si>
  <si>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</si>
  <si>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</si>
  <si>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</si>
  <si>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</si>
  <si>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</si>
  <si>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</si>
  <si>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</si>
  <si>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</si>
  <si>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</si>
  <si>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</si>
  <si>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</si>
  <si>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</si>
  <si>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</si>
  <si>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</si>
  <si>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</si>
  <si>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</si>
  <si>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</si>
  <si>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</si>
  <si>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</si>
  <si>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</si>
  <si>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</si>
  <si>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</si>
  <si>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</si>
  <si>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</si>
  <si>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</si>
  <si>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</si>
  <si>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</si>
  <si>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</si>
  <si>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</si>
  <si>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</si>
  <si>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</si>
  <si>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</si>
  <si>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</si>
  <si>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</si>
  <si>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</si>
  <si>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</si>
  <si>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</si>
  <si>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</si>
  <si>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</si>
  <si>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</si>
  <si>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</si>
  <si>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</si>
  <si>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</si>
  <si>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</si>
  <si>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</si>
  <si>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</si>
  <si>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</si>
  <si>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</si>
  <si>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</si>
  <si>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</si>
  <si>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</si>
  <si>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</si>
  <si>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</si>
  <si>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</si>
  <si>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</si>
  <si>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</si>
  <si>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</si>
  <si>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</si>
  <si>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</si>
  <si>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</si>
  <si>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</si>
  <si>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</si>
  <si>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</si>
  <si>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</si>
  <si>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</si>
  <si>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</si>
  <si>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</si>
  <si>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</si>
  <si>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</si>
  <si>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</si>
  <si>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</si>
  <si>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</si>
  <si>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</si>
  <si>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</si>
  <si>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</si>
  <si>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</si>
  <si>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</si>
  <si>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</si>
  <si>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</si>
  <si>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</si>
  <si>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</si>
  <si>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</si>
  <si>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</si>
  <si>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</si>
  <si>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</si>
  <si>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</si>
  <si>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</si>
  <si>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</si>
  <si>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</si>
  <si>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</si>
  <si>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</si>
  <si>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</si>
  <si>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</si>
  <si>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</si>
  <si>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</si>
  <si>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</si>
  <si>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</si>
  <si>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</si>
  <si>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</si>
  <si>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</si>
  <si>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</si>
  <si>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</si>
  <si>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</si>
  <si>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</si>
  <si>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</si>
  <si>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</si>
  <si>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</si>
  <si>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</si>
  <si>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</si>
  <si>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</si>
  <si>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</si>
  <si>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</si>
  <si>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</si>
  <si>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</si>
  <si>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</si>
  <si>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</si>
  <si>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</si>
  <si>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</si>
  <si>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</si>
  <si>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</si>
  <si>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</si>
  <si>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</si>
  <si>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</si>
  <si>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</si>
  <si>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</si>
  <si>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</si>
  <si>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</si>
  <si>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</si>
  <si>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</si>
  <si>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</si>
  <si>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</si>
  <si>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</si>
  <si>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</si>
  <si>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</si>
  <si>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</si>
  <si>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</si>
  <si>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</si>
  <si>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</si>
  <si>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</si>
  <si>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</si>
  <si>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</si>
  <si>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</si>
  <si>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</si>
  <si>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</si>
  <si>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</si>
  <si>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</si>
  <si>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</si>
  <si>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</si>
  <si>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</si>
  <si>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</si>
  <si>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</si>
  <si>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</si>
  <si>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</si>
  <si>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</si>
  <si>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</si>
  <si>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</si>
  <si>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</si>
  <si>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</si>
  <si>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</si>
  <si>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</si>
  <si>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</si>
  <si>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</si>
  <si>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</si>
  <si>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</si>
  <si>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</si>
  <si>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</si>
  <si>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</si>
  <si>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</si>
  <si>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</si>
  <si>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</si>
  <si>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</si>
  <si>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</si>
  <si>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</si>
  <si>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</si>
  <si>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</si>
  <si>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</si>
  <si>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</si>
  <si>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</si>
  <si>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</si>
  <si>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</si>
  <si>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</si>
  <si>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</si>
  <si>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</si>
  <si>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</si>
  <si>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</si>
  <si>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</si>
  <si>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</si>
  <si>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</si>
  <si>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</si>
  <si>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</si>
  <si>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</si>
  <si>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</si>
  <si>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</si>
  <si>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</si>
  <si>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</si>
  <si>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</si>
  <si>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</si>
  <si>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</si>
  <si>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</si>
  <si>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</si>
  <si>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</si>
  <si>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</si>
  <si>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</si>
  <si>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</si>
  <si>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</si>
  <si>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</si>
  <si>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</si>
  <si>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</si>
  <si>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</si>
  <si>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</si>
  <si>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</si>
  <si>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</si>
  <si>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</si>
  <si>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</si>
  <si>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</si>
  <si>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</si>
  <si>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</si>
  <si>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</si>
  <si>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</si>
  <si>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</si>
  <si>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</si>
  <si>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</si>
  <si>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</si>
  <si>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</si>
  <si>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</si>
  <si>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</si>
  <si>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</si>
  <si>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</si>
  <si>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</si>
  <si>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</si>
  <si>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</si>
  <si>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</si>
  <si>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</si>
  <si>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</si>
  <si>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</si>
  <si>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</si>
  <si>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</si>
  <si>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</si>
  <si>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</si>
  <si>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</si>
  <si>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</si>
  <si>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</si>
  <si>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</si>
  <si>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</si>
  <si>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</si>
  <si>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</si>
  <si>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</si>
  <si>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</si>
  <si>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</si>
  <si>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</si>
  <si>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</si>
  <si>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</si>
  <si>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</si>
  <si>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</si>
  <si>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</si>
  <si>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</si>
  <si>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</si>
  <si>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</si>
  <si>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</si>
  <si>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</si>
  <si>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</si>
  <si>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</si>
  <si>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</si>
  <si>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</si>
  <si>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</si>
  <si>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</si>
  <si>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</si>
  <si>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</si>
  <si>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</si>
  <si>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</si>
  <si>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</si>
  <si>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</si>
  <si>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</si>
  <si>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</si>
  <si>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</si>
  <si>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</si>
  <si>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</si>
  <si>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</si>
  <si>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</si>
  <si>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</si>
  <si>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</si>
  <si>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</si>
  <si>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</si>
  <si>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</si>
  <si>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</si>
  <si>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</si>
  <si>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</si>
  <si>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</si>
  <si>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</si>
  <si>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</si>
  <si>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</si>
  <si>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</si>
  <si>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</si>
  <si>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</si>
  <si>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</si>
  <si>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</si>
  <si>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</si>
  <si>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</si>
  <si>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</si>
  <si>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</si>
  <si>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</si>
  <si>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</si>
  <si>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</si>
  <si>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</si>
  <si>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</si>
  <si>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</si>
  <si>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</si>
  <si>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</si>
  <si>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</si>
  <si>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</si>
  <si>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</si>
  <si>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</si>
  <si>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</si>
  <si>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</si>
  <si>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</si>
  <si>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</si>
  <si>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</si>
  <si>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</si>
  <si>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</si>
  <si>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</si>
  <si>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</si>
  <si>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</si>
  <si>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</si>
  <si>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</si>
  <si>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</si>
  <si>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</si>
  <si>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</si>
  <si>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</si>
  <si>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</si>
  <si>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</si>
  <si>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</si>
  <si>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</si>
  <si>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</si>
  <si>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</si>
  <si>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</si>
  <si>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</si>
  <si>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</si>
  <si>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</si>
  <si>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</si>
  <si>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</si>
  <si>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</si>
  <si>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</si>
  <si>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</si>
  <si>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</si>
  <si>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</si>
  <si>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</si>
  <si>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</si>
  <si>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</si>
  <si>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</si>
  <si>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</si>
  <si>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</si>
  <si>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</si>
  <si>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</si>
  <si>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</si>
  <si>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</si>
  <si>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</si>
  <si>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</si>
  <si>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</si>
  <si>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</si>
  <si>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</si>
  <si>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</si>
  <si>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</si>
  <si>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</si>
  <si>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</si>
  <si>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</si>
  <si>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</si>
  <si>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</si>
  <si>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</si>
  <si>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</si>
  <si>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</si>
  <si>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</si>
  <si>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</si>
  <si>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</si>
  <si>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</si>
  <si>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</si>
  <si>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</si>
  <si>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</si>
  <si>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</si>
  <si>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</si>
  <si>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</si>
  <si>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</si>
  <si>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</si>
  <si>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</si>
  <si>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</si>
  <si>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</si>
  <si>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</si>
  <si>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</si>
  <si>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</si>
  <si>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</si>
  <si>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</si>
  <si>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</si>
  <si>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</si>
  <si>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</si>
  <si>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</si>
  <si>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</si>
  <si>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</si>
  <si>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</si>
  <si>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</si>
  <si>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</si>
  <si>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</si>
  <si>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</si>
  <si>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</si>
  <si>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</si>
  <si>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</si>
  <si>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State Building aid different from state rev's partial listing.  Amount reduced due to Dummer pulling out of AREA.  Dummer pd difference</t>
  </si>
  <si>
    <t>ARRA funds to purchase cafeteria equipment.  Also reported expenditure under equipment for food svcs.</t>
  </si>
  <si>
    <t>12/97</t>
  </si>
  <si>
    <t>07/06</t>
  </si>
  <si>
    <t>01/13</t>
  </si>
  <si>
    <t>07/16</t>
  </si>
  <si>
    <t>see notes pg</t>
  </si>
  <si>
    <t xml:space="preserve">Principal adjusted by lease company due to difference in date of acceptance and issue date 31,871.12 </t>
  </si>
  <si>
    <t>Berlin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</si>
</sst>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  <protection locked="0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774D-11D4-4C12-A7DB-4F03FA89FF2D}">
  <sheetPr transitionEvaluation="1" transitionEntry="1" codeName="Sheet1">
    <tabColor indexed="56"/>
  </sheetPr>
  <dimension ref="A1:AQ666"/>
  <sheetViews>
    <sheetView tabSelected="1" zoomScale="88" zoomScaleNormal="88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59" sqref="H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51</v>
      </c>
      <c r="C2" s="21">
        <v>51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/>
      <c r="G9" s="18">
        <f>118598.35-255</f>
        <v>118343.35</v>
      </c>
      <c r="H9" s="18">
        <v>17528.12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0</v>
      </c>
      <c r="G19" s="41">
        <f>SUM(G9:G18)</f>
        <v>118343.35</v>
      </c>
      <c r="H19" s="41">
        <f>SUM(H9:H18)</f>
        <v>17528.12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118598.35-255</f>
        <v>118343.35</v>
      </c>
      <c r="H41" s="18">
        <v>17528.12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118343.35</v>
      </c>
      <c r="H43" s="41">
        <f>SUM(H35:H42)</f>
        <v>17528.12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0</v>
      </c>
      <c r="G44" s="41">
        <f>G43+G33</f>
        <v>118343.35</v>
      </c>
      <c r="H44" s="41">
        <f>H43+H33</f>
        <v>17528.12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2633286.95+453+9.43</f>
        <v>2633749.3800000004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2633749.3800000004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1397173.71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14353.24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1411526.95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4852.75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4852.75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214156.85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200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f>50</f>
        <v>50</v>
      </c>
      <c r="G94" s="18"/>
      <c r="H94" s="18">
        <f>53800+5350+6375+1300+1000</f>
        <v>67825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f>22.86</f>
        <v>22.86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17425.16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77461.33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95159.35</v>
      </c>
      <c r="G103" s="41">
        <f>SUM(G88:G102)</f>
        <v>214156.85</v>
      </c>
      <c r="H103" s="41">
        <f>SUM(H88:H102)</f>
        <v>67825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4145288.43</v>
      </c>
      <c r="G104" s="41">
        <f>G52+G103</f>
        <v>214156.85</v>
      </c>
      <c r="H104" s="41">
        <f>H52+H71+H86+H103</f>
        <v>67825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7763454.0599999996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835738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2978595.94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11577787.999999998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345786.78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77837.149999999994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35876.769999999997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10636.19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18000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459500.70000000007</v>
      </c>
      <c r="G128" s="41">
        <f>SUM(G115:G127)</f>
        <v>10636.19</v>
      </c>
      <c r="H128" s="41">
        <f>SUM(H115:H127)</f>
        <v>18000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12037288.699999997</v>
      </c>
      <c r="G132" s="41">
        <f>G113+SUM(G128:G129)</f>
        <v>10636.19</v>
      </c>
      <c r="H132" s="41">
        <f>H113+SUM(H128:H131)</f>
        <v>18000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111770.19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25421.86+683894.4+289438.9+3466.67+300+6316.5</f>
        <v>1008838.3300000001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170285.92+242639.2+13152+44040.2+33602.4+1.18</f>
        <v>503720.9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67754.78+360</f>
        <v>68114.78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387770.7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11231.75+347823.25+5538.47+189654.94+5169.31</f>
        <v>559417.72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181523.82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29964.49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181523.82</v>
      </c>
      <c r="G154" s="41">
        <f>SUM(G142:G153)</f>
        <v>417735.19</v>
      </c>
      <c r="H154" s="41">
        <f>SUM(H142:H153)</f>
        <v>2251861.92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19118.509999999998</v>
      </c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28232.84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228875.17</v>
      </c>
      <c r="G161" s="41">
        <f>G139+G154+SUM(G155:G160)</f>
        <v>417735.19</v>
      </c>
      <c r="H161" s="41">
        <f>H139+H154+SUM(H155:H160)</f>
        <v>2251861.92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16411452.299999997</v>
      </c>
      <c r="G185" s="47">
        <f>G104+G132+G161+G184</f>
        <v>642528.23</v>
      </c>
      <c r="H185" s="47">
        <f>H104+H132+H161+H184</f>
        <v>2337686.92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8869.84+1850916.08+41690</f>
        <v>1901475.9200000002</v>
      </c>
      <c r="G189" s="18">
        <f>17832.84+594356.72+4810.07</f>
        <v>616999.62999999989</v>
      </c>
      <c r="H189" s="18">
        <f>26373.57+3434.8</f>
        <v>29808.37</v>
      </c>
      <c r="I189" s="18">
        <f>791.18+85483.09+4603.34</f>
        <v>90877.609999999986</v>
      </c>
      <c r="J189" s="18">
        <f>4533.58+1608.66</f>
        <v>6142.24</v>
      </c>
      <c r="K189" s="18"/>
      <c r="L189" s="19">
        <f>SUM(F189:K189)</f>
        <v>2645303.77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30470.54+15332.42+656024.4+15483.89+4169</f>
        <v>721480.25</v>
      </c>
      <c r="G190" s="18">
        <f>1173.07+4031.92+125251.64+1184.56+1825.09</f>
        <v>133466.28</v>
      </c>
      <c r="H190" s="18">
        <f>871.03+209229.47+14771.87</f>
        <v>224872.37</v>
      </c>
      <c r="I190" s="18">
        <f>283.87+1975.92+1571.12+2923.36</f>
        <v>6754.27</v>
      </c>
      <c r="J190" s="18"/>
      <c r="K190" s="18"/>
      <c r="L190" s="19">
        <f>SUM(F190:K190)</f>
        <v>1086573.17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15303.42+24479</f>
        <v>39782.42</v>
      </c>
      <c r="G192" s="18">
        <f>1554.49+2652.67+100.64</f>
        <v>4307.8</v>
      </c>
      <c r="H192" s="18">
        <f>504+4723.5</f>
        <v>5227.5</v>
      </c>
      <c r="I192" s="18">
        <v>348.92</v>
      </c>
      <c r="J192" s="18"/>
      <c r="K192" s="18">
        <v>150</v>
      </c>
      <c r="L192" s="19">
        <f>SUM(F192:K192)</f>
        <v>49816.639999999999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767.6+154964.59+104920+74371.12</f>
        <v>335023.31</v>
      </c>
      <c r="G194" s="18">
        <f>36470.82+35837.79+64.98+34456.43+847.49</f>
        <v>107677.51</v>
      </c>
      <c r="H194" s="18">
        <f>51.68+829.67+120+539+132219.61+2377.19</f>
        <v>136137.15</v>
      </c>
      <c r="I194" s="18">
        <f>3281.95+1293.92+494.62+968.96</f>
        <v>6039.45</v>
      </c>
      <c r="J194" s="18">
        <f>674.88+696.82</f>
        <v>1371.7</v>
      </c>
      <c r="K194" s="18">
        <f>67.64+155</f>
        <v>222.64</v>
      </c>
      <c r="L194" s="19">
        <f t="shared" ref="L194:L200" si="0">SUM(F194:K194)</f>
        <v>586471.75999999989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74762.59</v>
      </c>
      <c r="G195" s="18">
        <f>26363.76+18249.45+189.12</f>
        <v>44802.33</v>
      </c>
      <c r="H195" s="18">
        <f>3456.3+260</f>
        <v>3716.3</v>
      </c>
      <c r="I195" s="18">
        <v>4818.45</v>
      </c>
      <c r="J195" s="18"/>
      <c r="K195" s="18">
        <v>540</v>
      </c>
      <c r="L195" s="19">
        <f t="shared" si="0"/>
        <v>128639.67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65103.97+46037.81+4085.62</f>
        <v>115227.4</v>
      </c>
      <c r="G196" s="18">
        <f>24638.32+9621.71+291.48</f>
        <v>34551.51</v>
      </c>
      <c r="H196" s="18">
        <f>4839.38+11368.21+2810.94+29532.92+20.21</f>
        <v>48571.659999999996</v>
      </c>
      <c r="I196" s="18">
        <f>3.52+1478.68+2114.97</f>
        <v>3597.17</v>
      </c>
      <c r="J196" s="18">
        <f>537.2+50.35</f>
        <v>587.55000000000007</v>
      </c>
      <c r="K196" s="18">
        <f>7747.74+562.37+202.83</f>
        <v>8512.94</v>
      </c>
      <c r="L196" s="19">
        <f t="shared" si="0"/>
        <v>211048.23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187756.55</v>
      </c>
      <c r="G197" s="18">
        <f>46613.49+474.96</f>
        <v>47088.45</v>
      </c>
      <c r="H197" s="18">
        <v>30017.06</v>
      </c>
      <c r="I197" s="18">
        <v>795.67</v>
      </c>
      <c r="J197" s="18"/>
      <c r="K197" s="18">
        <v>1340</v>
      </c>
      <c r="L197" s="19">
        <f t="shared" si="0"/>
        <v>266997.73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73086.080000000002</v>
      </c>
      <c r="G198" s="18">
        <f>25033.24+184.88</f>
        <v>25218.120000000003</v>
      </c>
      <c r="H198" s="18">
        <f>492.93+10414.73</f>
        <v>10907.66</v>
      </c>
      <c r="I198" s="18"/>
      <c r="J198" s="18"/>
      <c r="K198" s="18">
        <v>157.44999999999999</v>
      </c>
      <c r="L198" s="19">
        <f t="shared" si="0"/>
        <v>109369.31000000001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54190.23+76683.04</f>
        <v>130873.26999999999</v>
      </c>
      <c r="G199" s="18">
        <f>16331.89+37107.22+331.06</f>
        <v>53770.17</v>
      </c>
      <c r="H199" s="18">
        <f>177582.75+402771.75+805.58+94</f>
        <v>581254.07999999996</v>
      </c>
      <c r="I199" s="18">
        <f>44656.45+45040.52+138400.84+19138.73</f>
        <v>247236.54</v>
      </c>
      <c r="J199" s="18">
        <f>2274.64+27185</f>
        <v>29459.64</v>
      </c>
      <c r="K199" s="18"/>
      <c r="L199" s="19">
        <f t="shared" si="0"/>
        <v>1042593.7000000001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80655.81+782.05+1368.3+223.12+119.13+3000.26</f>
        <v>86148.67</v>
      </c>
      <c r="G200" s="18">
        <f>16518.81+59.84+103.41+17.08+9.09+229.21+217.93</f>
        <v>17155.370000000003</v>
      </c>
      <c r="H200" s="18">
        <f>19430.47+24555.88+4181.55+128.1</f>
        <v>48296.000000000007</v>
      </c>
      <c r="I200" s="18">
        <f>31071.63+5.75</f>
        <v>31077.38</v>
      </c>
      <c r="J200" s="18">
        <v>97255.35</v>
      </c>
      <c r="K200" s="18">
        <v>222.34</v>
      </c>
      <c r="L200" s="19">
        <f t="shared" si="0"/>
        <v>280155.11000000004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3665616.4599999995</v>
      </c>
      <c r="G203" s="41">
        <f t="shared" si="1"/>
        <v>1085037.17</v>
      </c>
      <c r="H203" s="41">
        <f t="shared" si="1"/>
        <v>1118808.1499999999</v>
      </c>
      <c r="I203" s="41">
        <f t="shared" si="1"/>
        <v>391545.45999999996</v>
      </c>
      <c r="J203" s="41">
        <f t="shared" si="1"/>
        <v>134816.48000000001</v>
      </c>
      <c r="K203" s="41">
        <f t="shared" si="1"/>
        <v>11145.37</v>
      </c>
      <c r="L203" s="41">
        <f t="shared" si="1"/>
        <v>6406969.0900000008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3019.52+1124169.25+25014</f>
        <v>1152202.77</v>
      </c>
      <c r="G207" s="18">
        <f>6070.75+367913.9+2914.67</f>
        <v>376899.32</v>
      </c>
      <c r="H207" s="18">
        <f>8978.24+2182.28</f>
        <v>11160.52</v>
      </c>
      <c r="I207" s="18">
        <f>269.34+44862.73+9852.31</f>
        <v>54984.38</v>
      </c>
      <c r="J207" s="18">
        <f>1543.34+8292.45</f>
        <v>9835.7900000000009</v>
      </c>
      <c r="K207" s="18">
        <v>365</v>
      </c>
      <c r="L207" s="19">
        <f>SUM(F207:K207)</f>
        <v>1605447.78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5573.88+5006.5+280893.21+8338</f>
        <v>299811.59000000003</v>
      </c>
      <c r="G208" s="18">
        <f>383.04+737.55+50623.49+758.42</f>
        <v>52502.499999999993</v>
      </c>
      <c r="H208" s="18">
        <f>284.42+200959.47</f>
        <v>201243.89</v>
      </c>
      <c r="I208" s="18">
        <f>51.93+648.96+2083.53</f>
        <v>2784.42</v>
      </c>
      <c r="J208" s="18">
        <v>278.85000000000002</v>
      </c>
      <c r="K208" s="18"/>
      <c r="L208" s="19">
        <f>SUM(F208:K208)</f>
        <v>556621.25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10818.42+22476</f>
        <v>33294.42</v>
      </c>
      <c r="G210" s="18">
        <f>1441.3+2513.87+84.22</f>
        <v>4039.39</v>
      </c>
      <c r="H210" s="18">
        <f>480+1608</f>
        <v>2088</v>
      </c>
      <c r="I210" s="18">
        <v>1733.59</v>
      </c>
      <c r="J210" s="18"/>
      <c r="K210" s="18">
        <v>75</v>
      </c>
      <c r="L210" s="19">
        <f>SUM(F210:K210)</f>
        <v>41230.399999999994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90.9+14087.69+69306.08+23530.04+4169</f>
        <v>111183.70999999999</v>
      </c>
      <c r="G212" s="18">
        <f>7.7+3132.4+22060.23+9910.91+281.26</f>
        <v>35392.5</v>
      </c>
      <c r="H212" s="18">
        <f>6.12+75.43+26071.47+826.85+6439+246</f>
        <v>33664.869999999995</v>
      </c>
      <c r="I212" s="18">
        <f>388.65+117.63+180.6+751.02</f>
        <v>1437.9</v>
      </c>
      <c r="J212" s="18">
        <f>79.92+63.35+2109.32</f>
        <v>2252.59</v>
      </c>
      <c r="K212" s="18">
        <f>8.01+160</f>
        <v>168.01</v>
      </c>
      <c r="L212" s="19">
        <f t="shared" ref="L212:L218" si="2">SUM(F212:K212)</f>
        <v>184099.58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26663</v>
      </c>
      <c r="G213" s="18">
        <f>13323.07+67.45</f>
        <v>13390.52</v>
      </c>
      <c r="H213" s="18">
        <f>2050.6+940.4</f>
        <v>2991</v>
      </c>
      <c r="I213" s="18">
        <v>4486.75</v>
      </c>
      <c r="J213" s="18"/>
      <c r="K213" s="18">
        <v>150</v>
      </c>
      <c r="L213" s="19">
        <f t="shared" si="2"/>
        <v>47681.270000000004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22163.06+15032.76+1334.08</f>
        <v>38529.9</v>
      </c>
      <c r="G214" s="18">
        <f>8387.51+3141.78+97.47</f>
        <v>11626.76</v>
      </c>
      <c r="H214" s="18">
        <f>1647.45+3870.03+917.86+10053.76+6.88</f>
        <v>16495.98</v>
      </c>
      <c r="I214" s="18">
        <f>1.2+503.38+386.89</f>
        <v>891.47</v>
      </c>
      <c r="J214" s="18">
        <f>182.88+16.44</f>
        <v>199.32</v>
      </c>
      <c r="K214" s="18">
        <f>2637.53+191.44+66.23</f>
        <v>2895.2000000000003</v>
      </c>
      <c r="L214" s="19">
        <f t="shared" si="2"/>
        <v>70638.63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116466.2</v>
      </c>
      <c r="G215" s="18">
        <f>53604.09+294.62</f>
        <v>53898.71</v>
      </c>
      <c r="H215" s="18">
        <v>14601.44</v>
      </c>
      <c r="I215" s="18">
        <v>957.25</v>
      </c>
      <c r="J215" s="18"/>
      <c r="K215" s="18">
        <v>990</v>
      </c>
      <c r="L215" s="19">
        <f t="shared" si="2"/>
        <v>186913.6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24880.37</v>
      </c>
      <c r="G216" s="18">
        <f>8521.96+62.94</f>
        <v>8584.9</v>
      </c>
      <c r="H216" s="18">
        <f>167.81+3545.44</f>
        <v>3713.25</v>
      </c>
      <c r="I216" s="18"/>
      <c r="J216" s="18"/>
      <c r="K216" s="18">
        <v>53.6</v>
      </c>
      <c r="L216" s="19">
        <f t="shared" si="2"/>
        <v>37232.119999999995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18447.74+80933.19+4169</f>
        <v>103549.93000000001</v>
      </c>
      <c r="G217" s="18">
        <f>5559.79+27781.01+261.94</f>
        <v>33602.74</v>
      </c>
      <c r="H217" s="18">
        <f>60453.7+20225.29+274.24+32</f>
        <v>80985.23</v>
      </c>
      <c r="I217" s="18">
        <f>15202.2+74523.53+6515.31</f>
        <v>96241.04</v>
      </c>
      <c r="J217" s="18">
        <v>774.34</v>
      </c>
      <c r="K217" s="18"/>
      <c r="L217" s="19">
        <f t="shared" si="2"/>
        <v>315153.28000000003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35700.11+143.06+803.61+1034.24+3244.24+1565.47</f>
        <v>42490.729999999996</v>
      </c>
      <c r="G218" s="18">
        <f>7311.6+10.95+60.73+79.06+247.97+119.66+107.49</f>
        <v>7937.46</v>
      </c>
      <c r="H218" s="18">
        <f>8600.37+16948.55+1850.85+56.7</f>
        <v>27456.469999999998</v>
      </c>
      <c r="I218" s="18">
        <f>13753.02+2.55</f>
        <v>13755.57</v>
      </c>
      <c r="J218" s="18">
        <v>43047.45</v>
      </c>
      <c r="K218" s="18">
        <v>98.42</v>
      </c>
      <c r="L218" s="19">
        <f t="shared" si="2"/>
        <v>134786.1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1949072.6199999999</v>
      </c>
      <c r="G221" s="41">
        <f>SUM(G207:G220)</f>
        <v>597874.80000000005</v>
      </c>
      <c r="H221" s="41">
        <f>SUM(H207:H220)</f>
        <v>394400.64999999997</v>
      </c>
      <c r="I221" s="41">
        <f>SUM(I207:I220)</f>
        <v>177272.37</v>
      </c>
      <c r="J221" s="41">
        <f>SUM(J207:J220)</f>
        <v>56388.34</v>
      </c>
      <c r="K221" s="41">
        <f t="shared" si="3"/>
        <v>4795.2300000000005</v>
      </c>
      <c r="L221" s="41">
        <f t="shared" si="3"/>
        <v>3179804.0100000002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6982.64+1878411.53+20845</f>
        <v>1906239.17</v>
      </c>
      <c r="G225" s="18">
        <f>14038.62+676772.77+4822.09</f>
        <v>695633.48</v>
      </c>
      <c r="H225" s="18">
        <f>20762.18+2772.6</f>
        <v>23534.78</v>
      </c>
      <c r="I225" s="18">
        <f>622.84+78014.17</f>
        <v>78637.009999999995</v>
      </c>
      <c r="J225" s="18">
        <f>3568.98+20852.04+8214.3</f>
        <v>32635.32</v>
      </c>
      <c r="K225" s="18">
        <v>687</v>
      </c>
      <c r="L225" s="19">
        <f>SUM(F225:K225)</f>
        <v>2737366.7599999993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1114.78+10951.73+439711.96</f>
        <v>451778.47000000003</v>
      </c>
      <c r="G226" s="18">
        <f>837.9+147.51+107479.3+1142.84</f>
        <v>109607.55</v>
      </c>
      <c r="H226" s="18">
        <f>622.16+672345.58+13000+20600</f>
        <v>706567.74</v>
      </c>
      <c r="I226" s="18">
        <f>10.39+2333.39+556</f>
        <v>2899.7799999999997</v>
      </c>
      <c r="J226" s="18">
        <v>1188.75</v>
      </c>
      <c r="K226" s="18"/>
      <c r="L226" s="19">
        <f>SUM(F226:K226)</f>
        <v>1272042.29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444366.6+4169</f>
        <v>448535.6</v>
      </c>
      <c r="G227" s="18">
        <f>179461.64+1134.64</f>
        <v>180596.28000000003</v>
      </c>
      <c r="H227" s="18">
        <v>5571.62</v>
      </c>
      <c r="I227" s="18">
        <v>44595.77</v>
      </c>
      <c r="J227" s="18">
        <v>1618.17</v>
      </c>
      <c r="K227" s="18"/>
      <c r="L227" s="19">
        <f>SUM(F227:K227)</f>
        <v>680917.44000000006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21453.71+80368</f>
        <v>101821.70999999999</v>
      </c>
      <c r="G228" s="18">
        <f>3109.98+10061.36+257.57</f>
        <v>13428.91</v>
      </c>
      <c r="H228" s="18">
        <f>39063.1+3718.5</f>
        <v>42781.599999999999</v>
      </c>
      <c r="I228" s="18">
        <f>699.9+12506.07</f>
        <v>13205.97</v>
      </c>
      <c r="J228" s="18">
        <v>4607.72</v>
      </c>
      <c r="K228" s="18">
        <f>7495.95</f>
        <v>7495.95</v>
      </c>
      <c r="L228" s="19">
        <f>SUM(F228:K228)</f>
        <v>183341.86000000002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174295.11+33363.21+151.5+32200.44+4169</f>
        <v>244179.25999999998</v>
      </c>
      <c r="G230" s="18">
        <f>48002.34+26855.39+12.83+7159.78+617.69</f>
        <v>82648.03</v>
      </c>
      <c r="H230" s="18">
        <f>9192.6+358+10.2+172.4+27933.72+241.16+38773.05</f>
        <v>76681.13</v>
      </c>
      <c r="I230" s="18">
        <f>2543.57+986.7+987.19+647.75+268.87</f>
        <v>5434.0800000000008</v>
      </c>
      <c r="J230" s="18">
        <f>2699.97+2157+133.2+144.79</f>
        <v>5134.9599999999991</v>
      </c>
      <c r="K230" s="18">
        <f>335+13.35</f>
        <v>348.35</v>
      </c>
      <c r="L230" s="19">
        <f t="shared" ref="L230:L236" si="4">SUM(F230:K230)</f>
        <v>414425.81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48791.77</v>
      </c>
      <c r="G231" s="18">
        <f>13096.18+25297.5+123.43</f>
        <v>38517.11</v>
      </c>
      <c r="H231" s="18">
        <f>1021+2045+1089.36</f>
        <v>4155.3599999999997</v>
      </c>
      <c r="I231" s="18">
        <f>5161.2+4820.08</f>
        <v>9981.2799999999988</v>
      </c>
      <c r="J231" s="18">
        <f>195+3882.51</f>
        <v>4077.51</v>
      </c>
      <c r="K231" s="18">
        <v>310</v>
      </c>
      <c r="L231" s="19">
        <f t="shared" si="4"/>
        <v>105833.03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85319.66+51252.07+32884.16+2918.3</f>
        <v>172374.19</v>
      </c>
      <c r="G232" s="18">
        <f>25342.19+19396.13+6872.65+436.05</f>
        <v>52047.020000000004</v>
      </c>
      <c r="H232" s="18">
        <f>3552.46+3809.73+8949.44+2007.82+23249.32+15.91</f>
        <v>41584.680000000008</v>
      </c>
      <c r="I232" s="18">
        <f>2.78+1164.06+77.38</f>
        <v>1244.2199999999998</v>
      </c>
      <c r="J232" s="18">
        <f>422.9+35.97</f>
        <v>458.87</v>
      </c>
      <c r="K232" s="18">
        <f>80+6099.29+1000+442.72+144.88</f>
        <v>7766.89</v>
      </c>
      <c r="L232" s="19">
        <f t="shared" si="4"/>
        <v>275475.87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227442.33+8338</f>
        <v>235780.33</v>
      </c>
      <c r="G233" s="18">
        <f>51194.87+596.44</f>
        <v>51791.310000000005</v>
      </c>
      <c r="H233" s="18">
        <v>19019.23</v>
      </c>
      <c r="I233" s="18">
        <v>4975.29</v>
      </c>
      <c r="J233" s="18">
        <v>5992.5</v>
      </c>
      <c r="K233" s="18">
        <v>4656.78</v>
      </c>
      <c r="L233" s="19">
        <f t="shared" si="4"/>
        <v>322215.44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57535.85</v>
      </c>
      <c r="G234" s="18">
        <f>19707.02+145.55</f>
        <v>19852.57</v>
      </c>
      <c r="H234" s="18">
        <f>388.06+8198.83</f>
        <v>8586.89</v>
      </c>
      <c r="I234" s="18"/>
      <c r="J234" s="18"/>
      <c r="K234" s="18">
        <v>123.95</v>
      </c>
      <c r="L234" s="19">
        <f t="shared" si="4"/>
        <v>86099.26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42660.39+121643.65+4169</f>
        <v>168473.03999999998</v>
      </c>
      <c r="G235" s="18">
        <f>12857.02+59873.73+426.18</f>
        <v>73156.929999999993</v>
      </c>
      <c r="H235" s="18">
        <f>139799.18+37586.54+634.18+74</f>
        <v>178093.9</v>
      </c>
      <c r="I235" s="18">
        <f>35155.08+182746.17+15066.66</f>
        <v>232967.91</v>
      </c>
      <c r="J235" s="18">
        <v>1790.67</v>
      </c>
      <c r="K235" s="18"/>
      <c r="L235" s="19">
        <f t="shared" si="4"/>
        <v>654482.45000000007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15866.72+28.61+229.25+17603.49+3593.49</f>
        <v>37321.56</v>
      </c>
      <c r="G236" s="18">
        <f>3249.6+2.19+17.49+1346.09+274.76+94.41</f>
        <v>4984.54</v>
      </c>
      <c r="H236" s="18">
        <f>3822.39+20213.18+822.6+25.2</f>
        <v>24883.37</v>
      </c>
      <c r="I236" s="18">
        <f>6112.45+1.13</f>
        <v>6113.58</v>
      </c>
      <c r="J236" s="18">
        <v>19132.2</v>
      </c>
      <c r="K236" s="18">
        <v>43.74</v>
      </c>
      <c r="L236" s="19">
        <f t="shared" si="4"/>
        <v>92478.99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3872830.95</v>
      </c>
      <c r="G239" s="41">
        <f t="shared" si="5"/>
        <v>1322263.7300000002</v>
      </c>
      <c r="H239" s="41">
        <f t="shared" si="5"/>
        <v>1131460.3</v>
      </c>
      <c r="I239" s="41">
        <f t="shared" si="5"/>
        <v>400054.89</v>
      </c>
      <c r="J239" s="41">
        <f t="shared" si="5"/>
        <v>76636.67</v>
      </c>
      <c r="K239" s="41">
        <f t="shared" si="5"/>
        <v>21432.66</v>
      </c>
      <c r="L239" s="41">
        <f t="shared" si="5"/>
        <v>6824679.2000000002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9487520.0299999993</v>
      </c>
      <c r="G249" s="41">
        <f t="shared" si="8"/>
        <v>3005175.7</v>
      </c>
      <c r="H249" s="41">
        <f t="shared" si="8"/>
        <v>2644669.0999999996</v>
      </c>
      <c r="I249" s="41">
        <f t="shared" si="8"/>
        <v>968872.72</v>
      </c>
      <c r="J249" s="41">
        <f t="shared" si="8"/>
        <v>267841.49</v>
      </c>
      <c r="K249" s="41">
        <f t="shared" si="8"/>
        <v>37373.26</v>
      </c>
      <c r="L249" s="41">
        <f t="shared" si="8"/>
        <v>16411452.300000001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9487520.0299999993</v>
      </c>
      <c r="G263" s="42">
        <f t="shared" si="11"/>
        <v>3005175.7</v>
      </c>
      <c r="H263" s="42">
        <f t="shared" si="11"/>
        <v>2644669.0999999996</v>
      </c>
      <c r="I263" s="42">
        <f t="shared" si="11"/>
        <v>968872.72</v>
      </c>
      <c r="J263" s="42">
        <f t="shared" si="11"/>
        <v>267841.49</v>
      </c>
      <c r="K263" s="42">
        <f t="shared" si="11"/>
        <v>37373.26</v>
      </c>
      <c r="L263" s="42">
        <f t="shared" si="11"/>
        <v>16411452.300000001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144418.68</v>
      </c>
      <c r="G268" s="18">
        <v>20807.82</v>
      </c>
      <c r="H268" s="18">
        <f>28350+10167.18</f>
        <v>38517.18</v>
      </c>
      <c r="I268" s="18">
        <f>13225.26-4603.34</f>
        <v>8621.92</v>
      </c>
      <c r="J268" s="18">
        <f>47598.75+20698.9</f>
        <v>68297.649999999994</v>
      </c>
      <c r="K268" s="18">
        <f>4417.1+5432.63</f>
        <v>9849.73</v>
      </c>
      <c r="L268" s="19">
        <f>SUM(F268:K268)</f>
        <v>290512.98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15305.9+61645.82+646816.5+4490</f>
        <v>728258.22</v>
      </c>
      <c r="G269" s="18">
        <f>2505.2+4867.96+123201.02+679.26</f>
        <v>131253.44</v>
      </c>
      <c r="H269" s="18">
        <f>10093.6+29819.59</f>
        <v>39913.19</v>
      </c>
      <c r="I269" s="18">
        <f>2923.36+51232.61-2923.36</f>
        <v>51232.61</v>
      </c>
      <c r="J269" s="18">
        <v>3211</v>
      </c>
      <c r="K269" s="18">
        <f>232.5+84.15+19735.54</f>
        <v>20052.190000000002</v>
      </c>
      <c r="L269" s="19">
        <f>SUM(F269:K269)</f>
        <v>973920.64999999991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93974.88</v>
      </c>
      <c r="G271" s="18">
        <v>12360.99</v>
      </c>
      <c r="H271" s="18">
        <v>945</v>
      </c>
      <c r="I271" s="18"/>
      <c r="J271" s="18"/>
      <c r="K271" s="18"/>
      <c r="L271" s="19">
        <f>SUM(F271:K271)</f>
        <v>107280.87000000001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95346.56+99861.3+8122</f>
        <v>203329.86</v>
      </c>
      <c r="G273" s="18">
        <f>35612.89+21620.2+3109.75</f>
        <v>60342.84</v>
      </c>
      <c r="H273" s="18"/>
      <c r="I273" s="18"/>
      <c r="J273" s="18"/>
      <c r="K273" s="18"/>
      <c r="L273" s="19">
        <f t="shared" ref="L273:L279" si="12">SUM(F273:K273)</f>
        <v>263672.69999999995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98730.72+353.82+3466.67+300+6316.5</f>
        <v>109167.71</v>
      </c>
      <c r="I274" s="18"/>
      <c r="J274" s="18"/>
      <c r="K274" s="18"/>
      <c r="L274" s="19">
        <f t="shared" si="12"/>
        <v>109167.71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1169981.6399999999</v>
      </c>
      <c r="G282" s="42">
        <f t="shared" si="13"/>
        <v>224765.09</v>
      </c>
      <c r="H282" s="42">
        <f t="shared" si="13"/>
        <v>188543.08000000002</v>
      </c>
      <c r="I282" s="42">
        <f t="shared" si="13"/>
        <v>59854.53</v>
      </c>
      <c r="J282" s="42">
        <f t="shared" si="13"/>
        <v>71508.649999999994</v>
      </c>
      <c r="K282" s="42">
        <f t="shared" si="13"/>
        <v>29901.920000000002</v>
      </c>
      <c r="L282" s="41">
        <f t="shared" si="13"/>
        <v>1744554.91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13200</v>
      </c>
      <c r="G287" s="18">
        <v>1998.5</v>
      </c>
      <c r="H287" s="18">
        <v>16650</v>
      </c>
      <c r="I287" s="18">
        <f>12092.79-9852.31</f>
        <v>2240.4800000000014</v>
      </c>
      <c r="J287" s="18">
        <f>7046.43+12801.09</f>
        <v>19847.52</v>
      </c>
      <c r="K287" s="18">
        <v>1503.69</v>
      </c>
      <c r="L287" s="19">
        <f>SUM(F287:K287)</f>
        <v>55440.19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4997.85+53206+15901.07</f>
        <v>74104.92</v>
      </c>
      <c r="G288" s="18">
        <f>818.02+8519.71+1272.79</f>
        <v>10610.52</v>
      </c>
      <c r="H288" s="18">
        <v>3295.87</v>
      </c>
      <c r="I288" s="18">
        <f>2083.53-2083.53</f>
        <v>0</v>
      </c>
      <c r="J288" s="18"/>
      <c r="K288" s="18">
        <v>27.48</v>
      </c>
      <c r="L288" s="19">
        <f>SUM(F288:K288)</f>
        <v>88038.79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55191.6</v>
      </c>
      <c r="G290" s="18">
        <v>7259.63</v>
      </c>
      <c r="H290" s="18">
        <v>555</v>
      </c>
      <c r="I290" s="18"/>
      <c r="J290" s="18"/>
      <c r="K290" s="18"/>
      <c r="L290" s="19">
        <f>SUM(F290:K290)</f>
        <v>63006.229999999996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11291.04+9078.3</f>
        <v>20369.34</v>
      </c>
      <c r="G292" s="18">
        <f>4217.32+1965.47</f>
        <v>6182.79</v>
      </c>
      <c r="H292" s="18"/>
      <c r="I292" s="18"/>
      <c r="J292" s="18"/>
      <c r="K292" s="18"/>
      <c r="L292" s="19">
        <f t="shared" ref="L292:L298" si="14">SUM(F292:K292)</f>
        <v>26552.13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162865.85999999999</v>
      </c>
      <c r="G301" s="42">
        <f t="shared" si="15"/>
        <v>26051.440000000002</v>
      </c>
      <c r="H301" s="42">
        <f t="shared" si="15"/>
        <v>20500.87</v>
      </c>
      <c r="I301" s="42">
        <f t="shared" si="15"/>
        <v>2240.4800000000014</v>
      </c>
      <c r="J301" s="42">
        <f t="shared" si="15"/>
        <v>19847.52</v>
      </c>
      <c r="K301" s="42">
        <f t="shared" si="15"/>
        <v>1531.17</v>
      </c>
      <c r="L301" s="41">
        <f t="shared" si="15"/>
        <v>233037.33999999997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2350</v>
      </c>
      <c r="G306" s="18">
        <v>355.8</v>
      </c>
      <c r="H306" s="18"/>
      <c r="I306" s="18">
        <v>11075.58</v>
      </c>
      <c r="J306" s="18">
        <f>16294.87+26555.97-8214.3</f>
        <v>34636.540000000008</v>
      </c>
      <c r="K306" s="18">
        <v>3477.29</v>
      </c>
      <c r="L306" s="19">
        <f>SUM(F306:K306)</f>
        <v>51895.210000000014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10932.79</v>
      </c>
      <c r="G307" s="18">
        <v>1789.43</v>
      </c>
      <c r="H307" s="18">
        <v>7209.71</v>
      </c>
      <c r="I307" s="18">
        <f>556-556</f>
        <v>0</v>
      </c>
      <c r="J307" s="18"/>
      <c r="K307" s="18">
        <v>60.11</v>
      </c>
      <c r="L307" s="19">
        <f>SUM(F307:K307)</f>
        <v>19992.04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7973.39</v>
      </c>
      <c r="G308" s="18">
        <v>1059.3800000000001</v>
      </c>
      <c r="H308" s="18">
        <f>6894.57+360</f>
        <v>7254.57</v>
      </c>
      <c r="I308" s="18">
        <v>18142.93</v>
      </c>
      <c r="J308" s="18">
        <v>30153.53</v>
      </c>
      <c r="K308" s="18">
        <f>2352.42+1178.56+18000</f>
        <v>21530.98</v>
      </c>
      <c r="L308" s="19">
        <f>SUM(F308:K308)</f>
        <v>86114.78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18818.4+20750.4</f>
        <v>39568.800000000003</v>
      </c>
      <c r="G311" s="18">
        <f>7028.86+4492.51</f>
        <v>11521.369999999999</v>
      </c>
      <c r="H311" s="18">
        <f>13152+59.5</f>
        <v>13211.5</v>
      </c>
      <c r="I311" s="18">
        <f>516.75+395.81+27.94</f>
        <v>940.5</v>
      </c>
      <c r="J311" s="18"/>
      <c r="K311" s="18"/>
      <c r="L311" s="19">
        <f t="shared" ref="L311:L317" si="16">SUM(F311:K311)</f>
        <v>65242.17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11200</v>
      </c>
      <c r="I312" s="18"/>
      <c r="J312" s="18"/>
      <c r="K312" s="18"/>
      <c r="L312" s="19">
        <f t="shared" si="16"/>
        <v>11200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v>39838.870000000003</v>
      </c>
      <c r="I316" s="18"/>
      <c r="J316" s="18"/>
      <c r="K316" s="18"/>
      <c r="L316" s="19">
        <f t="shared" si="16"/>
        <v>39838.870000000003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60824.98</v>
      </c>
      <c r="G320" s="42">
        <f t="shared" si="17"/>
        <v>14725.98</v>
      </c>
      <c r="H320" s="42">
        <f t="shared" si="17"/>
        <v>78714.649999999994</v>
      </c>
      <c r="I320" s="42">
        <f t="shared" si="17"/>
        <v>30159.010000000002</v>
      </c>
      <c r="J320" s="42">
        <f t="shared" si="17"/>
        <v>64790.070000000007</v>
      </c>
      <c r="K320" s="42">
        <f t="shared" si="17"/>
        <v>25068.38</v>
      </c>
      <c r="L320" s="41">
        <f t="shared" si="17"/>
        <v>274283.07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1393672.48</v>
      </c>
      <c r="G330" s="41">
        <f t="shared" si="20"/>
        <v>265542.51</v>
      </c>
      <c r="H330" s="41">
        <f t="shared" si="20"/>
        <v>287758.59999999998</v>
      </c>
      <c r="I330" s="41">
        <f t="shared" si="20"/>
        <v>92254.02</v>
      </c>
      <c r="J330" s="41">
        <f t="shared" si="20"/>
        <v>156146.23999999999</v>
      </c>
      <c r="K330" s="41">
        <f t="shared" si="20"/>
        <v>56501.47</v>
      </c>
      <c r="L330" s="41">
        <f t="shared" si="20"/>
        <v>2251875.3199999998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f>42544.7+2984.28+15583.62+5847.07+44810.52</f>
        <v>111770.19</v>
      </c>
      <c r="L342" s="19">
        <f t="shared" si="21"/>
        <v>111770.19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111770.19</v>
      </c>
      <c r="L343" s="41">
        <f>SUM(L333:L342)</f>
        <v>111770.19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1393672.48</v>
      </c>
      <c r="G344" s="41">
        <f>G330</f>
        <v>265542.51</v>
      </c>
      <c r="H344" s="41">
        <f>H330</f>
        <v>287758.59999999998</v>
      </c>
      <c r="I344" s="41">
        <f>I330</f>
        <v>92254.02</v>
      </c>
      <c r="J344" s="41">
        <f>J330</f>
        <v>156146.23999999999</v>
      </c>
      <c r="K344" s="47">
        <f>K330+K343</f>
        <v>168271.66</v>
      </c>
      <c r="L344" s="41">
        <f>L330+L343</f>
        <v>2363645.5099999998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73689.929999999993</v>
      </c>
      <c r="G350" s="18">
        <v>7763.34</v>
      </c>
      <c r="H350" s="18">
        <v>4249.21</v>
      </c>
      <c r="I350" s="18">
        <f>141010.41+112.2</f>
        <v>141122.61000000002</v>
      </c>
      <c r="J350" s="18">
        <v>15190.57</v>
      </c>
      <c r="K350" s="18">
        <v>59.61</v>
      </c>
      <c r="L350" s="13">
        <f>SUM(F350:K350)</f>
        <v>242075.27000000002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61804.45</v>
      </c>
      <c r="G351" s="18">
        <v>6511.19</v>
      </c>
      <c r="H351" s="18">
        <v>1255.45</v>
      </c>
      <c r="I351" s="18">
        <f>41662.16+33.15</f>
        <v>41695.310000000005</v>
      </c>
      <c r="J351" s="18">
        <v>4488.12</v>
      </c>
      <c r="K351" s="18">
        <v>17.62</v>
      </c>
      <c r="L351" s="19">
        <f>SUM(F351:K351)</f>
        <v>115772.13999999998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102215.06</v>
      </c>
      <c r="G352" s="18">
        <v>10768.5</v>
      </c>
      <c r="H352" s="18">
        <v>4152.6400000000003</v>
      </c>
      <c r="I352" s="18">
        <f>137805.62+109.65</f>
        <v>137915.26999999999</v>
      </c>
      <c r="J352" s="18">
        <v>14845.33</v>
      </c>
      <c r="K352" s="18">
        <v>58.27</v>
      </c>
      <c r="L352" s="19">
        <f>SUM(F352:K352)</f>
        <v>269955.07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237709.44</v>
      </c>
      <c r="G354" s="47">
        <f t="shared" si="22"/>
        <v>25043.03</v>
      </c>
      <c r="H354" s="47">
        <f t="shared" si="22"/>
        <v>9657.2999999999993</v>
      </c>
      <c r="I354" s="47">
        <f t="shared" si="22"/>
        <v>320733.19</v>
      </c>
      <c r="J354" s="47">
        <f t="shared" si="22"/>
        <v>34524.019999999997</v>
      </c>
      <c r="K354" s="47">
        <f t="shared" si="22"/>
        <v>135.5</v>
      </c>
      <c r="L354" s="47">
        <f t="shared" si="22"/>
        <v>627802.48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129186.15</v>
      </c>
      <c r="G359" s="18">
        <v>38168.629999999997</v>
      </c>
      <c r="H359" s="18">
        <v>126250.1</v>
      </c>
      <c r="I359" s="56">
        <f>SUM(F359:H359)</f>
        <v>293604.88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11824.26+112.2</f>
        <v>11936.460000000001</v>
      </c>
      <c r="G360" s="63">
        <f>3493.53+33.15</f>
        <v>3526.6800000000003</v>
      </c>
      <c r="H360" s="63">
        <f>11555.52+109.65</f>
        <v>11665.17</v>
      </c>
      <c r="I360" s="56">
        <f>SUM(F360:H360)</f>
        <v>27128.31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141122.60999999999</v>
      </c>
      <c r="G361" s="47">
        <f>SUM(G359:G360)</f>
        <v>41695.31</v>
      </c>
      <c r="H361" s="47">
        <f>SUM(H359:H360)</f>
        <v>137915.27000000002</v>
      </c>
      <c r="I361" s="47">
        <f>SUM(I359:I360)</f>
        <v>320733.19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0</v>
      </c>
      <c r="G455" s="18">
        <v>103617.60000000001</v>
      </c>
      <c r="H455" s="18">
        <v>43486.71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16410989.87+453+9.43</f>
        <v>16411452.299999999</v>
      </c>
      <c r="G458" s="18">
        <v>642528.23</v>
      </c>
      <c r="H458" s="18">
        <f>2326242.57+11443.17+1.18</f>
        <v>2337686.92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16411452.299999999</v>
      </c>
      <c r="G460" s="53">
        <f>SUM(G458:G459)</f>
        <v>642528.23</v>
      </c>
      <c r="H460" s="53">
        <f>SUM(H458:H459)</f>
        <v>2337686.92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16410989.87+453+9.43</f>
        <v>16411452.299999999</v>
      </c>
      <c r="G462" s="18">
        <f>627547.48+255</f>
        <v>627802.48</v>
      </c>
      <c r="H462" s="18">
        <f>2352202.34+11443.17</f>
        <v>2363645.5099999998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16411452.299999999</v>
      </c>
      <c r="G464" s="53">
        <f>SUM(G462:G463)</f>
        <v>627802.48</v>
      </c>
      <c r="H464" s="53">
        <f>SUM(H462:H463)</f>
        <v>2363645.5099999998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118343.34999999998</v>
      </c>
      <c r="H466" s="53">
        <f>(H455+H460)- H464</f>
        <v>17528.120000000112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15</v>
      </c>
      <c r="H480" s="154">
        <v>10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 t="s">
        <v>896</v>
      </c>
      <c r="H481" s="155" t="s">
        <v>897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898</v>
      </c>
      <c r="H482" s="155" t="s">
        <v>899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1500000</v>
      </c>
      <c r="G483" s="18">
        <v>4500000</v>
      </c>
      <c r="H483" s="18">
        <v>2146074.81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</v>
      </c>
      <c r="G484" s="18">
        <v>4.7</v>
      </c>
      <c r="H484" s="18">
        <v>4.2949999999999999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400000</v>
      </c>
      <c r="G485" s="18">
        <v>1200000</v>
      </c>
      <c r="H485" s="18">
        <v>1427188.55</v>
      </c>
      <c r="I485" s="18"/>
      <c r="J485" s="18"/>
      <c r="K485" s="53">
        <f>SUM(F485:J485)</f>
        <v>3027188.55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>
        <v>-31871.119999999999</v>
      </c>
      <c r="I486" s="18" t="s">
        <v>900</v>
      </c>
      <c r="J486" s="18"/>
      <c r="K486" s="53">
        <f t="shared" ref="K486:K493" si="34">SUM(F486:J486)</f>
        <v>-31871.119999999999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100000</v>
      </c>
      <c r="G487" s="18">
        <v>300000</v>
      </c>
      <c r="H487" s="18">
        <v>149389.76999999999</v>
      </c>
      <c r="I487" s="18"/>
      <c r="J487" s="18"/>
      <c r="K487" s="53">
        <f t="shared" si="34"/>
        <v>549389.77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300000</v>
      </c>
      <c r="G488" s="205">
        <v>900000</v>
      </c>
      <c r="H488" s="205">
        <v>1245927.6599999999</v>
      </c>
      <c r="I488" s="205"/>
      <c r="J488" s="205"/>
      <c r="K488" s="206">
        <f t="shared" si="34"/>
        <v>2445927.66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29300</v>
      </c>
      <c r="G489" s="18">
        <v>87300</v>
      </c>
      <c r="H489" s="18">
        <v>227660.33</v>
      </c>
      <c r="I489" s="18"/>
      <c r="J489" s="18"/>
      <c r="K489" s="53">
        <f t="shared" si="34"/>
        <v>344260.32999999996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329300</v>
      </c>
      <c r="G490" s="42">
        <f>SUM(G488:G489)</f>
        <v>987300</v>
      </c>
      <c r="H490" s="42">
        <f>SUM(H488:H489)</f>
        <v>1473587.99</v>
      </c>
      <c r="I490" s="42">
        <f>SUM(I488:I489)</f>
        <v>0</v>
      </c>
      <c r="J490" s="42">
        <f>SUM(J488:J489)</f>
        <v>0</v>
      </c>
      <c r="K490" s="42">
        <f t="shared" si="34"/>
        <v>2790187.99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100000</v>
      </c>
      <c r="G491" s="205">
        <v>300000</v>
      </c>
      <c r="H491" s="205">
        <v>155933.89000000001</v>
      </c>
      <c r="I491" s="205"/>
      <c r="J491" s="205"/>
      <c r="K491" s="206">
        <f t="shared" si="34"/>
        <v>555933.89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14600</v>
      </c>
      <c r="G492" s="18">
        <v>43500</v>
      </c>
      <c r="H492" s="18">
        <v>54578.68</v>
      </c>
      <c r="I492" s="18"/>
      <c r="J492" s="18"/>
      <c r="K492" s="53">
        <f t="shared" si="34"/>
        <v>112678.68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114600</v>
      </c>
      <c r="G493" s="42">
        <f>SUM(G491:G492)</f>
        <v>343500</v>
      </c>
      <c r="H493" s="42">
        <f>SUM(H491:H492)</f>
        <v>210512.57</v>
      </c>
      <c r="I493" s="42">
        <f>SUM(I491:I492)</f>
        <v>0</v>
      </c>
      <c r="J493" s="42">
        <f>SUM(J491:J492)</f>
        <v>0</v>
      </c>
      <c r="K493" s="42">
        <f t="shared" si="34"/>
        <v>668612.57000000007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620682.93999999994</v>
      </c>
      <c r="G497" s="144"/>
      <c r="H497" s="144">
        <v>40513.480000000003</v>
      </c>
      <c r="I497" s="144">
        <v>580169.46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30470.54+15332.42+656024.4+15483.89+15305.9+61645.82+4490</f>
        <v>798752.97</v>
      </c>
      <c r="G511" s="18">
        <f>1173.07+4031.92+125251.64+1184.56+2505.2+4867.96+679.26</f>
        <v>139693.61000000002</v>
      </c>
      <c r="H511" s="18">
        <f>871.03+209229.47+14771.87+10093.6</f>
        <v>234965.97</v>
      </c>
      <c r="I511" s="18">
        <f>283.87+1975.92+1571.12+2923.36</f>
        <v>6754.27</v>
      </c>
      <c r="J511" s="18"/>
      <c r="K511" s="18">
        <v>84.15</v>
      </c>
      <c r="L511" s="88">
        <f>SUM(F511:K511)</f>
        <v>1180250.97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5573.88+5006.5+280893.21+4997.85+53206</f>
        <v>349677.44</v>
      </c>
      <c r="G512" s="18">
        <f>383.04+737.55+50623.49+818.02+8519.71</f>
        <v>61081.80999999999</v>
      </c>
      <c r="H512" s="18">
        <f>284.42+200959.47+3295.87</f>
        <v>204539.76</v>
      </c>
      <c r="I512" s="18">
        <f>51.93+648.96+2083.53</f>
        <v>2784.42</v>
      </c>
      <c r="J512" s="18">
        <v>278.85000000000002</v>
      </c>
      <c r="K512" s="18">
        <v>27.48</v>
      </c>
      <c r="L512" s="88">
        <f>SUM(F512:K512)</f>
        <v>618389.76000000001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1114.78+10951.73+439711.96+10932.79</f>
        <v>462711.26</v>
      </c>
      <c r="G513" s="18">
        <f>837.9+147.51+107479.3+1789.43</f>
        <v>110254.14</v>
      </c>
      <c r="H513" s="18">
        <f>622.16+672345.58+7209.71</f>
        <v>680177.45</v>
      </c>
      <c r="I513" s="18">
        <f>10.39+2333.39+556</f>
        <v>2899.7799999999997</v>
      </c>
      <c r="J513" s="18">
        <v>1188.75</v>
      </c>
      <c r="K513" s="18">
        <v>60.11</v>
      </c>
      <c r="L513" s="88">
        <f>SUM(F513:K513)</f>
        <v>1257291.4900000002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1611141.67</v>
      </c>
      <c r="G514" s="108">
        <f t="shared" ref="G514:L514" si="35">SUM(G511:G513)</f>
        <v>311029.56</v>
      </c>
      <c r="H514" s="108">
        <f t="shared" si="35"/>
        <v>1119683.18</v>
      </c>
      <c r="I514" s="108">
        <f t="shared" si="35"/>
        <v>12438.470000000001</v>
      </c>
      <c r="J514" s="108">
        <f t="shared" si="35"/>
        <v>1467.6</v>
      </c>
      <c r="K514" s="108">
        <f t="shared" si="35"/>
        <v>171.74</v>
      </c>
      <c r="L514" s="89">
        <f t="shared" si="35"/>
        <v>3055932.22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767.6+154964.59+18948.6+95346.56+99861.3+8122</f>
        <v>378010.64999999997</v>
      </c>
      <c r="G516" s="18">
        <f>64.98+34456.43+2950.15+1380.22+1419.32+35612.89+21620.2+3109.75</f>
        <v>100613.94</v>
      </c>
      <c r="H516" s="18">
        <f>51.68+829.67+132219.61+2377.19</f>
        <v>135478.15</v>
      </c>
      <c r="I516" s="18">
        <f>3281.95+1293.92</f>
        <v>4575.87</v>
      </c>
      <c r="J516" s="18">
        <f>674.88+696.82</f>
        <v>1371.7</v>
      </c>
      <c r="K516" s="18">
        <v>67.64</v>
      </c>
      <c r="L516" s="88">
        <f>SUM(F516:K516)</f>
        <v>620117.94999999995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90.9+14087.69+11291.04+9078.3</f>
        <v>34547.93</v>
      </c>
      <c r="G517" s="18">
        <f>7.7+3132.4+4217.32+1965.47</f>
        <v>9322.89</v>
      </c>
      <c r="H517" s="18">
        <f>6.12+75.43+26071.47+826.85</f>
        <v>26979.87</v>
      </c>
      <c r="I517" s="18">
        <f>388.65+117.63</f>
        <v>506.28</v>
      </c>
      <c r="J517" s="18">
        <f>79.92+63.35</f>
        <v>143.27000000000001</v>
      </c>
      <c r="K517" s="18">
        <v>8.01</v>
      </c>
      <c r="L517" s="88">
        <f>SUM(F517:K517)</f>
        <v>71508.25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151.5+32200.44+1296.21+18818.4+20750.4</f>
        <v>73216.950000000012</v>
      </c>
      <c r="G518" s="18">
        <f>12.83+7159.78+2905.56+99.18+7028.86+4492.51</f>
        <v>21698.720000000001</v>
      </c>
      <c r="H518" s="18">
        <f>10.2+172.4+27933.72+241.16+38773.05</f>
        <v>67130.53</v>
      </c>
      <c r="I518" s="18">
        <f>647.75+268.87+987.19</f>
        <v>1903.81</v>
      </c>
      <c r="J518" s="18">
        <f>133.2+144.79+2157</f>
        <v>2434.9899999999998</v>
      </c>
      <c r="K518" s="18">
        <v>13.35</v>
      </c>
      <c r="L518" s="88">
        <f>SUM(F518:K518)</f>
        <v>166398.35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485775.52999999997</v>
      </c>
      <c r="G519" s="89">
        <f t="shared" ref="G519:L519" si="36">SUM(G516:G518)</f>
        <v>131635.54999999999</v>
      </c>
      <c r="H519" s="89">
        <f t="shared" si="36"/>
        <v>229588.55</v>
      </c>
      <c r="I519" s="89">
        <f t="shared" si="36"/>
        <v>6985.9599999999991</v>
      </c>
      <c r="J519" s="89">
        <f t="shared" si="36"/>
        <v>3949.96</v>
      </c>
      <c r="K519" s="89">
        <f t="shared" si="36"/>
        <v>89</v>
      </c>
      <c r="L519" s="89">
        <f t="shared" si="36"/>
        <v>858024.54999999993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46037.81</v>
      </c>
      <c r="G521" s="18">
        <v>9621.7099999999991</v>
      </c>
      <c r="H521" s="18">
        <v>2810.94</v>
      </c>
      <c r="I521" s="18">
        <v>2114.9699999999998</v>
      </c>
      <c r="J521" s="18">
        <v>50.35</v>
      </c>
      <c r="K521" s="18">
        <v>202.83</v>
      </c>
      <c r="L521" s="88">
        <f>SUM(F521:K521)</f>
        <v>60838.61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15032.76</v>
      </c>
      <c r="G522" s="18">
        <v>3141.78</v>
      </c>
      <c r="H522" s="18">
        <v>917.86</v>
      </c>
      <c r="I522" s="18">
        <v>386.89</v>
      </c>
      <c r="J522" s="18">
        <v>16.440000000000001</v>
      </c>
      <c r="K522" s="18">
        <v>66.23</v>
      </c>
      <c r="L522" s="88">
        <f>SUM(F522:K522)</f>
        <v>19561.96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32884.160000000003</v>
      </c>
      <c r="G523" s="18">
        <v>6872.65</v>
      </c>
      <c r="H523" s="18">
        <v>2007.82</v>
      </c>
      <c r="I523" s="18">
        <v>77.38</v>
      </c>
      <c r="J523" s="18">
        <v>35.97</v>
      </c>
      <c r="K523" s="18">
        <v>144.88</v>
      </c>
      <c r="L523" s="88">
        <f>SUM(F523:K523)</f>
        <v>42022.86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93954.73000000001</v>
      </c>
      <c r="G524" s="89">
        <f t="shared" ref="G524:L524" si="37">SUM(G521:G523)</f>
        <v>19636.14</v>
      </c>
      <c r="H524" s="89">
        <f t="shared" si="37"/>
        <v>5736.62</v>
      </c>
      <c r="I524" s="89">
        <f t="shared" si="37"/>
        <v>2579.2399999999998</v>
      </c>
      <c r="J524" s="89">
        <f t="shared" si="37"/>
        <v>102.76</v>
      </c>
      <c r="K524" s="89">
        <f t="shared" si="37"/>
        <v>413.94</v>
      </c>
      <c r="L524" s="89">
        <f t="shared" si="37"/>
        <v>122423.43000000001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f>782.05+223.12</f>
        <v>1005.17</v>
      </c>
      <c r="G531" s="18">
        <f>59.84+17.08</f>
        <v>76.92</v>
      </c>
      <c r="H531" s="18">
        <v>24555.88</v>
      </c>
      <c r="I531" s="18"/>
      <c r="J531" s="18"/>
      <c r="K531" s="18"/>
      <c r="L531" s="88">
        <f>SUM(F531:K531)</f>
        <v>25637.97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f>143.06+1034.24</f>
        <v>1177.3</v>
      </c>
      <c r="G532" s="18">
        <f>10.95+79.06</f>
        <v>90.01</v>
      </c>
      <c r="H532" s="18">
        <v>16948.55</v>
      </c>
      <c r="I532" s="18"/>
      <c r="J532" s="18"/>
      <c r="K532" s="18"/>
      <c r="L532" s="88">
        <f>SUM(F532:K532)</f>
        <v>18215.86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f>28.61+229.25</f>
        <v>257.86</v>
      </c>
      <c r="G533" s="18">
        <f>2.19+17.49</f>
        <v>19.68</v>
      </c>
      <c r="H533" s="18">
        <v>20213.18</v>
      </c>
      <c r="I533" s="18"/>
      <c r="J533" s="18"/>
      <c r="K533" s="18"/>
      <c r="L533" s="88">
        <f>SUM(F533:K533)</f>
        <v>20490.72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2440.33</v>
      </c>
      <c r="G534" s="194">
        <f t="shared" ref="G534:L534" si="39">SUM(G531:G533)</f>
        <v>186.61</v>
      </c>
      <c r="H534" s="194">
        <f t="shared" si="39"/>
        <v>61717.61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64344.55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2193312.2600000002</v>
      </c>
      <c r="G535" s="89">
        <f t="shared" ref="G535:L535" si="40">G514+G519+G524+G529+G534</f>
        <v>462487.86</v>
      </c>
      <c r="H535" s="89">
        <f t="shared" si="40"/>
        <v>1416725.9600000002</v>
      </c>
      <c r="I535" s="89">
        <f t="shared" si="40"/>
        <v>22003.67</v>
      </c>
      <c r="J535" s="89">
        <f t="shared" si="40"/>
        <v>5520.32</v>
      </c>
      <c r="K535" s="89">
        <f t="shared" si="40"/>
        <v>674.68000000000006</v>
      </c>
      <c r="L535" s="89">
        <f t="shared" si="40"/>
        <v>4100724.75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1180250.97</v>
      </c>
      <c r="G539" s="87">
        <f>L516</f>
        <v>620117.94999999995</v>
      </c>
      <c r="H539" s="87">
        <f>L521</f>
        <v>60838.61</v>
      </c>
      <c r="I539" s="87">
        <f>L526</f>
        <v>0</v>
      </c>
      <c r="J539" s="87">
        <f>L531</f>
        <v>25637.97</v>
      </c>
      <c r="K539" s="87">
        <f>SUM(F539:J539)</f>
        <v>1886845.5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618389.76000000001</v>
      </c>
      <c r="G540" s="87">
        <f>L517</f>
        <v>71508.25</v>
      </c>
      <c r="H540" s="87">
        <f>L522</f>
        <v>19561.96</v>
      </c>
      <c r="I540" s="87">
        <f>L527</f>
        <v>0</v>
      </c>
      <c r="J540" s="87">
        <f>L532</f>
        <v>18215.86</v>
      </c>
      <c r="K540" s="87">
        <f>SUM(F540:J540)</f>
        <v>727675.83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1257291.4900000002</v>
      </c>
      <c r="G541" s="87">
        <f>L518</f>
        <v>166398.35</v>
      </c>
      <c r="H541" s="87">
        <f>L523</f>
        <v>42022.86</v>
      </c>
      <c r="I541" s="87">
        <f>L528</f>
        <v>0</v>
      </c>
      <c r="J541" s="87">
        <f>L533</f>
        <v>20490.72</v>
      </c>
      <c r="K541" s="87">
        <f>SUM(F541:J541)</f>
        <v>1486203.4200000004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3055932.22</v>
      </c>
      <c r="G542" s="89">
        <f t="shared" si="41"/>
        <v>858024.54999999993</v>
      </c>
      <c r="H542" s="89">
        <f t="shared" si="41"/>
        <v>122423.43000000001</v>
      </c>
      <c r="I542" s="89">
        <f t="shared" si="41"/>
        <v>0</v>
      </c>
      <c r="J542" s="89">
        <f t="shared" si="41"/>
        <v>64344.55</v>
      </c>
      <c r="K542" s="89">
        <f t="shared" si="41"/>
        <v>4100724.7500000005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646816.5</v>
      </c>
      <c r="G547" s="18">
        <v>123201.02</v>
      </c>
      <c r="H547" s="18">
        <v>29819.59</v>
      </c>
      <c r="I547" s="18">
        <v>51232.61</v>
      </c>
      <c r="J547" s="18">
        <v>3211</v>
      </c>
      <c r="K547" s="18">
        <v>232.5</v>
      </c>
      <c r="L547" s="88">
        <f>SUM(F547:K547)</f>
        <v>854513.22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15901.07</v>
      </c>
      <c r="G548" s="18">
        <v>1272.79</v>
      </c>
      <c r="H548" s="18"/>
      <c r="I548" s="18"/>
      <c r="J548" s="18"/>
      <c r="K548" s="18"/>
      <c r="L548" s="88">
        <f>SUM(F548:K548)</f>
        <v>17173.86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>
        <v>33600</v>
      </c>
      <c r="I549" s="18"/>
      <c r="J549" s="18"/>
      <c r="K549" s="18"/>
      <c r="L549" s="88">
        <f>SUM(F549:K549)</f>
        <v>33600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662717.56999999995</v>
      </c>
      <c r="G550" s="108">
        <f t="shared" si="42"/>
        <v>124473.81</v>
      </c>
      <c r="H550" s="108">
        <f t="shared" si="42"/>
        <v>63419.59</v>
      </c>
      <c r="I550" s="108">
        <f t="shared" si="42"/>
        <v>51232.61</v>
      </c>
      <c r="J550" s="108">
        <f t="shared" si="42"/>
        <v>3211</v>
      </c>
      <c r="K550" s="108">
        <f t="shared" si="42"/>
        <v>232.5</v>
      </c>
      <c r="L550" s="89">
        <f t="shared" si="42"/>
        <v>905287.08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662717.56999999995</v>
      </c>
      <c r="G561" s="89">
        <f t="shared" ref="G561:L561" si="45">G550+G555+G560</f>
        <v>124473.81</v>
      </c>
      <c r="H561" s="89">
        <f t="shared" si="45"/>
        <v>63419.59</v>
      </c>
      <c r="I561" s="89">
        <f t="shared" si="45"/>
        <v>51232.61</v>
      </c>
      <c r="J561" s="89">
        <f t="shared" si="45"/>
        <v>3211</v>
      </c>
      <c r="K561" s="89">
        <f t="shared" si="45"/>
        <v>232.5</v>
      </c>
      <c r="L561" s="89">
        <f t="shared" si="45"/>
        <v>905287.08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23761.05</v>
      </c>
      <c r="G569" s="18">
        <v>26154</v>
      </c>
      <c r="H569" s="18">
        <v>3514.35</v>
      </c>
      <c r="I569" s="87">
        <f t="shared" si="46"/>
        <v>53429.4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10977</v>
      </c>
      <c r="I570" s="87">
        <f t="shared" si="46"/>
        <v>10977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185468.42+14771.87</f>
        <v>200240.29</v>
      </c>
      <c r="G572" s="18">
        <v>174805.47</v>
      </c>
      <c r="H572" s="18">
        <f>38920.28+618873.95</f>
        <v>657794.23</v>
      </c>
      <c r="I572" s="87">
        <f t="shared" si="46"/>
        <v>1032839.99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245154.41+4181.55+217.93+128.1+5.75</f>
        <v>249687.74</v>
      </c>
      <c r="I581" s="18">
        <f>108510.97+1850.85+107.49+56.7+2.55</f>
        <v>110528.56000000001</v>
      </c>
      <c r="J581" s="18">
        <f>48227.1+822.6+94.41+25.2+1.13</f>
        <v>49170.439999999995</v>
      </c>
      <c r="K581" s="104">
        <f t="shared" ref="K581:K587" si="47">SUM(H581:J581)</f>
        <v>409386.74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24796.08+841.89</f>
        <v>25637.97</v>
      </c>
      <c r="I582" s="18">
        <f>18061.85+154.01</f>
        <v>18215.859999999997</v>
      </c>
      <c r="J582" s="18">
        <f>20459.92+30.8</f>
        <v>20490.719999999998</v>
      </c>
      <c r="K582" s="104">
        <f t="shared" si="47"/>
        <v>64344.55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128.22</v>
      </c>
      <c r="I584" s="18">
        <v>3492.21</v>
      </c>
      <c r="J584" s="18">
        <v>18949.580000000002</v>
      </c>
      <c r="K584" s="104">
        <f t="shared" si="47"/>
        <v>22570.010000000002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3229.47</v>
      </c>
      <c r="I585" s="18">
        <v>1685.13</v>
      </c>
      <c r="J585" s="18">
        <v>3868.25</v>
      </c>
      <c r="K585" s="104">
        <f t="shared" si="47"/>
        <v>8782.85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1471.71</v>
      </c>
      <c r="I587" s="18">
        <v>864.34</v>
      </c>
      <c r="J587" s="18"/>
      <c r="K587" s="104">
        <f t="shared" si="47"/>
        <v>2336.0500000000002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280155.10999999993</v>
      </c>
      <c r="I588" s="108">
        <f>SUM(I581:I587)</f>
        <v>134786.1</v>
      </c>
      <c r="J588" s="108">
        <f>SUM(J581:J587)</f>
        <v>92478.989999999991</v>
      </c>
      <c r="K588" s="108">
        <f>SUM(K581:K587)</f>
        <v>507420.19999999995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178882.61+27185</f>
        <v>206067.61</v>
      </c>
      <c r="I594" s="18">
        <v>76298.02</v>
      </c>
      <c r="J594" s="18">
        <v>141622.1</v>
      </c>
      <c r="K594" s="104">
        <f>SUM(H594:J594)</f>
        <v>423987.73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206067.61</v>
      </c>
      <c r="I595" s="108">
        <f>SUM(I592:I594)</f>
        <v>76298.02</v>
      </c>
      <c r="J595" s="108">
        <f>SUM(J592:J594)</f>
        <v>141622.1</v>
      </c>
      <c r="K595" s="108">
        <f>SUM(K592:K594)</f>
        <v>423987.73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0</v>
      </c>
      <c r="H607" s="109">
        <f>SUM(F44)</f>
        <v>0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118343.35</v>
      </c>
      <c r="H608" s="109">
        <f>SUM(G44)</f>
        <v>118343.35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17528.12</v>
      </c>
      <c r="H609" s="109">
        <f>SUM(H44)</f>
        <v>17528.12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118343.35</v>
      </c>
      <c r="H613" s="109">
        <f>G466</f>
        <v>118343.34999999998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17528.12</v>
      </c>
      <c r="H614" s="109">
        <f>H466</f>
        <v>17528.120000000112</v>
      </c>
      <c r="I614" s="121" t="s">
        <v>110</v>
      </c>
      <c r="J614" s="109">
        <f t="shared" si="49"/>
        <v>-1.127773430198431E-10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16411452.299999997</v>
      </c>
      <c r="H617" s="104">
        <f>SUM(F458)</f>
        <v>16411452.299999999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642528.23</v>
      </c>
      <c r="H618" s="104">
        <f>SUM(G458)</f>
        <v>642528.23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2337686.92</v>
      </c>
      <c r="H619" s="104">
        <f>SUM(H458)</f>
        <v>2337686.92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16411452.300000001</v>
      </c>
      <c r="H622" s="104">
        <f>SUM(F462)</f>
        <v>16411452.299999999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2363645.5099999998</v>
      </c>
      <c r="H623" s="104">
        <f>SUM(H462)</f>
        <v>2363645.5099999998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320733.19</v>
      </c>
      <c r="H624" s="104">
        <f>I361</f>
        <v>320733.19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627802.48</v>
      </c>
      <c r="H625" s="104">
        <f>SUM(G462)</f>
        <v>627802.48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507420.19999999995</v>
      </c>
      <c r="H637" s="104">
        <f>L200+L218+L236</f>
        <v>507420.20000000007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423987.73</v>
      </c>
      <c r="H638" s="104">
        <f>(J249+J330)-(J247+J328)</f>
        <v>423987.73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280155.11000000004</v>
      </c>
      <c r="H639" s="104">
        <f>H588</f>
        <v>280155.10999999993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134786.1</v>
      </c>
      <c r="H640" s="104">
        <f>I588</f>
        <v>134786.1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92478.99</v>
      </c>
      <c r="H641" s="104">
        <f>J588</f>
        <v>92478.989999999991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8393599.2700000014</v>
      </c>
      <c r="G650" s="19">
        <f>(L221+L301+L351)</f>
        <v>3528613.49</v>
      </c>
      <c r="H650" s="19">
        <f>(L239+L320+L352)</f>
        <v>7368917.3400000008</v>
      </c>
      <c r="I650" s="19">
        <f>SUM(F650:H650)</f>
        <v>19291130.100000001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82577.050804417828</v>
      </c>
      <c r="G651" s="19">
        <f>(L351/IF(SUM(L350:L352)=0,1,SUM(L350:L352))*(SUM(G89:G102)))</f>
        <v>39492.352467545206</v>
      </c>
      <c r="H651" s="19">
        <f>(L352/IF(SUM(L350:L352)=0,1,SUM(L350:L352))*(SUM(G89:G102)))</f>
        <v>92087.446728036986</v>
      </c>
      <c r="I651" s="19">
        <f>SUM(F651:H651)</f>
        <v>214156.85000000003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182899.76000000004</v>
      </c>
      <c r="G652" s="19">
        <f>(L218+L298)-(J218+J298)</f>
        <v>91738.650000000009</v>
      </c>
      <c r="H652" s="19">
        <f>(L236+L317)-(J236+J317)</f>
        <v>73346.790000000008</v>
      </c>
      <c r="I652" s="19">
        <f>SUM(F652:H652)</f>
        <v>347985.20000000007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430068.94999999995</v>
      </c>
      <c r="G653" s="200">
        <f>SUM(G565:G577)+SUM(I592:I594)+L602</f>
        <v>277257.49</v>
      </c>
      <c r="H653" s="200">
        <f>SUM(H565:H577)+SUM(J592:J594)+L603</f>
        <v>813907.67999999993</v>
      </c>
      <c r="I653" s="19">
        <f>SUM(F653:H653)</f>
        <v>1521234.1199999999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7698053.5091955839</v>
      </c>
      <c r="G654" s="19">
        <f>G650-SUM(G651:G653)</f>
        <v>3120124.9975324553</v>
      </c>
      <c r="H654" s="19">
        <f>H650-SUM(H651:H653)</f>
        <v>6389575.4232719634</v>
      </c>
      <c r="I654" s="19">
        <f>I650-SUM(I651:I653)</f>
        <v>17207753.93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627.66999999999996</v>
      </c>
      <c r="G655" s="249">
        <v>221.81</v>
      </c>
      <c r="H655" s="249">
        <v>500.79</v>
      </c>
      <c r="I655" s="19">
        <f>SUM(F655:H655)</f>
        <v>1350.27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12264.49</v>
      </c>
      <c r="G657" s="19">
        <f>ROUND(G654/G655,2)</f>
        <v>14066.66</v>
      </c>
      <c r="H657" s="19">
        <f>ROUND(H654/H655,2)</f>
        <v>12758.99</v>
      </c>
      <c r="I657" s="19">
        <f>ROUND(I654/I655,2)</f>
        <v>12743.94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4.83</v>
      </c>
      <c r="I660" s="19">
        <f>SUM(F660:H660)</f>
        <v>4.83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12264.49</v>
      </c>
      <c r="G662" s="19">
        <f>ROUND((G654+G659)/(G655+G660),2)</f>
        <v>14066.66</v>
      </c>
      <c r="H662" s="19">
        <f>ROUND((H654+H659)/(H655+H660),2)</f>
        <v>12637.11</v>
      </c>
      <c r="I662" s="19">
        <f>ROUND((I654+I659)/(I655+I660),2)</f>
        <v>12698.51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52CA-1B4B-45A5-AD5A-F7E0596785B7}">
  <sheetPr>
    <tabColor indexed="20"/>
  </sheetPr>
  <dimension ref="A1:C52"/>
  <sheetViews>
    <sheetView topLeftCell="A25" zoomScale="150" zoomScaleNormal="150"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Berlin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5119886.54</v>
      </c>
      <c r="C9" s="230">
        <f>'DOE25'!G189+'DOE25'!G207+'DOE25'!G225+'DOE25'!G268+'DOE25'!G287+'DOE25'!G306</f>
        <v>1712694.55</v>
      </c>
    </row>
    <row r="10" spans="1:3" x14ac:dyDescent="0.2">
      <c r="A10" t="s">
        <v>813</v>
      </c>
      <c r="B10" s="241">
        <v>4960775.3</v>
      </c>
      <c r="C10" s="241">
        <v>1699586.84</v>
      </c>
    </row>
    <row r="11" spans="1:3" x14ac:dyDescent="0.2">
      <c r="A11" t="s">
        <v>814</v>
      </c>
      <c r="B11" s="241">
        <v>68407.990000000005</v>
      </c>
      <c r="C11" s="241">
        <v>5636.78</v>
      </c>
    </row>
    <row r="12" spans="1:3" x14ac:dyDescent="0.2">
      <c r="A12" t="s">
        <v>815</v>
      </c>
      <c r="B12" s="241">
        <v>90703.25</v>
      </c>
      <c r="C12" s="241">
        <f>7470.93</f>
        <v>7470.93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5119886.54</v>
      </c>
      <c r="C13" s="232">
        <f>SUM(C10:C12)</f>
        <v>1712694.55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2286366.2400000002</v>
      </c>
      <c r="C18" s="230">
        <f>'DOE25'!G190+'DOE25'!G208+'DOE25'!G226+'DOE25'!G269+'DOE25'!G288+'DOE25'!G307</f>
        <v>439229.72000000003</v>
      </c>
    </row>
    <row r="19" spans="1:3" x14ac:dyDescent="0.2">
      <c r="A19" t="s">
        <v>813</v>
      </c>
      <c r="B19" s="241">
        <f>955934.6+8338+4169</f>
        <v>968441.6</v>
      </c>
      <c r="C19" s="241">
        <v>334743.84999999998</v>
      </c>
    </row>
    <row r="20" spans="1:3" x14ac:dyDescent="0.2">
      <c r="A20" t="s">
        <v>814</v>
      </c>
      <c r="B20" s="241">
        <v>1233193.21</v>
      </c>
      <c r="C20" s="241">
        <v>97751.19</v>
      </c>
    </row>
    <row r="21" spans="1:3" x14ac:dyDescent="0.2">
      <c r="A21" t="s">
        <v>815</v>
      </c>
      <c r="B21" s="241">
        <v>84731.43</v>
      </c>
      <c r="C21" s="241">
        <v>6734.68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2286366.2400000002</v>
      </c>
      <c r="C22" s="232">
        <f>SUM(C19:C21)</f>
        <v>439229.72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456508.99</v>
      </c>
      <c r="C27" s="235">
        <f>'DOE25'!G191+'DOE25'!G209+'DOE25'!G227+'DOE25'!G270+'DOE25'!G289+'DOE25'!G308</f>
        <v>181655.66000000003</v>
      </c>
    </row>
    <row r="28" spans="1:3" x14ac:dyDescent="0.2">
      <c r="A28" t="s">
        <v>813</v>
      </c>
      <c r="B28" s="241">
        <v>439892.39</v>
      </c>
      <c r="C28" s="241">
        <v>180384.49</v>
      </c>
    </row>
    <row r="29" spans="1:3" x14ac:dyDescent="0.2">
      <c r="A29" t="s">
        <v>814</v>
      </c>
      <c r="B29" s="241">
        <v>16616.599999999999</v>
      </c>
      <c r="C29" s="241">
        <v>1271.17</v>
      </c>
    </row>
    <row r="30" spans="1:3" x14ac:dyDescent="0.2">
      <c r="A30" t="s">
        <v>815</v>
      </c>
      <c r="B30" s="241">
        <v>0</v>
      </c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456508.99</v>
      </c>
      <c r="C31" s="232">
        <f>SUM(C28:C30)</f>
        <v>181655.66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324065.02999999997</v>
      </c>
      <c r="C36" s="236">
        <f>'DOE25'!G192+'DOE25'!G210+'DOE25'!G228+'DOE25'!G271+'DOE25'!G290+'DOE25'!G309</f>
        <v>41396.719999999994</v>
      </c>
    </row>
    <row r="37" spans="1:3" x14ac:dyDescent="0.2">
      <c r="A37" t="s">
        <v>813</v>
      </c>
      <c r="B37" s="241">
        <v>0</v>
      </c>
      <c r="C37" s="241">
        <v>0</v>
      </c>
    </row>
    <row r="38" spans="1:3" x14ac:dyDescent="0.2">
      <c r="A38" t="s">
        <v>814</v>
      </c>
      <c r="B38" s="241">
        <v>12051.78</v>
      </c>
      <c r="C38" s="241">
        <v>939.66</v>
      </c>
    </row>
    <row r="39" spans="1:3" x14ac:dyDescent="0.2">
      <c r="A39" t="s">
        <v>815</v>
      </c>
      <c r="B39" s="241">
        <v>312013.25</v>
      </c>
      <c r="C39" s="241">
        <v>40457.06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324065.03000000003</v>
      </c>
      <c r="C40" s="232">
        <f>SUM(C37:C39)</f>
        <v>41396.720000000001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54F5-1563-4571-B6C6-EAF0FA51030D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Berlin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10858661.359999999</v>
      </c>
      <c r="D5" s="20">
        <f>SUM('DOE25'!L189:L192)+SUM('DOE25'!L207:L210)+SUM('DOE25'!L225:L228)-F5-G5</f>
        <v>10793581.57</v>
      </c>
      <c r="E5" s="244"/>
      <c r="F5" s="256">
        <f>SUM('DOE25'!J189:J192)+SUM('DOE25'!J207:J210)+SUM('DOE25'!J225:J228)</f>
        <v>56306.84</v>
      </c>
      <c r="G5" s="53">
        <f>SUM('DOE25'!K189:K192)+SUM('DOE25'!K207:K210)+SUM('DOE25'!K225:K228)</f>
        <v>8772.9500000000007</v>
      </c>
      <c r="H5" s="260"/>
    </row>
    <row r="6" spans="1:9" x14ac:dyDescent="0.2">
      <c r="A6" s="32">
        <v>2100</v>
      </c>
      <c r="B6" t="s">
        <v>835</v>
      </c>
      <c r="C6" s="246">
        <f t="shared" si="0"/>
        <v>1184997.1499999999</v>
      </c>
      <c r="D6" s="20">
        <f>'DOE25'!L194+'DOE25'!L212+'DOE25'!L230-F6-G6</f>
        <v>1175498.8999999999</v>
      </c>
      <c r="E6" s="244"/>
      <c r="F6" s="256">
        <f>'DOE25'!J194+'DOE25'!J212+'DOE25'!J230</f>
        <v>8759.25</v>
      </c>
      <c r="G6" s="53">
        <f>'DOE25'!K194+'DOE25'!K212+'DOE25'!K230</f>
        <v>739</v>
      </c>
      <c r="H6" s="260"/>
    </row>
    <row r="7" spans="1:9" x14ac:dyDescent="0.2">
      <c r="A7" s="32">
        <v>2200</v>
      </c>
      <c r="B7" t="s">
        <v>868</v>
      </c>
      <c r="C7" s="246">
        <f t="shared" si="0"/>
        <v>282153.96999999997</v>
      </c>
      <c r="D7" s="20">
        <f>'DOE25'!L195+'DOE25'!L213+'DOE25'!L231-F7-G7</f>
        <v>277076.45999999996</v>
      </c>
      <c r="E7" s="244"/>
      <c r="F7" s="256">
        <f>'DOE25'!J195+'DOE25'!J213+'DOE25'!J231</f>
        <v>4077.51</v>
      </c>
      <c r="G7" s="53">
        <f>'DOE25'!K195+'DOE25'!K213+'DOE25'!K231</f>
        <v>1000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274345.53999999998</v>
      </c>
      <c r="D8" s="244"/>
      <c r="E8" s="20">
        <f>'DOE25'!L196+'DOE25'!L214+'DOE25'!L232-F8-G8-D9-D11</f>
        <v>253924.76999999996</v>
      </c>
      <c r="F8" s="256">
        <f>'DOE25'!J196+'DOE25'!J214+'DOE25'!J232</f>
        <v>1245.7400000000002</v>
      </c>
      <c r="G8" s="53">
        <f>'DOE25'!K196+'DOE25'!K214+'DOE25'!K232</f>
        <v>19175.030000000002</v>
      </c>
      <c r="H8" s="260"/>
    </row>
    <row r="9" spans="1:9" x14ac:dyDescent="0.2">
      <c r="A9" s="32">
        <v>2310</v>
      </c>
      <c r="B9" t="s">
        <v>852</v>
      </c>
      <c r="C9" s="246">
        <f t="shared" si="0"/>
        <v>78099.62</v>
      </c>
      <c r="D9" s="245">
        <f>78056.62+43</f>
        <v>78099.62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204717.57</v>
      </c>
      <c r="D11" s="245">
        <v>204717.57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776126.77</v>
      </c>
      <c r="D12" s="20">
        <f>'DOE25'!L197+'DOE25'!L215+'DOE25'!L233-F12-G12</f>
        <v>763147.49</v>
      </c>
      <c r="E12" s="244"/>
      <c r="F12" s="256">
        <f>'DOE25'!J197+'DOE25'!J215+'DOE25'!J233</f>
        <v>5992.5</v>
      </c>
      <c r="G12" s="53">
        <f>'DOE25'!K197+'DOE25'!K215+'DOE25'!K233</f>
        <v>6986.78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232700.69</v>
      </c>
      <c r="D13" s="244"/>
      <c r="E13" s="20">
        <f>'DOE25'!L198+'DOE25'!L216+'DOE25'!L234-F13-G13</f>
        <v>232365.69</v>
      </c>
      <c r="F13" s="256">
        <f>'DOE25'!J198+'DOE25'!J216+'DOE25'!J234</f>
        <v>0</v>
      </c>
      <c r="G13" s="53">
        <f>'DOE25'!K198+'DOE25'!K216+'DOE25'!K234</f>
        <v>335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2012229.4300000002</v>
      </c>
      <c r="D14" s="20">
        <f>'DOE25'!L199+'DOE25'!L217+'DOE25'!L235-F14-G14</f>
        <v>1980204.7800000003</v>
      </c>
      <c r="E14" s="244"/>
      <c r="F14" s="256">
        <f>'DOE25'!J199+'DOE25'!J217+'DOE25'!J235</f>
        <v>32024.65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507420.20000000007</v>
      </c>
      <c r="D15" s="20">
        <f>'DOE25'!L200+'DOE25'!L218+'DOE25'!L236-F15-G15</f>
        <v>347620.70000000007</v>
      </c>
      <c r="E15" s="244"/>
      <c r="F15" s="256">
        <f>'DOE25'!J200+'DOE25'!J218+'DOE25'!J236</f>
        <v>159435</v>
      </c>
      <c r="G15" s="53">
        <f>'DOE25'!K200+'DOE25'!K218+'DOE25'!K236</f>
        <v>364.5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334197.59999999998</v>
      </c>
      <c r="D29" s="20">
        <f>'DOE25'!L350+'DOE25'!L351+'DOE25'!L352-'DOE25'!I359-F29-G29</f>
        <v>299538.07999999996</v>
      </c>
      <c r="E29" s="244"/>
      <c r="F29" s="256">
        <f>'DOE25'!J350+'DOE25'!J351+'DOE25'!J352</f>
        <v>34524.019999999997</v>
      </c>
      <c r="G29" s="53">
        <f>'DOE25'!K350+'DOE25'!K351+'DOE25'!K352</f>
        <v>135.5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2251875.3199999998</v>
      </c>
      <c r="D31" s="20">
        <f>'DOE25'!L282+'DOE25'!L301+'DOE25'!L320+'DOE25'!L325+'DOE25'!L326+'DOE25'!L327-F31-G31</f>
        <v>2039227.6099999999</v>
      </c>
      <c r="E31" s="244"/>
      <c r="F31" s="256">
        <f>'DOE25'!J282+'DOE25'!J301+'DOE25'!J320+'DOE25'!J325+'DOE25'!J326+'DOE25'!J327</f>
        <v>156146.23999999999</v>
      </c>
      <c r="G31" s="53">
        <f>'DOE25'!K282+'DOE25'!K301+'DOE25'!K320+'DOE25'!K325+'DOE25'!K326+'DOE25'!K327</f>
        <v>56501.47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17958712.780000001</v>
      </c>
      <c r="E33" s="247">
        <f>SUM(E5:E31)</f>
        <v>486290.45999999996</v>
      </c>
      <c r="F33" s="247">
        <f>SUM(F5:F31)</f>
        <v>458511.75</v>
      </c>
      <c r="G33" s="247">
        <f>SUM(G5:G31)</f>
        <v>94010.23000000001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486290.45999999996</v>
      </c>
      <c r="E35" s="250"/>
    </row>
    <row r="36" spans="2:8" ht="12" thickTop="1" x14ac:dyDescent="0.2">
      <c r="B36" t="s">
        <v>849</v>
      </c>
      <c r="D36" s="20">
        <f>D33</f>
        <v>17958712.780000001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8D9-D96F-43EC-81F5-3B1D2FCCA06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Berlin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118343.35</v>
      </c>
      <c r="E9" s="95">
        <f>'DOE25'!H9</f>
        <v>17528.12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0</v>
      </c>
      <c r="D19" s="41">
        <f>SUM(D9:D18)</f>
        <v>118343.35</v>
      </c>
      <c r="E19" s="41">
        <f>SUM(E9:E18)</f>
        <v>17528.12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118343.35</v>
      </c>
      <c r="E40" s="95">
        <f>'DOE25'!H41</f>
        <v>17528.12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118343.35</v>
      </c>
      <c r="E42" s="41">
        <f>SUM(E34:E41)</f>
        <v>17528.12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0</v>
      </c>
      <c r="D43" s="41">
        <f>D42+D32</f>
        <v>118343.35</v>
      </c>
      <c r="E43" s="41">
        <f>E42+E32</f>
        <v>17528.12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2633749.3800000004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1411526.95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4852.75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214156.85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95159.35</v>
      </c>
      <c r="D53" s="95">
        <f>SUM('DOE25'!G90:G102)</f>
        <v>0</v>
      </c>
      <c r="E53" s="95">
        <f>SUM('DOE25'!H90:H102)</f>
        <v>67825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1511539.05</v>
      </c>
      <c r="D54" s="130">
        <f>SUM(D49:D53)</f>
        <v>214156.85</v>
      </c>
      <c r="E54" s="130">
        <f>SUM(E49:E53)</f>
        <v>67825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4145288.4300000006</v>
      </c>
      <c r="D55" s="22">
        <f>D48+D54</f>
        <v>214156.85</v>
      </c>
      <c r="E55" s="22">
        <f>E48+E54</f>
        <v>67825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7763454.0599999996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835738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2978595.94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11577787.999999998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345786.78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77837.149999999994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35876.769999999997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10636.19</v>
      </c>
      <c r="E69" s="95">
        <f>SUM('DOE25'!H123:H127)</f>
        <v>18000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459500.70000000007</v>
      </c>
      <c r="D70" s="130">
        <f>SUM(D64:D69)</f>
        <v>10636.19</v>
      </c>
      <c r="E70" s="130">
        <f>SUM(E64:E69)</f>
        <v>18000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12037288.699999997</v>
      </c>
      <c r="D73" s="130">
        <f>SUM(D71:D72)+D70+D62</f>
        <v>10636.19</v>
      </c>
      <c r="E73" s="130">
        <f>SUM(E71:E72)+E70+E62</f>
        <v>18000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111770.19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181523.82</v>
      </c>
      <c r="D80" s="95">
        <f>SUM('DOE25'!G145:G153)</f>
        <v>417735.19</v>
      </c>
      <c r="E80" s="95">
        <f>SUM('DOE25'!H145:H153)</f>
        <v>2140091.73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19118.509999999998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28232.84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228875.17</v>
      </c>
      <c r="D83" s="131">
        <f>SUM(D77:D82)</f>
        <v>417735.19</v>
      </c>
      <c r="E83" s="131">
        <f>SUM(E77:E82)</f>
        <v>2251861.92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16411452.299999999</v>
      </c>
      <c r="D96" s="86">
        <f>D55+D73+D83+D95</f>
        <v>642528.23</v>
      </c>
      <c r="E96" s="86">
        <f>E55+E73+E83+E95</f>
        <v>2337686.92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6988118.3099999987</v>
      </c>
      <c r="D101" s="24" t="s">
        <v>312</v>
      </c>
      <c r="E101" s="95">
        <f>('DOE25'!L268)+('DOE25'!L287)+('DOE25'!L306)</f>
        <v>397848.38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2915236.71</v>
      </c>
      <c r="D102" s="24" t="s">
        <v>312</v>
      </c>
      <c r="E102" s="95">
        <f>('DOE25'!L269)+('DOE25'!L288)+('DOE25'!L307)</f>
        <v>1081951.48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680917.44000000006</v>
      </c>
      <c r="D103" s="24" t="s">
        <v>312</v>
      </c>
      <c r="E103" s="95">
        <f>('DOE25'!L270)+('DOE25'!L289)+('DOE25'!L308)</f>
        <v>86114.78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274388.90000000002</v>
      </c>
      <c r="D104" s="24" t="s">
        <v>312</v>
      </c>
      <c r="E104" s="95">
        <f>+('DOE25'!L271)+('DOE25'!L290)+('DOE25'!L309)</f>
        <v>170287.1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10858661.359999999</v>
      </c>
      <c r="D107" s="86">
        <f>SUM(D101:D106)</f>
        <v>0</v>
      </c>
      <c r="E107" s="86">
        <f>SUM(E101:E106)</f>
        <v>1736201.74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1184997.1499999999</v>
      </c>
      <c r="D110" s="24" t="s">
        <v>312</v>
      </c>
      <c r="E110" s="95">
        <f>+('DOE25'!L273)+('DOE25'!L292)+('DOE25'!L311)</f>
        <v>355466.99999999994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282153.96999999997</v>
      </c>
      <c r="D111" s="24" t="s">
        <v>312</v>
      </c>
      <c r="E111" s="95">
        <f>+('DOE25'!L274)+('DOE25'!L293)+('DOE25'!L312)</f>
        <v>120367.71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557162.73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776126.77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232700.69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2012229.4300000002</v>
      </c>
      <c r="D115" s="24" t="s">
        <v>312</v>
      </c>
      <c r="E115" s="95">
        <f>+('DOE25'!L278)+('DOE25'!L297)+('DOE25'!L316)</f>
        <v>39838.870000000003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507420.20000000007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627802.48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5552790.9400000004</v>
      </c>
      <c r="D120" s="86">
        <f>SUM(D110:D119)</f>
        <v>627802.48</v>
      </c>
      <c r="E120" s="86">
        <f>SUM(E110:E119)</f>
        <v>515673.57999999996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111770.19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111770.19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16411452.300000001</v>
      </c>
      <c r="D137" s="86">
        <f>(D107+D120+D136)</f>
        <v>627802.48</v>
      </c>
      <c r="E137" s="86">
        <f>(E107+E120+E136)</f>
        <v>2363645.5099999998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15</v>
      </c>
      <c r="D143" s="153">
        <f>'DOE25'!H480</f>
        <v>10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12/97</v>
      </c>
      <c r="C144" s="152" t="str">
        <f>'DOE25'!G481</f>
        <v>12/97</v>
      </c>
      <c r="D144" s="152" t="str">
        <f>'DOE25'!H481</f>
        <v>07/06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01/13</v>
      </c>
      <c r="C145" s="152" t="str">
        <f>'DOE25'!G482</f>
        <v>01/13</v>
      </c>
      <c r="D145" s="152" t="str">
        <f>'DOE25'!H482</f>
        <v>07/16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1500000</v>
      </c>
      <c r="C146" s="137">
        <f>'DOE25'!G483</f>
        <v>4500000</v>
      </c>
      <c r="D146" s="137">
        <f>'DOE25'!H483</f>
        <v>2146074.81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</v>
      </c>
      <c r="C147" s="137">
        <f>'DOE25'!G484</f>
        <v>4.7</v>
      </c>
      <c r="D147" s="137">
        <f>'DOE25'!H484</f>
        <v>4.2949999999999999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400000</v>
      </c>
      <c r="C148" s="137">
        <f>'DOE25'!G485</f>
        <v>1200000</v>
      </c>
      <c r="D148" s="137">
        <f>'DOE25'!H485</f>
        <v>1427188.55</v>
      </c>
      <c r="E148" s="137">
        <f>'DOE25'!I485</f>
        <v>0</v>
      </c>
      <c r="F148" s="137">
        <f>'DOE25'!J485</f>
        <v>0</v>
      </c>
      <c r="G148" s="138">
        <f>SUM(B148:F148)</f>
        <v>3027188.55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-31871.119999999999</v>
      </c>
      <c r="E149" s="137" t="str">
        <f>'DOE25'!I486</f>
        <v>see notes pg</v>
      </c>
      <c r="F149" s="137">
        <f>'DOE25'!J486</f>
        <v>0</v>
      </c>
      <c r="G149" s="138">
        <f t="shared" ref="G149:G156" si="0">SUM(B149:F149)</f>
        <v>-31871.119999999999</v>
      </c>
    </row>
    <row r="150" spans="1:7" x14ac:dyDescent="0.2">
      <c r="A150" s="22" t="s">
        <v>34</v>
      </c>
      <c r="B150" s="137">
        <f>'DOE25'!F487</f>
        <v>100000</v>
      </c>
      <c r="C150" s="137">
        <f>'DOE25'!G487</f>
        <v>300000</v>
      </c>
      <c r="D150" s="137">
        <f>'DOE25'!H487</f>
        <v>149389.76999999999</v>
      </c>
      <c r="E150" s="137">
        <f>'DOE25'!I487</f>
        <v>0</v>
      </c>
      <c r="F150" s="137">
        <f>'DOE25'!J487</f>
        <v>0</v>
      </c>
      <c r="G150" s="138">
        <f t="shared" si="0"/>
        <v>549389.77</v>
      </c>
    </row>
    <row r="151" spans="1:7" x14ac:dyDescent="0.2">
      <c r="A151" s="22" t="s">
        <v>35</v>
      </c>
      <c r="B151" s="137">
        <f>'DOE25'!F488</f>
        <v>300000</v>
      </c>
      <c r="C151" s="137">
        <f>'DOE25'!G488</f>
        <v>900000</v>
      </c>
      <c r="D151" s="137">
        <f>'DOE25'!H488</f>
        <v>1245927.6599999999</v>
      </c>
      <c r="E151" s="137">
        <f>'DOE25'!I488</f>
        <v>0</v>
      </c>
      <c r="F151" s="137">
        <f>'DOE25'!J488</f>
        <v>0</v>
      </c>
      <c r="G151" s="138">
        <f t="shared" si="0"/>
        <v>2445927.66</v>
      </c>
    </row>
    <row r="152" spans="1:7" x14ac:dyDescent="0.2">
      <c r="A152" s="22" t="s">
        <v>36</v>
      </c>
      <c r="B152" s="137">
        <f>'DOE25'!F489</f>
        <v>29300</v>
      </c>
      <c r="C152" s="137">
        <f>'DOE25'!G489</f>
        <v>87300</v>
      </c>
      <c r="D152" s="137">
        <f>'DOE25'!H489</f>
        <v>227660.33</v>
      </c>
      <c r="E152" s="137">
        <f>'DOE25'!I489</f>
        <v>0</v>
      </c>
      <c r="F152" s="137">
        <f>'DOE25'!J489</f>
        <v>0</v>
      </c>
      <c r="G152" s="138">
        <f t="shared" si="0"/>
        <v>344260.32999999996</v>
      </c>
    </row>
    <row r="153" spans="1:7" x14ac:dyDescent="0.2">
      <c r="A153" s="22" t="s">
        <v>37</v>
      </c>
      <c r="B153" s="137">
        <f>'DOE25'!F490</f>
        <v>329300</v>
      </c>
      <c r="C153" s="137">
        <f>'DOE25'!G490</f>
        <v>987300</v>
      </c>
      <c r="D153" s="137">
        <f>'DOE25'!H490</f>
        <v>1473587.99</v>
      </c>
      <c r="E153" s="137">
        <f>'DOE25'!I490</f>
        <v>0</v>
      </c>
      <c r="F153" s="137">
        <f>'DOE25'!J490</f>
        <v>0</v>
      </c>
      <c r="G153" s="138">
        <f t="shared" si="0"/>
        <v>2790187.99</v>
      </c>
    </row>
    <row r="154" spans="1:7" x14ac:dyDescent="0.2">
      <c r="A154" s="22" t="s">
        <v>38</v>
      </c>
      <c r="B154" s="137">
        <f>'DOE25'!F491</f>
        <v>100000</v>
      </c>
      <c r="C154" s="137">
        <f>'DOE25'!G491</f>
        <v>300000</v>
      </c>
      <c r="D154" s="137">
        <f>'DOE25'!H491</f>
        <v>155933.89000000001</v>
      </c>
      <c r="E154" s="137">
        <f>'DOE25'!I491</f>
        <v>0</v>
      </c>
      <c r="F154" s="137">
        <f>'DOE25'!J491</f>
        <v>0</v>
      </c>
      <c r="G154" s="138">
        <f t="shared" si="0"/>
        <v>555933.89</v>
      </c>
    </row>
    <row r="155" spans="1:7" x14ac:dyDescent="0.2">
      <c r="A155" s="22" t="s">
        <v>39</v>
      </c>
      <c r="B155" s="137">
        <f>'DOE25'!F492</f>
        <v>14600</v>
      </c>
      <c r="C155" s="137">
        <f>'DOE25'!G492</f>
        <v>43500</v>
      </c>
      <c r="D155" s="137">
        <f>'DOE25'!H492</f>
        <v>54578.68</v>
      </c>
      <c r="E155" s="137">
        <f>'DOE25'!I492</f>
        <v>0</v>
      </c>
      <c r="F155" s="137">
        <f>'DOE25'!J492</f>
        <v>0</v>
      </c>
      <c r="G155" s="138">
        <f t="shared" si="0"/>
        <v>112678.68</v>
      </c>
    </row>
    <row r="156" spans="1:7" x14ac:dyDescent="0.2">
      <c r="A156" s="22" t="s">
        <v>269</v>
      </c>
      <c r="B156" s="137">
        <f>'DOE25'!F493</f>
        <v>114600</v>
      </c>
      <c r="C156" s="137">
        <f>'DOE25'!G493</f>
        <v>343500</v>
      </c>
      <c r="D156" s="137">
        <f>'DOE25'!H493</f>
        <v>210512.57</v>
      </c>
      <c r="E156" s="137">
        <f>'DOE25'!I493</f>
        <v>0</v>
      </c>
      <c r="F156" s="137">
        <f>'DOE25'!J493</f>
        <v>0</v>
      </c>
      <c r="G156" s="138">
        <f t="shared" si="0"/>
        <v>668612.57000000007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4715-09C8-47E2-BD97-D980EDB0A44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Berlin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12264</v>
      </c>
    </row>
    <row r="5" spans="1:4" x14ac:dyDescent="0.2">
      <c r="B5" t="s">
        <v>735</v>
      </c>
      <c r="C5" s="179">
        <f>IF('DOE25'!G655+'DOE25'!G660=0,0,ROUND('DOE25'!G662,0))</f>
        <v>14067</v>
      </c>
    </row>
    <row r="6" spans="1:4" x14ac:dyDescent="0.2">
      <c r="B6" t="s">
        <v>62</v>
      </c>
      <c r="C6" s="179">
        <f>IF('DOE25'!H655+'DOE25'!H660=0,0,ROUND('DOE25'!H662,0))</f>
        <v>12637</v>
      </c>
    </row>
    <row r="7" spans="1:4" x14ac:dyDescent="0.2">
      <c r="B7" t="s">
        <v>736</v>
      </c>
      <c r="C7" s="179">
        <f>IF('DOE25'!I655+'DOE25'!I660=0,0,ROUND('DOE25'!I662,0))</f>
        <v>12699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7385967</v>
      </c>
      <c r="D10" s="182">
        <f>ROUND((C10/$C$28)*100,1)</f>
        <v>38.5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3997188</v>
      </c>
      <c r="D11" s="182">
        <f>ROUND((C11/$C$28)*100,1)</f>
        <v>20.8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767032</v>
      </c>
      <c r="D12" s="182">
        <f>ROUND((C12/$C$28)*100,1)</f>
        <v>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444676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1540464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402522</v>
      </c>
      <c r="D16" s="182">
        <f t="shared" si="0"/>
        <v>2.1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557163</v>
      </c>
      <c r="D17" s="182">
        <f t="shared" si="0"/>
        <v>2.9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776127</v>
      </c>
      <c r="D18" s="182">
        <f t="shared" si="0"/>
        <v>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232701</v>
      </c>
      <c r="D19" s="182">
        <f t="shared" si="0"/>
        <v>1.2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2052068</v>
      </c>
      <c r="D20" s="182">
        <f t="shared" si="0"/>
        <v>10.7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507420</v>
      </c>
      <c r="D21" s="182">
        <f t="shared" si="0"/>
        <v>2.6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111770.19</v>
      </c>
      <c r="D26" s="182">
        <f t="shared" si="0"/>
        <v>0.6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413645.15</v>
      </c>
      <c r="D27" s="182">
        <f t="shared" si="0"/>
        <v>2.2000000000000002</v>
      </c>
    </row>
    <row r="28" spans="1:4" x14ac:dyDescent="0.2">
      <c r="B28" s="187" t="s">
        <v>754</v>
      </c>
      <c r="C28" s="180">
        <f>SUM(C10:C27)</f>
        <v>19188743.34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19188743.34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2633749</v>
      </c>
      <c r="D35" s="182">
        <f t="shared" ref="D35:D40" si="1">ROUND((C35/$C$41)*100,1)</f>
        <v>13.7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1579364.4300000006</v>
      </c>
      <c r="D36" s="182">
        <f t="shared" si="1"/>
        <v>8.1999999999999993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8599192</v>
      </c>
      <c r="D37" s="182">
        <f t="shared" si="1"/>
        <v>44.8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3466733</v>
      </c>
      <c r="D38" s="182">
        <f t="shared" si="1"/>
        <v>18.100000000000001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2898472</v>
      </c>
      <c r="D39" s="182">
        <f t="shared" si="1"/>
        <v>15.1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19177510.43</v>
      </c>
      <c r="D41" s="184">
        <f>SUM(D35:D40)</f>
        <v>99.899999999999977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5C61-96C2-411B-AA7D-276C28AE8C23}">
  <sheetPr>
    <tabColor indexed="17"/>
  </sheetPr>
  <dimension ref="A1:IV90"/>
  <sheetViews>
    <sheetView workbookViewId="0">
      <pane ySplit="3" topLeftCell="A4" activePane="bottomLeft" state="frozen"/>
      <selection pane="bottomLeft" activeCell="A6" sqref="A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Berlin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4</v>
      </c>
      <c r="B4" s="220">
        <v>6</v>
      </c>
      <c r="C4" s="286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2</v>
      </c>
      <c r="C5" s="286" t="s">
        <v>895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20</v>
      </c>
      <c r="B6" s="220">
        <v>7</v>
      </c>
      <c r="C6" s="286" t="s">
        <v>901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2010-08-27T12:08:13Z</cp:lastPrinted>
  <dcterms:created xsi:type="dcterms:W3CDTF">1997-12-04T19:04:30Z</dcterms:created>
  <dcterms:modified xsi:type="dcterms:W3CDTF">2025-01-02T14:37:50Z</dcterms:modified>
</cp:coreProperties>
</file>