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994C393E-13E6-47C9-B8A6-60BA3F480E2E}" xr6:coauthVersionLast="47" xr6:coauthVersionMax="47" xr10:uidLastSave="{00000000-0000-0000-0000-000000000000}"/>
  <workbookProtection workbookPassword="B70A" lockStructure="1"/>
  <bookViews>
    <workbookView xWindow="1125" yWindow="1125" windowWidth="21600" windowHeight="11505" tabRatio="855" xr2:uid="{BEF40521-5D06-4F58-87E3-B9C5C34977A2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5" i="1" l="1"/>
  <c r="F449" i="1"/>
  <c r="F432" i="1"/>
  <c r="H388" i="1"/>
  <c r="H23" i="1"/>
  <c r="G12" i="1"/>
  <c r="F23" i="1"/>
  <c r="F30" i="1"/>
  <c r="I518" i="1"/>
  <c r="I519" i="1" s="1"/>
  <c r="I230" i="1"/>
  <c r="I517" i="1"/>
  <c r="I212" i="1"/>
  <c r="I516" i="1"/>
  <c r="I194" i="1"/>
  <c r="H518" i="1"/>
  <c r="H230" i="1"/>
  <c r="H517" i="1"/>
  <c r="H212" i="1"/>
  <c r="H516" i="1"/>
  <c r="H519" i="1" s="1"/>
  <c r="H194" i="1"/>
  <c r="G518" i="1"/>
  <c r="G519" i="1" s="1"/>
  <c r="G230" i="1"/>
  <c r="G517" i="1"/>
  <c r="G212" i="1"/>
  <c r="G516" i="1"/>
  <c r="G194" i="1"/>
  <c r="F518" i="1"/>
  <c r="F230" i="1"/>
  <c r="F517" i="1"/>
  <c r="F212" i="1"/>
  <c r="F516" i="1"/>
  <c r="L516" i="1" s="1"/>
  <c r="F194" i="1"/>
  <c r="L194" i="1" s="1"/>
  <c r="K513" i="1"/>
  <c r="K511" i="1"/>
  <c r="J511" i="1"/>
  <c r="J514" i="1" s="1"/>
  <c r="J535" i="1" s="1"/>
  <c r="I558" i="1"/>
  <c r="I557" i="1"/>
  <c r="G554" i="1"/>
  <c r="G553" i="1"/>
  <c r="G552" i="1"/>
  <c r="G555" i="1" s="1"/>
  <c r="G489" i="1"/>
  <c r="G490" i="1" s="1"/>
  <c r="C153" i="2" s="1"/>
  <c r="F489" i="1"/>
  <c r="F490" i="1" s="1"/>
  <c r="G488" i="1"/>
  <c r="F488" i="1"/>
  <c r="G432" i="1"/>
  <c r="K414" i="1"/>
  <c r="H389" i="1"/>
  <c r="H380" i="1"/>
  <c r="H381" i="1"/>
  <c r="H359" i="1"/>
  <c r="H361" i="1" s="1"/>
  <c r="G359" i="1"/>
  <c r="G361" i="1" s="1"/>
  <c r="F359" i="1"/>
  <c r="I359" i="1" s="1"/>
  <c r="G269" i="1"/>
  <c r="J307" i="1"/>
  <c r="J320" i="1" s="1"/>
  <c r="J288" i="1"/>
  <c r="J301" i="1" s="1"/>
  <c r="J269" i="1"/>
  <c r="K268" i="1"/>
  <c r="K282" i="1" s="1"/>
  <c r="I268" i="1"/>
  <c r="G268" i="1"/>
  <c r="F268" i="1"/>
  <c r="H312" i="1"/>
  <c r="H293" i="1"/>
  <c r="H301" i="1" s="1"/>
  <c r="H274" i="1"/>
  <c r="L274" i="1" s="1"/>
  <c r="K312" i="1"/>
  <c r="L312" i="1" s="1"/>
  <c r="K293" i="1"/>
  <c r="G312" i="1"/>
  <c r="F312" i="1"/>
  <c r="K269" i="1"/>
  <c r="F269" i="1"/>
  <c r="L269" i="1" s="1"/>
  <c r="K307" i="1"/>
  <c r="K288" i="1"/>
  <c r="G307" i="1"/>
  <c r="G288" i="1"/>
  <c r="F307" i="1"/>
  <c r="L307" i="1" s="1"/>
  <c r="F288" i="1"/>
  <c r="L288" i="1" s="1"/>
  <c r="I269" i="1"/>
  <c r="I282" i="1" s="1"/>
  <c r="I330" i="1" s="1"/>
  <c r="I344" i="1" s="1"/>
  <c r="I288" i="1"/>
  <c r="I307" i="1"/>
  <c r="I513" i="1" s="1"/>
  <c r="H307" i="1"/>
  <c r="H513" i="1" s="1"/>
  <c r="H288" i="1"/>
  <c r="H269" i="1"/>
  <c r="J311" i="1"/>
  <c r="J292" i="1"/>
  <c r="J273" i="1"/>
  <c r="G290" i="1"/>
  <c r="F290" i="1"/>
  <c r="L290" i="1" s="1"/>
  <c r="E104" i="2" s="1"/>
  <c r="K306" i="1"/>
  <c r="K287" i="1"/>
  <c r="K301" i="1" s="1"/>
  <c r="G306" i="1"/>
  <c r="F306" i="1"/>
  <c r="G287" i="1"/>
  <c r="F287" i="1"/>
  <c r="I312" i="1"/>
  <c r="I293" i="1"/>
  <c r="I274" i="1"/>
  <c r="F236" i="1"/>
  <c r="G236" i="1"/>
  <c r="G218" i="1"/>
  <c r="G221" i="1" s="1"/>
  <c r="G200" i="1"/>
  <c r="J236" i="1"/>
  <c r="F15" i="13" s="1"/>
  <c r="J218" i="1"/>
  <c r="J200" i="1"/>
  <c r="I236" i="1"/>
  <c r="I218" i="1"/>
  <c r="I200" i="1"/>
  <c r="H236" i="1"/>
  <c r="H218" i="1"/>
  <c r="H200" i="1"/>
  <c r="F218" i="1"/>
  <c r="F200" i="1"/>
  <c r="L200" i="1" s="1"/>
  <c r="K200" i="1"/>
  <c r="K203" i="1" s="1"/>
  <c r="K218" i="1"/>
  <c r="G15" i="13" s="1"/>
  <c r="K236" i="1"/>
  <c r="H235" i="1"/>
  <c r="H217" i="1"/>
  <c r="H199" i="1"/>
  <c r="G235" i="1"/>
  <c r="G217" i="1"/>
  <c r="G199" i="1"/>
  <c r="I235" i="1"/>
  <c r="I217" i="1"/>
  <c r="I199" i="1"/>
  <c r="L199" i="1" s="1"/>
  <c r="F235" i="1"/>
  <c r="L235" i="1" s="1"/>
  <c r="F217" i="1"/>
  <c r="L217" i="1" s="1"/>
  <c r="F199" i="1"/>
  <c r="K199" i="1"/>
  <c r="J199" i="1"/>
  <c r="J217" i="1"/>
  <c r="J235" i="1"/>
  <c r="F216" i="1"/>
  <c r="L216" i="1" s="1"/>
  <c r="F198" i="1"/>
  <c r="G233" i="1"/>
  <c r="G215" i="1"/>
  <c r="G197" i="1"/>
  <c r="K233" i="1"/>
  <c r="L233" i="1" s="1"/>
  <c r="K215" i="1"/>
  <c r="G12" i="13" s="1"/>
  <c r="K197" i="1"/>
  <c r="J215" i="1"/>
  <c r="J233" i="1"/>
  <c r="I233" i="1"/>
  <c r="I215" i="1"/>
  <c r="H233" i="1"/>
  <c r="H215" i="1"/>
  <c r="H197" i="1"/>
  <c r="F233" i="1"/>
  <c r="F215" i="1"/>
  <c r="L215" i="1" s="1"/>
  <c r="F197" i="1"/>
  <c r="L197" i="1" s="1"/>
  <c r="G232" i="1"/>
  <c r="L232" i="1" s="1"/>
  <c r="G214" i="1"/>
  <c r="G196" i="1"/>
  <c r="K232" i="1"/>
  <c r="K214" i="1"/>
  <c r="K196" i="1"/>
  <c r="J196" i="1"/>
  <c r="J214" i="1"/>
  <c r="J232" i="1"/>
  <c r="I232" i="1"/>
  <c r="I214" i="1"/>
  <c r="L214" i="1" s="1"/>
  <c r="I196" i="1"/>
  <c r="I203" i="1" s="1"/>
  <c r="H232" i="1"/>
  <c r="H214" i="1"/>
  <c r="H196" i="1"/>
  <c r="F232" i="1"/>
  <c r="F214" i="1"/>
  <c r="F196" i="1"/>
  <c r="G231" i="1"/>
  <c r="G213" i="1"/>
  <c r="G195" i="1"/>
  <c r="J231" i="1"/>
  <c r="J213" i="1"/>
  <c r="J221" i="1" s="1"/>
  <c r="J195" i="1"/>
  <c r="F7" i="13" s="1"/>
  <c r="H231" i="1"/>
  <c r="H213" i="1"/>
  <c r="H195" i="1"/>
  <c r="F231" i="1"/>
  <c r="F213" i="1"/>
  <c r="F195" i="1"/>
  <c r="I213" i="1"/>
  <c r="I195" i="1"/>
  <c r="K231" i="1"/>
  <c r="I231" i="1"/>
  <c r="K230" i="1"/>
  <c r="G6" i="13" s="1"/>
  <c r="J230" i="1"/>
  <c r="J239" i="1" s="1"/>
  <c r="J594" i="1" s="1"/>
  <c r="J595" i="1" s="1"/>
  <c r="G228" i="1"/>
  <c r="L228" i="1" s="1"/>
  <c r="F228" i="1"/>
  <c r="G210" i="1"/>
  <c r="F210" i="1"/>
  <c r="K228" i="1"/>
  <c r="J228" i="1"/>
  <c r="J210" i="1"/>
  <c r="I228" i="1"/>
  <c r="I210" i="1"/>
  <c r="I192" i="1"/>
  <c r="H228" i="1"/>
  <c r="H210" i="1"/>
  <c r="G192" i="1"/>
  <c r="C36" i="12" s="1"/>
  <c r="C38" i="12" s="1"/>
  <c r="C40" i="12" s="1"/>
  <c r="K210" i="1"/>
  <c r="K192" i="1"/>
  <c r="F192" i="1"/>
  <c r="B36" i="12" s="1"/>
  <c r="G208" i="1"/>
  <c r="G512" i="1" s="1"/>
  <c r="G190" i="1"/>
  <c r="G511" i="1" s="1"/>
  <c r="I208" i="1"/>
  <c r="I512" i="1" s="1"/>
  <c r="I190" i="1"/>
  <c r="H190" i="1"/>
  <c r="H511" i="1" s="1"/>
  <c r="F190" i="1"/>
  <c r="B18" i="12" s="1"/>
  <c r="F208" i="1"/>
  <c r="F512" i="1" s="1"/>
  <c r="G226" i="1"/>
  <c r="G513" i="1" s="1"/>
  <c r="F226" i="1"/>
  <c r="L226" i="1" s="1"/>
  <c r="K226" i="1"/>
  <c r="K208" i="1"/>
  <c r="K512" i="1" s="1"/>
  <c r="K190" i="1"/>
  <c r="J226" i="1"/>
  <c r="J513" i="1" s="1"/>
  <c r="J208" i="1"/>
  <c r="J512" i="1" s="1"/>
  <c r="J190" i="1"/>
  <c r="I226" i="1"/>
  <c r="H226" i="1"/>
  <c r="H208" i="1"/>
  <c r="H512" i="1" s="1"/>
  <c r="F207" i="1"/>
  <c r="F221" i="1" s="1"/>
  <c r="G189" i="1"/>
  <c r="L189" i="1" s="1"/>
  <c r="G225" i="1"/>
  <c r="G239" i="1" s="1"/>
  <c r="G207" i="1"/>
  <c r="I225" i="1"/>
  <c r="I207" i="1"/>
  <c r="I189" i="1"/>
  <c r="K225" i="1"/>
  <c r="K207" i="1"/>
  <c r="K189" i="1"/>
  <c r="J225" i="1"/>
  <c r="J207" i="1"/>
  <c r="J189" i="1"/>
  <c r="J203" i="1" s="1"/>
  <c r="H225" i="1"/>
  <c r="H207" i="1"/>
  <c r="H221" i="1" s="1"/>
  <c r="H189" i="1"/>
  <c r="F225" i="1"/>
  <c r="F189" i="1"/>
  <c r="H151" i="1"/>
  <c r="H147" i="1"/>
  <c r="H146" i="1"/>
  <c r="G124" i="1"/>
  <c r="G89" i="1"/>
  <c r="F102" i="1"/>
  <c r="F90" i="1"/>
  <c r="C53" i="2" s="1"/>
  <c r="F55" i="1"/>
  <c r="F71" i="1" s="1"/>
  <c r="C49" i="2" s="1"/>
  <c r="C54" i="2" s="1"/>
  <c r="C55" i="2" s="1"/>
  <c r="C60" i="2"/>
  <c r="C62" i="2" s="1"/>
  <c r="B2" i="13"/>
  <c r="G8" i="13"/>
  <c r="D39" i="13"/>
  <c r="G13" i="13"/>
  <c r="L198" i="1"/>
  <c r="F16" i="13"/>
  <c r="G16" i="13"/>
  <c r="L201" i="1"/>
  <c r="C117" i="2" s="1"/>
  <c r="L219" i="1"/>
  <c r="L237" i="1"/>
  <c r="L190" i="1"/>
  <c r="L191" i="1"/>
  <c r="L209" i="1"/>
  <c r="C12" i="10" s="1"/>
  <c r="L210" i="1"/>
  <c r="L225" i="1"/>
  <c r="L212" i="1"/>
  <c r="G7" i="13"/>
  <c r="L195" i="1"/>
  <c r="L231" i="1"/>
  <c r="F14" i="13"/>
  <c r="G14" i="13"/>
  <c r="G17" i="13"/>
  <c r="F19" i="13"/>
  <c r="F29" i="13"/>
  <c r="L350" i="1"/>
  <c r="L352" i="1"/>
  <c r="J282" i="1"/>
  <c r="L268" i="1"/>
  <c r="E101" i="2" s="1"/>
  <c r="L270" i="1"/>
  <c r="L271" i="1"/>
  <c r="L273" i="1"/>
  <c r="L275" i="1"/>
  <c r="L276" i="1"/>
  <c r="L277" i="1"/>
  <c r="L278" i="1"/>
  <c r="L279" i="1"/>
  <c r="E116" i="2" s="1"/>
  <c r="L280" i="1"/>
  <c r="L287" i="1"/>
  <c r="L289" i="1"/>
  <c r="L292" i="1"/>
  <c r="L294" i="1"/>
  <c r="L295" i="1"/>
  <c r="L296" i="1"/>
  <c r="L297" i="1"/>
  <c r="L298" i="1"/>
  <c r="L299" i="1"/>
  <c r="L306" i="1"/>
  <c r="L320" i="1" s="1"/>
  <c r="L308" i="1"/>
  <c r="E103" i="2"/>
  <c r="L309" i="1"/>
  <c r="L311" i="1"/>
  <c r="L313" i="1"/>
  <c r="L314" i="1"/>
  <c r="L315" i="1"/>
  <c r="L316" i="1"/>
  <c r="L317" i="1"/>
  <c r="L318" i="1"/>
  <c r="E117" i="2" s="1"/>
  <c r="L325" i="1"/>
  <c r="L326" i="1"/>
  <c r="L327" i="1"/>
  <c r="E106" i="2" s="1"/>
  <c r="L252" i="1"/>
  <c r="L253" i="1"/>
  <c r="L333" i="1"/>
  <c r="L334" i="1"/>
  <c r="L247" i="1"/>
  <c r="L328" i="1"/>
  <c r="E122" i="2" s="1"/>
  <c r="C11" i="13"/>
  <c r="C10" i="13"/>
  <c r="C9" i="13"/>
  <c r="B4" i="12"/>
  <c r="B27" i="12"/>
  <c r="C27" i="12"/>
  <c r="B31" i="12"/>
  <c r="C31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5" i="2" s="1"/>
  <c r="G51" i="2"/>
  <c r="G53" i="2"/>
  <c r="F2" i="11"/>
  <c r="L603" i="1"/>
  <c r="H653" i="1" s="1"/>
  <c r="L602" i="1"/>
  <c r="L601" i="1"/>
  <c r="C40" i="10"/>
  <c r="F52" i="1"/>
  <c r="C48" i="2"/>
  <c r="G52" i="1"/>
  <c r="D48" i="2" s="1"/>
  <c r="D55" i="2" s="1"/>
  <c r="D96" i="2" s="1"/>
  <c r="H52" i="1"/>
  <c r="E48" i="2" s="1"/>
  <c r="E55" i="2" s="1"/>
  <c r="I52" i="1"/>
  <c r="F86" i="1"/>
  <c r="C50" i="2"/>
  <c r="F103" i="1"/>
  <c r="G103" i="1"/>
  <c r="G104" i="1" s="1"/>
  <c r="G185" i="1" s="1"/>
  <c r="G618" i="1" s="1"/>
  <c r="H71" i="1"/>
  <c r="H104" i="1" s="1"/>
  <c r="H86" i="1"/>
  <c r="H103" i="1"/>
  <c r="I103" i="1"/>
  <c r="J103" i="1"/>
  <c r="C37" i="10"/>
  <c r="F113" i="1"/>
  <c r="F128" i="1"/>
  <c r="F132" i="1"/>
  <c r="G113" i="1"/>
  <c r="G128" i="1"/>
  <c r="G132" i="1"/>
  <c r="C38" i="10" s="1"/>
  <c r="H113" i="1"/>
  <c r="H128" i="1"/>
  <c r="H132" i="1"/>
  <c r="I113" i="1"/>
  <c r="I132" i="1" s="1"/>
  <c r="I128" i="1"/>
  <c r="J113" i="1"/>
  <c r="J128" i="1"/>
  <c r="J132" i="1"/>
  <c r="F139" i="1"/>
  <c r="C77" i="2" s="1"/>
  <c r="C83" i="2" s="1"/>
  <c r="F154" i="1"/>
  <c r="F161" i="1"/>
  <c r="C39" i="10" s="1"/>
  <c r="G139" i="1"/>
  <c r="G154" i="1"/>
  <c r="G161" i="1"/>
  <c r="H139" i="1"/>
  <c r="H161" i="1" s="1"/>
  <c r="H154" i="1"/>
  <c r="I139" i="1"/>
  <c r="I154" i="1"/>
  <c r="I161" i="1"/>
  <c r="L242" i="1"/>
  <c r="C105" i="2" s="1"/>
  <c r="L324" i="1"/>
  <c r="E105" i="2" s="1"/>
  <c r="C23" i="10"/>
  <c r="L260" i="1"/>
  <c r="C134" i="2"/>
  <c r="L261" i="1"/>
  <c r="C135" i="2" s="1"/>
  <c r="L341" i="1"/>
  <c r="L342" i="1"/>
  <c r="I655" i="1"/>
  <c r="I660" i="1"/>
  <c r="I659" i="1"/>
  <c r="C42" i="10"/>
  <c r="C32" i="10"/>
  <c r="L366" i="1"/>
  <c r="F122" i="2" s="1"/>
  <c r="F136" i="2" s="1"/>
  <c r="L367" i="1"/>
  <c r="L368" i="1"/>
  <c r="L369" i="1"/>
  <c r="L370" i="1"/>
  <c r="L371" i="1"/>
  <c r="L372" i="1"/>
  <c r="B2" i="10"/>
  <c r="L336" i="1"/>
  <c r="L337" i="1"/>
  <c r="L343" i="1" s="1"/>
  <c r="L338" i="1"/>
  <c r="E129" i="2" s="1"/>
  <c r="L339" i="1"/>
  <c r="K343" i="1"/>
  <c r="L517" i="1"/>
  <c r="G540" i="1"/>
  <c r="L521" i="1"/>
  <c r="H539" i="1"/>
  <c r="L522" i="1"/>
  <c r="H540" i="1" s="1"/>
  <c r="H542" i="1" s="1"/>
  <c r="L523" i="1"/>
  <c r="H541" i="1" s="1"/>
  <c r="L526" i="1"/>
  <c r="I539" i="1" s="1"/>
  <c r="I542" i="1" s="1"/>
  <c r="L527" i="1"/>
  <c r="I540" i="1"/>
  <c r="L528" i="1"/>
  <c r="L529" i="1" s="1"/>
  <c r="I541" i="1"/>
  <c r="L531" i="1"/>
  <c r="J539" i="1"/>
  <c r="L532" i="1"/>
  <c r="J540" i="1" s="1"/>
  <c r="J542" i="1" s="1"/>
  <c r="L533" i="1"/>
  <c r="J541" i="1" s="1"/>
  <c r="E124" i="2"/>
  <c r="E123" i="2"/>
  <c r="K262" i="1"/>
  <c r="J262" i="1"/>
  <c r="I262" i="1"/>
  <c r="H262" i="1"/>
  <c r="L262" i="1" s="1"/>
  <c r="G262" i="1"/>
  <c r="F262" i="1"/>
  <c r="C123" i="2"/>
  <c r="A1" i="2"/>
  <c r="A2" i="2"/>
  <c r="C9" i="2"/>
  <c r="D9" i="2"/>
  <c r="E9" i="2"/>
  <c r="F9" i="2"/>
  <c r="I431" i="1"/>
  <c r="I438" i="1" s="1"/>
  <c r="G632" i="1" s="1"/>
  <c r="C10" i="2"/>
  <c r="D10" i="2"/>
  <c r="E10" i="2"/>
  <c r="F10" i="2"/>
  <c r="I432" i="1"/>
  <c r="J10" i="1" s="1"/>
  <c r="G10" i="2" s="1"/>
  <c r="C11" i="2"/>
  <c r="C12" i="2"/>
  <c r="D12" i="2"/>
  <c r="D19" i="2" s="1"/>
  <c r="E12" i="2"/>
  <c r="E19" i="2" s="1"/>
  <c r="F12" i="2"/>
  <c r="F19" i="2" s="1"/>
  <c r="I433" i="1"/>
  <c r="J12" i="1"/>
  <c r="C13" i="2"/>
  <c r="D13" i="2"/>
  <c r="E13" i="2"/>
  <c r="F13" i="2"/>
  <c r="I434" i="1"/>
  <c r="J13" i="1" s="1"/>
  <c r="G13" i="2" s="1"/>
  <c r="C14" i="2"/>
  <c r="C19" i="2" s="1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 s="1"/>
  <c r="C22" i="2"/>
  <c r="C32" i="2" s="1"/>
  <c r="D22" i="2"/>
  <c r="E22" i="2"/>
  <c r="F22" i="2"/>
  <c r="I440" i="1"/>
  <c r="J23" i="1" s="1"/>
  <c r="C23" i="2"/>
  <c r="D23" i="2"/>
  <c r="E23" i="2"/>
  <c r="F23" i="2"/>
  <c r="I441" i="1"/>
  <c r="I444" i="1" s="1"/>
  <c r="C24" i="2"/>
  <c r="D24" i="2"/>
  <c r="E24" i="2"/>
  <c r="F24" i="2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D32" i="2" s="1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D34" i="2"/>
  <c r="E34" i="2"/>
  <c r="F34" i="2"/>
  <c r="C35" i="2"/>
  <c r="D35" i="2"/>
  <c r="E35" i="2"/>
  <c r="F35" i="2"/>
  <c r="C36" i="2"/>
  <c r="D36" i="2"/>
  <c r="E36" i="2"/>
  <c r="F36" i="2"/>
  <c r="I446" i="1"/>
  <c r="I450" i="1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F40" i="2"/>
  <c r="I449" i="1"/>
  <c r="J41" i="1"/>
  <c r="G40" i="2" s="1"/>
  <c r="D41" i="2"/>
  <c r="E41" i="2"/>
  <c r="F41" i="2"/>
  <c r="F48" i="2"/>
  <c r="E49" i="2"/>
  <c r="E54" i="2" s="1"/>
  <c r="E50" i="2"/>
  <c r="C51" i="2"/>
  <c r="D51" i="2"/>
  <c r="E51" i="2"/>
  <c r="F51" i="2"/>
  <c r="D52" i="2"/>
  <c r="D53" i="2"/>
  <c r="E53" i="2"/>
  <c r="F53" i="2"/>
  <c r="F54" i="2" s="1"/>
  <c r="F55" i="2" s="1"/>
  <c r="F96" i="2" s="1"/>
  <c r="C58" i="2"/>
  <c r="C59" i="2"/>
  <c r="C61" i="2"/>
  <c r="D61" i="2"/>
  <c r="E61" i="2"/>
  <c r="E62" i="2" s="1"/>
  <c r="F61" i="2"/>
  <c r="G61" i="2"/>
  <c r="G62" i="2" s="1"/>
  <c r="D62" i="2"/>
  <c r="F62" i="2"/>
  <c r="C64" i="2"/>
  <c r="C70" i="2" s="1"/>
  <c r="F64" i="2"/>
  <c r="C65" i="2"/>
  <c r="F65" i="2"/>
  <c r="C66" i="2"/>
  <c r="C67" i="2"/>
  <c r="C68" i="2"/>
  <c r="E68" i="2"/>
  <c r="F68" i="2"/>
  <c r="C69" i="2"/>
  <c r="D69" i="2"/>
  <c r="D70" i="2" s="1"/>
  <c r="D73" i="2" s="1"/>
  <c r="E69" i="2"/>
  <c r="E70" i="2" s="1"/>
  <c r="F69" i="2"/>
  <c r="F70" i="2"/>
  <c r="F73" i="2" s="1"/>
  <c r="G69" i="2"/>
  <c r="G70" i="2" s="1"/>
  <c r="G73" i="2" s="1"/>
  <c r="C71" i="2"/>
  <c r="D71" i="2"/>
  <c r="E71" i="2"/>
  <c r="C72" i="2"/>
  <c r="E72" i="2"/>
  <c r="D77" i="2"/>
  <c r="E77" i="2"/>
  <c r="F77" i="2"/>
  <c r="C79" i="2"/>
  <c r="E79" i="2"/>
  <c r="F79" i="2"/>
  <c r="C80" i="2"/>
  <c r="D80" i="2"/>
  <c r="E80" i="2"/>
  <c r="E83" i="2" s="1"/>
  <c r="F80" i="2"/>
  <c r="F83" i="2" s="1"/>
  <c r="C81" i="2"/>
  <c r="D81" i="2"/>
  <c r="E81" i="2"/>
  <c r="F81" i="2"/>
  <c r="C82" i="2"/>
  <c r="D83" i="2"/>
  <c r="C85" i="2"/>
  <c r="F85" i="2"/>
  <c r="C86" i="2"/>
  <c r="F86" i="2"/>
  <c r="D88" i="2"/>
  <c r="D95" i="2" s="1"/>
  <c r="E88" i="2"/>
  <c r="E95" i="2" s="1"/>
  <c r="F88" i="2"/>
  <c r="F95" i="2" s="1"/>
  <c r="G88" i="2"/>
  <c r="C89" i="2"/>
  <c r="D89" i="2"/>
  <c r="E89" i="2"/>
  <c r="F89" i="2"/>
  <c r="G89" i="2"/>
  <c r="C90" i="2"/>
  <c r="D90" i="2"/>
  <c r="E90" i="2"/>
  <c r="G90" i="2"/>
  <c r="G95" i="2" s="1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107" i="2"/>
  <c r="F107" i="2"/>
  <c r="G107" i="2"/>
  <c r="E113" i="2"/>
  <c r="E115" i="2"/>
  <c r="F120" i="2"/>
  <c r="F137" i="2" s="1"/>
  <c r="G120" i="2"/>
  <c r="C122" i="2"/>
  <c r="E126" i="2"/>
  <c r="F126" i="2"/>
  <c r="K411" i="1"/>
  <c r="K419" i="1"/>
  <c r="K425" i="1"/>
  <c r="L255" i="1"/>
  <c r="C127" i="2" s="1"/>
  <c r="E127" i="2"/>
  <c r="L256" i="1"/>
  <c r="C128" i="2"/>
  <c r="L257" i="1"/>
  <c r="C129" i="2"/>
  <c r="E134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B150" i="2"/>
  <c r="C150" i="2"/>
  <c r="D150" i="2"/>
  <c r="G150" i="2" s="1"/>
  <c r="E150" i="2"/>
  <c r="F150" i="2"/>
  <c r="B151" i="2"/>
  <c r="C151" i="2"/>
  <c r="G151" i="2" s="1"/>
  <c r="D151" i="2"/>
  <c r="E151" i="2"/>
  <c r="F151" i="2"/>
  <c r="D152" i="2"/>
  <c r="E152" i="2"/>
  <c r="F152" i="2"/>
  <c r="H490" i="1"/>
  <c r="D153" i="2" s="1"/>
  <c r="I490" i="1"/>
  <c r="E153" i="2"/>
  <c r="J490" i="1"/>
  <c r="F153" i="2"/>
  <c r="B154" i="2"/>
  <c r="G154" i="2" s="1"/>
  <c r="C154" i="2"/>
  <c r="D154" i="2"/>
  <c r="E154" i="2"/>
  <c r="F154" i="2"/>
  <c r="B155" i="2"/>
  <c r="C155" i="2"/>
  <c r="D155" i="2"/>
  <c r="E155" i="2"/>
  <c r="F155" i="2"/>
  <c r="F493" i="1"/>
  <c r="B156" i="2"/>
  <c r="G156" i="2" s="1"/>
  <c r="G493" i="1"/>
  <c r="C156" i="2"/>
  <c r="H493" i="1"/>
  <c r="D156" i="2"/>
  <c r="I493" i="1"/>
  <c r="E156" i="2" s="1"/>
  <c r="J493" i="1"/>
  <c r="F156" i="2" s="1"/>
  <c r="F19" i="1"/>
  <c r="G607" i="1" s="1"/>
  <c r="G19" i="1"/>
  <c r="H19" i="1"/>
  <c r="G609" i="1" s="1"/>
  <c r="I19" i="1"/>
  <c r="G610" i="1" s="1"/>
  <c r="F33" i="1"/>
  <c r="G33" i="1"/>
  <c r="H33" i="1"/>
  <c r="I33" i="1"/>
  <c r="I43" i="1"/>
  <c r="I44" i="1" s="1"/>
  <c r="H610" i="1" s="1"/>
  <c r="F169" i="1"/>
  <c r="I169" i="1"/>
  <c r="F175" i="1"/>
  <c r="F184" i="1" s="1"/>
  <c r="G175" i="1"/>
  <c r="G184" i="1" s="1"/>
  <c r="H175" i="1"/>
  <c r="H184" i="1" s="1"/>
  <c r="I175" i="1"/>
  <c r="J175" i="1"/>
  <c r="G635" i="1" s="1"/>
  <c r="J635" i="1" s="1"/>
  <c r="J184" i="1"/>
  <c r="F180" i="1"/>
  <c r="G180" i="1"/>
  <c r="H180" i="1"/>
  <c r="I180" i="1"/>
  <c r="I184" i="1" s="1"/>
  <c r="F203" i="1"/>
  <c r="H203" i="1"/>
  <c r="H239" i="1"/>
  <c r="I239" i="1"/>
  <c r="F248" i="1"/>
  <c r="G248" i="1"/>
  <c r="H248" i="1"/>
  <c r="I248" i="1"/>
  <c r="F282" i="1"/>
  <c r="G282" i="1"/>
  <c r="G301" i="1"/>
  <c r="G330" i="1" s="1"/>
  <c r="G344" i="1" s="1"/>
  <c r="I301" i="1"/>
  <c r="G320" i="1"/>
  <c r="H320" i="1"/>
  <c r="I320" i="1"/>
  <c r="F329" i="1"/>
  <c r="G329" i="1"/>
  <c r="H329" i="1"/>
  <c r="I329" i="1"/>
  <c r="L329" i="1" s="1"/>
  <c r="J329" i="1"/>
  <c r="K329" i="1"/>
  <c r="F354" i="1"/>
  <c r="G354" i="1"/>
  <c r="H354" i="1"/>
  <c r="I354" i="1"/>
  <c r="J354" i="1"/>
  <c r="I360" i="1"/>
  <c r="L373" i="1"/>
  <c r="F374" i="1"/>
  <c r="G374" i="1"/>
  <c r="H374" i="1"/>
  <c r="I374" i="1"/>
  <c r="J374" i="1"/>
  <c r="K374" i="1"/>
  <c r="F385" i="1"/>
  <c r="G385" i="1"/>
  <c r="G400" i="1" s="1"/>
  <c r="H635" i="1" s="1"/>
  <c r="H385" i="1"/>
  <c r="I385" i="1"/>
  <c r="F393" i="1"/>
  <c r="G393" i="1"/>
  <c r="H393" i="1"/>
  <c r="I393" i="1"/>
  <c r="F399" i="1"/>
  <c r="F400" i="1" s="1"/>
  <c r="H633" i="1" s="1"/>
  <c r="J633" i="1" s="1"/>
  <c r="G399" i="1"/>
  <c r="H399" i="1"/>
  <c r="I399" i="1"/>
  <c r="H400" i="1"/>
  <c r="I400" i="1"/>
  <c r="L405" i="1"/>
  <c r="L406" i="1"/>
  <c r="L407" i="1"/>
  <c r="L408" i="1"/>
  <c r="L411" i="1" s="1"/>
  <c r="L426" i="1" s="1"/>
  <c r="L409" i="1"/>
  <c r="L410" i="1"/>
  <c r="F411" i="1"/>
  <c r="G411" i="1"/>
  <c r="H411" i="1"/>
  <c r="H426" i="1" s="1"/>
  <c r="I411" i="1"/>
  <c r="J411" i="1"/>
  <c r="J426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G426" i="1" s="1"/>
  <c r="H425" i="1"/>
  <c r="I425" i="1"/>
  <c r="I426" i="1"/>
  <c r="J425" i="1"/>
  <c r="F426" i="1"/>
  <c r="F438" i="1"/>
  <c r="G629" i="1" s="1"/>
  <c r="G438" i="1"/>
  <c r="G630" i="1" s="1"/>
  <c r="H438" i="1"/>
  <c r="G631" i="1" s="1"/>
  <c r="F444" i="1"/>
  <c r="F451" i="1" s="1"/>
  <c r="H629" i="1" s="1"/>
  <c r="G444" i="1"/>
  <c r="G451" i="1" s="1"/>
  <c r="H630" i="1" s="1"/>
  <c r="H444" i="1"/>
  <c r="F450" i="1"/>
  <c r="G450" i="1"/>
  <c r="H450" i="1"/>
  <c r="H451" i="1" s="1"/>
  <c r="H631" i="1" s="1"/>
  <c r="I460" i="1"/>
  <c r="I466" i="1" s="1"/>
  <c r="H615" i="1" s="1"/>
  <c r="I464" i="1"/>
  <c r="K485" i="1"/>
  <c r="K486" i="1"/>
  <c r="K487" i="1"/>
  <c r="K488" i="1"/>
  <c r="K491" i="1"/>
  <c r="K492" i="1"/>
  <c r="K493" i="1"/>
  <c r="F507" i="1"/>
  <c r="G507" i="1"/>
  <c r="H507" i="1"/>
  <c r="I507" i="1"/>
  <c r="F519" i="1"/>
  <c r="J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48" i="1"/>
  <c r="L549" i="1"/>
  <c r="F550" i="1"/>
  <c r="G550" i="1"/>
  <c r="G561" i="1" s="1"/>
  <c r="H550" i="1"/>
  <c r="H561" i="1" s="1"/>
  <c r="I550" i="1"/>
  <c r="J550" i="1"/>
  <c r="K550" i="1"/>
  <c r="L553" i="1"/>
  <c r="L554" i="1"/>
  <c r="F555" i="1"/>
  <c r="H555" i="1"/>
  <c r="I555" i="1"/>
  <c r="I561" i="1" s="1"/>
  <c r="J555" i="1"/>
  <c r="J561" i="1" s="1"/>
  <c r="K555" i="1"/>
  <c r="L557" i="1"/>
  <c r="L558" i="1"/>
  <c r="L559" i="1"/>
  <c r="F560" i="1"/>
  <c r="F561" i="1" s="1"/>
  <c r="G560" i="1"/>
  <c r="H560" i="1"/>
  <c r="I560" i="1"/>
  <c r="J560" i="1"/>
  <c r="K560" i="1"/>
  <c r="K561" i="1" s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8" i="1" s="1"/>
  <c r="G637" i="1" s="1"/>
  <c r="K586" i="1"/>
  <c r="K587" i="1"/>
  <c r="H588" i="1"/>
  <c r="I588" i="1"/>
  <c r="H640" i="1"/>
  <c r="J588" i="1"/>
  <c r="H641" i="1"/>
  <c r="K592" i="1"/>
  <c r="K593" i="1"/>
  <c r="F604" i="1"/>
  <c r="G604" i="1"/>
  <c r="H604" i="1"/>
  <c r="I604" i="1"/>
  <c r="J604" i="1"/>
  <c r="K604" i="1"/>
  <c r="L604" i="1"/>
  <c r="G608" i="1"/>
  <c r="H620" i="1"/>
  <c r="G624" i="1"/>
  <c r="H626" i="1"/>
  <c r="G633" i="1"/>
  <c r="G634" i="1"/>
  <c r="H634" i="1"/>
  <c r="J634" i="1" s="1"/>
  <c r="H639" i="1"/>
  <c r="G642" i="1"/>
  <c r="H642" i="1"/>
  <c r="J642" i="1"/>
  <c r="G643" i="1"/>
  <c r="J643" i="1" s="1"/>
  <c r="H643" i="1"/>
  <c r="G644" i="1"/>
  <c r="H644" i="1"/>
  <c r="J644" i="1" s="1"/>
  <c r="G645" i="1"/>
  <c r="J645" i="1" s="1"/>
  <c r="H645" i="1"/>
  <c r="D54" i="2"/>
  <c r="L524" i="1"/>
  <c r="L534" i="1"/>
  <c r="L560" i="1"/>
  <c r="L550" i="1"/>
  <c r="G155" i="2"/>
  <c r="G149" i="2"/>
  <c r="C26" i="10"/>
  <c r="H25" i="13"/>
  <c r="H33" i="13" s="1"/>
  <c r="E114" i="2"/>
  <c r="E112" i="2"/>
  <c r="E110" i="2"/>
  <c r="C124" i="2"/>
  <c r="C25" i="10"/>
  <c r="L234" i="1"/>
  <c r="A31" i="12"/>
  <c r="G18" i="13"/>
  <c r="F13" i="13"/>
  <c r="F8" i="13"/>
  <c r="G5" i="13"/>
  <c r="L227" i="1"/>
  <c r="D126" i="2"/>
  <c r="D136" i="2"/>
  <c r="L353" i="1"/>
  <c r="F12" i="13"/>
  <c r="G29" i="13"/>
  <c r="L351" i="1"/>
  <c r="D119" i="2" s="1"/>
  <c r="D120" i="2" s="1"/>
  <c r="D137" i="2" s="1"/>
  <c r="K354" i="1"/>
  <c r="L236" i="1"/>
  <c r="G641" i="1" s="1"/>
  <c r="J641" i="1" s="1"/>
  <c r="F18" i="13"/>
  <c r="L244" i="1"/>
  <c r="L354" i="1"/>
  <c r="G462" i="1" s="1"/>
  <c r="H651" i="1"/>
  <c r="F651" i="1"/>
  <c r="I651" i="1" s="1"/>
  <c r="G651" i="1"/>
  <c r="F17" i="13"/>
  <c r="L243" i="1"/>
  <c r="D17" i="13" s="1"/>
  <c r="C17" i="13" s="1"/>
  <c r="D18" i="13"/>
  <c r="C18" i="13" s="1"/>
  <c r="G625" i="1"/>
  <c r="C27" i="10"/>
  <c r="L246" i="1"/>
  <c r="J248" i="1"/>
  <c r="L248" i="1" s="1"/>
  <c r="G19" i="13"/>
  <c r="L245" i="1"/>
  <c r="K248" i="1"/>
  <c r="D19" i="13"/>
  <c r="C19" i="13" s="1"/>
  <c r="G22" i="2"/>
  <c r="G12" i="2"/>
  <c r="L419" i="1"/>
  <c r="K426" i="1"/>
  <c r="G126" i="2" s="1"/>
  <c r="G136" i="2" s="1"/>
  <c r="G137" i="2" s="1"/>
  <c r="G54" i="2"/>
  <c r="F42" i="2"/>
  <c r="E32" i="2"/>
  <c r="F32" i="2"/>
  <c r="C95" i="2"/>
  <c r="I104" i="1"/>
  <c r="J610" i="1"/>
  <c r="G458" i="1" l="1"/>
  <c r="H249" i="1"/>
  <c r="H263" i="1" s="1"/>
  <c r="H514" i="1"/>
  <c r="H535" i="1" s="1"/>
  <c r="F104" i="1"/>
  <c r="F185" i="1" s="1"/>
  <c r="J631" i="1"/>
  <c r="E136" i="2"/>
  <c r="C19" i="10"/>
  <c r="C114" i="2"/>
  <c r="E13" i="13"/>
  <c r="C13" i="13" s="1"/>
  <c r="K514" i="1"/>
  <c r="K535" i="1" s="1"/>
  <c r="J630" i="1"/>
  <c r="C73" i="2"/>
  <c r="C96" i="2" s="1"/>
  <c r="I451" i="1"/>
  <c r="H632" i="1" s="1"/>
  <c r="J632" i="1" s="1"/>
  <c r="I185" i="1"/>
  <c r="G620" i="1" s="1"/>
  <c r="J620" i="1" s="1"/>
  <c r="G514" i="1"/>
  <c r="G535" i="1" s="1"/>
  <c r="E102" i="2"/>
  <c r="E107" i="2" s="1"/>
  <c r="K330" i="1"/>
  <c r="K344" i="1" s="1"/>
  <c r="J629" i="1"/>
  <c r="E73" i="2"/>
  <c r="E96" i="2" s="1"/>
  <c r="L400" i="1"/>
  <c r="C130" i="2"/>
  <c r="B38" i="12"/>
  <c r="B40" i="12" s="1"/>
  <c r="A40" i="12"/>
  <c r="F31" i="13"/>
  <c r="J330" i="1"/>
  <c r="J344" i="1" s="1"/>
  <c r="G539" i="1"/>
  <c r="H185" i="1"/>
  <c r="G653" i="1"/>
  <c r="B153" i="2"/>
  <c r="G153" i="2" s="1"/>
  <c r="K490" i="1"/>
  <c r="D29" i="13"/>
  <c r="C29" i="13" s="1"/>
  <c r="I361" i="1"/>
  <c r="H624" i="1" s="1"/>
  <c r="J624" i="1" s="1"/>
  <c r="C101" i="2"/>
  <c r="C10" i="10"/>
  <c r="D12" i="13"/>
  <c r="C12" i="13" s="1"/>
  <c r="C18" i="10"/>
  <c r="C113" i="2"/>
  <c r="F43" i="2"/>
  <c r="H625" i="1"/>
  <c r="J625" i="1" s="1"/>
  <c r="G464" i="1"/>
  <c r="J462" i="1"/>
  <c r="G628" i="1"/>
  <c r="H594" i="1"/>
  <c r="J249" i="1"/>
  <c r="L512" i="1"/>
  <c r="F540" i="1" s="1"/>
  <c r="K540" i="1" s="1"/>
  <c r="I594" i="1"/>
  <c r="I595" i="1" s="1"/>
  <c r="C20" i="10"/>
  <c r="D14" i="13"/>
  <c r="C14" i="13" s="1"/>
  <c r="C115" i="2"/>
  <c r="F652" i="1"/>
  <c r="D15" i="13"/>
  <c r="C15" i="13" s="1"/>
  <c r="C116" i="2"/>
  <c r="G639" i="1"/>
  <c r="J639" i="1" s="1"/>
  <c r="G96" i="2"/>
  <c r="B20" i="12"/>
  <c r="B22" i="12" s="1"/>
  <c r="A22" i="12" s="1"/>
  <c r="I511" i="1"/>
  <c r="I514" i="1" s="1"/>
  <c r="I535" i="1" s="1"/>
  <c r="K239" i="1"/>
  <c r="C29" i="10"/>
  <c r="F301" i="1"/>
  <c r="G203" i="1"/>
  <c r="G249" i="1" s="1"/>
  <c r="G263" i="1" s="1"/>
  <c r="J37" i="1"/>
  <c r="J24" i="1"/>
  <c r="G23" i="2" s="1"/>
  <c r="G32" i="2" s="1"/>
  <c r="J9" i="1"/>
  <c r="L518" i="1"/>
  <c r="G541" i="1" s="1"/>
  <c r="F22" i="13"/>
  <c r="C22" i="13" s="1"/>
  <c r="K320" i="1"/>
  <c r="G31" i="13" s="1"/>
  <c r="G33" i="13" s="1"/>
  <c r="L218" i="1"/>
  <c r="L213" i="1"/>
  <c r="C111" i="2" s="1"/>
  <c r="B9" i="12"/>
  <c r="L552" i="1"/>
  <c r="L555" i="1" s="1"/>
  <c r="L561" i="1" s="1"/>
  <c r="G615" i="1"/>
  <c r="J615" i="1" s="1"/>
  <c r="K489" i="1"/>
  <c r="H282" i="1"/>
  <c r="H330" i="1" s="1"/>
  <c r="H344" i="1" s="1"/>
  <c r="K221" i="1"/>
  <c r="K249" i="1" s="1"/>
  <c r="K263" i="1" s="1"/>
  <c r="L208" i="1"/>
  <c r="C9" i="12"/>
  <c r="C10" i="12" s="1"/>
  <c r="C13" i="12" s="1"/>
  <c r="F239" i="1"/>
  <c r="F249" i="1" s="1"/>
  <c r="F263" i="1" s="1"/>
  <c r="L282" i="1"/>
  <c r="L374" i="1"/>
  <c r="G626" i="1" s="1"/>
  <c r="J626" i="1" s="1"/>
  <c r="F361" i="1"/>
  <c r="C152" i="2"/>
  <c r="L207" i="1"/>
  <c r="C106" i="2"/>
  <c r="C35" i="10"/>
  <c r="I221" i="1"/>
  <c r="I249" i="1" s="1"/>
  <c r="I263" i="1" s="1"/>
  <c r="B152" i="2"/>
  <c r="G152" i="2" s="1"/>
  <c r="L230" i="1"/>
  <c r="L239" i="1" s="1"/>
  <c r="H650" i="1" s="1"/>
  <c r="H654" i="1" s="1"/>
  <c r="L192" i="1"/>
  <c r="C24" i="10"/>
  <c r="H652" i="1"/>
  <c r="C103" i="2"/>
  <c r="J104" i="1"/>
  <c r="J185" i="1" s="1"/>
  <c r="L293" i="1"/>
  <c r="L301" i="1" s="1"/>
  <c r="F511" i="1"/>
  <c r="C18" i="12"/>
  <c r="C20" i="12" s="1"/>
  <c r="C22" i="12" s="1"/>
  <c r="E16" i="13"/>
  <c r="C16" i="13" s="1"/>
  <c r="F320" i="1"/>
  <c r="F6" i="13"/>
  <c r="F5" i="13"/>
  <c r="L196" i="1"/>
  <c r="F513" i="1"/>
  <c r="L513" i="1" s="1"/>
  <c r="F541" i="1" s="1"/>
  <c r="K541" i="1" s="1"/>
  <c r="C25" i="13"/>
  <c r="H657" i="1" l="1"/>
  <c r="H662" i="1"/>
  <c r="C6" i="10" s="1"/>
  <c r="D20" i="10"/>
  <c r="G619" i="1"/>
  <c r="H458" i="1"/>
  <c r="D31" i="13"/>
  <c r="C31" i="13" s="1"/>
  <c r="L330" i="1"/>
  <c r="L344" i="1" s="1"/>
  <c r="E111" i="2"/>
  <c r="E120" i="2" s="1"/>
  <c r="E137" i="2" s="1"/>
  <c r="C110" i="2"/>
  <c r="G636" i="1"/>
  <c r="J458" i="1"/>
  <c r="G621" i="1"/>
  <c r="G652" i="1"/>
  <c r="I652" i="1" s="1"/>
  <c r="G640" i="1"/>
  <c r="J640" i="1" s="1"/>
  <c r="D24" i="10"/>
  <c r="G542" i="1"/>
  <c r="C15" i="10"/>
  <c r="C16" i="10"/>
  <c r="D6" i="13"/>
  <c r="C6" i="13" s="1"/>
  <c r="E8" i="13"/>
  <c r="C17" i="10"/>
  <c r="C112" i="2"/>
  <c r="C104" i="2"/>
  <c r="C13" i="10"/>
  <c r="J33" i="1"/>
  <c r="L519" i="1"/>
  <c r="D5" i="13"/>
  <c r="F33" i="13"/>
  <c r="C11" i="10"/>
  <c r="C102" i="2"/>
  <c r="J19" i="1"/>
  <c r="G611" i="1" s="1"/>
  <c r="G9" i="2"/>
  <c r="G19" i="2" s="1"/>
  <c r="J263" i="1"/>
  <c r="H638" i="1"/>
  <c r="F653" i="1"/>
  <c r="I653" i="1" s="1"/>
  <c r="K594" i="1"/>
  <c r="K595" i="1" s="1"/>
  <c r="G638" i="1" s="1"/>
  <c r="H595" i="1"/>
  <c r="G627" i="1"/>
  <c r="H636" i="1"/>
  <c r="G617" i="1"/>
  <c r="F458" i="1"/>
  <c r="J43" i="1"/>
  <c r="G36" i="2"/>
  <c r="G42" i="2" s="1"/>
  <c r="G43" i="2" s="1"/>
  <c r="C36" i="10"/>
  <c r="C41" i="10"/>
  <c r="C28" i="10"/>
  <c r="D19" i="10" s="1"/>
  <c r="D10" i="10"/>
  <c r="C133" i="2"/>
  <c r="C136" i="2" s="1"/>
  <c r="F330" i="1"/>
  <c r="F344" i="1" s="1"/>
  <c r="H637" i="1"/>
  <c r="J637" i="1" s="1"/>
  <c r="C107" i="2"/>
  <c r="L511" i="1"/>
  <c r="F514" i="1"/>
  <c r="F535" i="1" s="1"/>
  <c r="L221" i="1"/>
  <c r="G650" i="1" s="1"/>
  <c r="G654" i="1" s="1"/>
  <c r="C21" i="10"/>
  <c r="H628" i="1"/>
  <c r="J628" i="1" s="1"/>
  <c r="J464" i="1"/>
  <c r="L203" i="1"/>
  <c r="B10" i="12"/>
  <c r="B13" i="12" s="1"/>
  <c r="A13" i="12" s="1"/>
  <c r="D7" i="13"/>
  <c r="C7" i="13" s="1"/>
  <c r="H618" i="1"/>
  <c r="J618" i="1" s="1"/>
  <c r="G460" i="1"/>
  <c r="G466" i="1" s="1"/>
  <c r="D33" i="13" l="1"/>
  <c r="D36" i="13" s="1"/>
  <c r="C5" i="13"/>
  <c r="D37" i="10"/>
  <c r="D38" i="10"/>
  <c r="D40" i="10"/>
  <c r="D39" i="10"/>
  <c r="J636" i="1"/>
  <c r="D36" i="10"/>
  <c r="D17" i="10"/>
  <c r="F539" i="1"/>
  <c r="L514" i="1"/>
  <c r="L535" i="1" s="1"/>
  <c r="C8" i="13"/>
  <c r="E33" i="13"/>
  <c r="D35" i="13" s="1"/>
  <c r="C120" i="2"/>
  <c r="G662" i="1"/>
  <c r="C5" i="10" s="1"/>
  <c r="G657" i="1"/>
  <c r="G41" i="1"/>
  <c r="H613" i="1"/>
  <c r="C137" i="2"/>
  <c r="J44" i="1"/>
  <c r="H611" i="1" s="1"/>
  <c r="G616" i="1"/>
  <c r="J611" i="1"/>
  <c r="F460" i="1"/>
  <c r="H617" i="1"/>
  <c r="D16" i="10"/>
  <c r="H462" i="1"/>
  <c r="G623" i="1"/>
  <c r="F650" i="1"/>
  <c r="L249" i="1"/>
  <c r="L263" i="1" s="1"/>
  <c r="J617" i="1"/>
  <c r="D11" i="10"/>
  <c r="D28" i="10" s="1"/>
  <c r="D15" i="10"/>
  <c r="H460" i="1"/>
  <c r="H619" i="1"/>
  <c r="J619" i="1" s="1"/>
  <c r="D26" i="10"/>
  <c r="C30" i="10"/>
  <c r="D22" i="10"/>
  <c r="D25" i="10"/>
  <c r="D27" i="10"/>
  <c r="D12" i="10"/>
  <c r="D23" i="10"/>
  <c r="J638" i="1"/>
  <c r="D13" i="10"/>
  <c r="D21" i="10"/>
  <c r="D35" i="10"/>
  <c r="D18" i="10"/>
  <c r="H621" i="1"/>
  <c r="J621" i="1" s="1"/>
  <c r="H627" i="1"/>
  <c r="J627" i="1" s="1"/>
  <c r="J460" i="1"/>
  <c r="J466" i="1" s="1"/>
  <c r="H616" i="1" s="1"/>
  <c r="G622" i="1" l="1"/>
  <c r="F462" i="1"/>
  <c r="F654" i="1"/>
  <c r="I650" i="1"/>
  <c r="I654" i="1" s="1"/>
  <c r="F542" i="1"/>
  <c r="K539" i="1"/>
  <c r="K542" i="1" s="1"/>
  <c r="J616" i="1"/>
  <c r="G43" i="1"/>
  <c r="D40" i="2"/>
  <c r="D42" i="2" s="1"/>
  <c r="D43" i="2" s="1"/>
  <c r="J623" i="1"/>
  <c r="H464" i="1"/>
  <c r="H466" i="1" s="1"/>
  <c r="H623" i="1"/>
  <c r="D41" i="10"/>
  <c r="H614" i="1" l="1"/>
  <c r="H41" i="1"/>
  <c r="J622" i="1"/>
  <c r="G44" i="1"/>
  <c r="H608" i="1" s="1"/>
  <c r="J608" i="1" s="1"/>
  <c r="G613" i="1"/>
  <c r="J613" i="1" s="1"/>
  <c r="I657" i="1"/>
  <c r="I662" i="1"/>
  <c r="C7" i="10" s="1"/>
  <c r="F662" i="1"/>
  <c r="C4" i="10" s="1"/>
  <c r="F657" i="1"/>
  <c r="F464" i="1"/>
  <c r="F466" i="1" s="1"/>
  <c r="H622" i="1"/>
  <c r="H612" i="1" l="1"/>
  <c r="F42" i="1"/>
  <c r="E40" i="2"/>
  <c r="E42" i="2" s="1"/>
  <c r="E43" i="2" s="1"/>
  <c r="H43" i="1"/>
  <c r="G614" i="1" l="1"/>
  <c r="J614" i="1" s="1"/>
  <c r="H44" i="1"/>
  <c r="H609" i="1" s="1"/>
  <c r="J609" i="1" s="1"/>
  <c r="C41" i="2"/>
  <c r="C42" i="2" s="1"/>
  <c r="C43" i="2" s="1"/>
  <c r="F43" i="1"/>
  <c r="G612" i="1" l="1"/>
  <c r="F44" i="1"/>
  <c r="H607" i="1" s="1"/>
  <c r="J607" i="1" s="1"/>
  <c r="J612" i="1" l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02B00257-EC20-4141-9412-658D908FDE20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E2E80561-E26B-47E7-8563-3E0AFC24B42A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6C606959-94E9-4801-9B76-FFD67A5D2BEA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D23A1DBF-C1BD-4A32-AB92-5BB25105218F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797C5AB1-7332-4393-968C-37F57CA3535D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8109FE9D-D6DC-44F0-99BB-0C203F7EDAE3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6C96C021-FA07-484D-9283-40545B83E9B6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FCB2A2AA-464C-4672-A207-5B534B1B4E4F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F5BD0C2B-7B4F-4020-A516-90D94554C4A5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EE658FB6-8951-43E3-A035-F4FB1A581FCD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0EE396B2-D3DF-4952-A792-B21C038C000C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F7E54391-D272-4176-90A4-4FA7E112AF06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<sst xmlns="http://schemas.openxmlformats.org/spreadsheetml/2006/main" count="3862" uniqueCount="899">
  <si>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</si>
  <si>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</si>
  <si>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</si>
  <si>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</si>
  <si>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</si>
  <si>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</si>
  <si>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</si>
  <si>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</si>
  <si>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</si>
  <si>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</si>
  <si>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</si>
  <si>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</si>
  <si>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</si>
  <si>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</si>
  <si>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</si>
  <si>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</si>
  <si>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</si>
  <si>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</si>
  <si>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</si>
  <si>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</si>
  <si>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</si>
  <si>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</si>
  <si>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</si>
  <si>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</si>
  <si>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</si>
  <si>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</si>
  <si>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</si>
  <si>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</si>
  <si>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</si>
  <si>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</si>
  <si>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</si>
  <si>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</si>
  <si>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</si>
  <si>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</si>
  <si>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</si>
  <si>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</si>
  <si>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</si>
  <si>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</si>
  <si>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</si>
  <si>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</si>
  <si>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</si>
  <si>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</si>
  <si>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</si>
  <si>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</si>
  <si>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</si>
  <si>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</si>
  <si>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</si>
  <si>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</si>
  <si>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</si>
  <si>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</si>
  <si>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</si>
  <si>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</si>
  <si>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</si>
  <si>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</si>
  <si>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</si>
  <si>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</si>
  <si>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</si>
  <si>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</si>
  <si>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</si>
  <si>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</si>
  <si>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</si>
  <si>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</si>
  <si>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</si>
  <si>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</si>
  <si>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</si>
  <si>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</si>
  <si>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</si>
  <si>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</si>
  <si>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</si>
  <si>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</si>
  <si>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</si>
  <si>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</si>
  <si>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</si>
  <si>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</si>
  <si>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</si>
  <si>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</si>
  <si>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</si>
  <si>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</si>
  <si>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</si>
  <si>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</si>
  <si>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</si>
  <si>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</si>
  <si>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</si>
  <si>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</si>
  <si>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</si>
  <si>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</si>
  <si>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</si>
  <si>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</si>
  <si>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</si>
  <si>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</si>
  <si>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</si>
  <si>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</si>
  <si>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</si>
  <si>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</si>
  <si>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</si>
  <si>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</si>
  <si>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</si>
  <si>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</si>
  <si>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</si>
  <si>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</si>
  <si>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</si>
  <si>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</si>
  <si>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</si>
  <si>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</si>
  <si>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</si>
  <si>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</si>
  <si>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</si>
  <si>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</si>
  <si>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</si>
  <si>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</si>
  <si>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</si>
  <si>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</si>
  <si>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</si>
  <si>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</si>
  <si>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</si>
  <si>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</si>
  <si>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</si>
  <si>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</si>
  <si>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</si>
  <si>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</si>
  <si>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</si>
  <si>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</si>
  <si>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</si>
  <si>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</si>
  <si>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</si>
  <si>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</si>
  <si>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</si>
  <si>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</si>
  <si>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</si>
  <si>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</si>
  <si>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</si>
  <si>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</si>
  <si>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</si>
  <si>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</si>
  <si>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</si>
  <si>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</si>
  <si>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</si>
  <si>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</si>
  <si>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</si>
  <si>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</si>
  <si>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</si>
  <si>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</si>
  <si>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</si>
  <si>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</si>
  <si>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</si>
  <si>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</si>
  <si>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</si>
  <si>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</si>
  <si>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</si>
  <si>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</si>
  <si>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</si>
  <si>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</si>
  <si>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</si>
  <si>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</si>
  <si>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</si>
  <si>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</si>
  <si>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</si>
  <si>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</si>
  <si>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</si>
  <si>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</si>
  <si>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</si>
  <si>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</si>
  <si>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</si>
  <si>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</si>
  <si>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</si>
  <si>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</si>
  <si>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</si>
  <si>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</si>
  <si>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</si>
  <si>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</si>
  <si>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</si>
  <si>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</si>
  <si>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</si>
  <si>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</si>
  <si>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</si>
  <si>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</si>
  <si>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</si>
  <si>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</si>
  <si>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</si>
  <si>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</si>
  <si>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</si>
  <si>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</si>
  <si>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</si>
  <si>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</si>
  <si>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</si>
  <si>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</si>
  <si>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</si>
  <si>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</si>
  <si>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</si>
  <si>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</si>
  <si>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</si>
  <si>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</si>
  <si>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</si>
  <si>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</si>
  <si>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</si>
  <si>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</si>
  <si>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</si>
  <si>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</si>
  <si>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</si>
  <si>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</si>
  <si>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</si>
  <si>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</si>
  <si>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</si>
  <si>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</si>
  <si>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</si>
  <si>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</si>
  <si>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</si>
  <si>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</si>
  <si>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</si>
  <si>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</si>
  <si>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</si>
  <si>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</si>
  <si>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</si>
  <si>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</si>
  <si>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</si>
  <si>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</si>
  <si>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</si>
  <si>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</si>
  <si>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</si>
  <si>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</si>
  <si>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</si>
  <si>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</si>
  <si>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</si>
  <si>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</si>
  <si>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</si>
  <si>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</si>
  <si>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</si>
  <si>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</si>
  <si>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</si>
  <si>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</si>
  <si>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</si>
  <si>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</si>
  <si>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</si>
  <si>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</si>
  <si>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</si>
  <si>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</si>
  <si>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</si>
  <si>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</si>
  <si>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</si>
  <si>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</si>
  <si>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</si>
  <si>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</si>
  <si>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</si>
  <si>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</si>
  <si>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</si>
  <si>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</si>
  <si>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</si>
  <si>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</si>
  <si>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</si>
  <si>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</si>
  <si>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</si>
  <si>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</si>
  <si>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</si>
  <si>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</si>
  <si>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</si>
  <si>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</si>
  <si>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</si>
  <si>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</si>
  <si>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</si>
  <si>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</si>
  <si>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</si>
  <si>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</si>
  <si>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</si>
  <si>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</si>
  <si>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</si>
  <si>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</si>
  <si>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</si>
  <si>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</si>
  <si>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</si>
  <si>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</si>
  <si>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</si>
  <si>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</si>
  <si>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</si>
  <si>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</si>
  <si>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</si>
  <si>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</si>
  <si>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</si>
  <si>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</si>
  <si>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</si>
  <si>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</si>
  <si>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</si>
  <si>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</si>
  <si>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</si>
  <si>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</si>
  <si>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</si>
  <si>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</si>
  <si>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</si>
  <si>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</si>
  <si>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</si>
  <si>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</si>
  <si>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</si>
  <si>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</si>
  <si>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</si>
  <si>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</si>
  <si>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</si>
  <si>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</si>
  <si>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</si>
  <si>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</si>
  <si>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</si>
  <si>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</si>
  <si>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</si>
  <si>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</si>
  <si>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</si>
  <si>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</si>
  <si>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</si>
  <si>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</si>
  <si>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</si>
  <si>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</si>
  <si>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</si>
  <si>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</si>
  <si>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</si>
  <si>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</si>
  <si>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</si>
  <si>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</si>
  <si>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</si>
  <si>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</si>
  <si>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</si>
  <si>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</si>
  <si>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</si>
  <si>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</si>
  <si>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</si>
  <si>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</si>
  <si>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</si>
  <si>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</si>
  <si>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</si>
  <si>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</si>
  <si>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</si>
  <si>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</si>
  <si>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</si>
  <si>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</si>
  <si>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</si>
  <si>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</si>
  <si>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</si>
  <si>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</si>
  <si>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</si>
  <si>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</si>
  <si>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</si>
  <si>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</si>
  <si>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</si>
  <si>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</si>
  <si>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</si>
  <si>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</si>
  <si>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</si>
  <si>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</si>
  <si>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</si>
  <si>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</si>
  <si>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</si>
  <si>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</si>
  <si>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</si>
  <si>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</si>
  <si>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</si>
  <si>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</si>
  <si>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</si>
  <si>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</si>
  <si>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</si>
  <si>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</si>
  <si>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</si>
  <si>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</si>
  <si>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</si>
  <si>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</si>
  <si>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</si>
  <si>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</si>
  <si>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</si>
  <si>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</si>
  <si>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</si>
  <si>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</si>
  <si>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</si>
  <si>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</si>
  <si>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</si>
  <si>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</si>
  <si>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</si>
  <si>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</si>
  <si>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</si>
  <si>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</si>
  <si>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</si>
  <si>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</si>
  <si>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</si>
  <si>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</si>
  <si>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</si>
  <si>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</si>
  <si>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</si>
  <si>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</si>
  <si>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</si>
  <si>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</si>
  <si>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</si>
  <si>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</si>
  <si>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</si>
  <si>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</si>
  <si>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</si>
  <si>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</si>
  <si>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</si>
  <si>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</si>
  <si>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</si>
  <si>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</si>
  <si>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</si>
  <si>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</si>
  <si>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</si>
  <si>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</si>
  <si>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</si>
  <si>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</si>
  <si>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</si>
  <si>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</si>
  <si>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</si>
  <si>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</si>
  <si>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</si>
  <si>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</si>
  <si>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</si>
  <si>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</si>
  <si>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</si>
  <si>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</si>
  <si>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</si>
  <si>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</si>
  <si>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</si>
  <si>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</si>
  <si>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</si>
  <si>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</si>
  <si>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</si>
  <si>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</si>
  <si>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</si>
  <si>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</si>
  <si>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</si>
  <si>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</si>
  <si>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</si>
  <si>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</si>
  <si>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</si>
  <si>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</si>
  <si>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</si>
  <si>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</si>
  <si>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</si>
  <si>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</si>
  <si>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</si>
  <si>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</si>
  <si>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</si>
  <si>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</si>
  <si>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</si>
  <si>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</si>
  <si>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</si>
  <si>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</si>
  <si>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</si>
  <si>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</si>
  <si>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</si>
  <si>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</si>
  <si>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</si>
  <si>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</si>
  <si>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</si>
  <si>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</si>
  <si>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</si>
  <si>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</si>
  <si>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</si>
  <si>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</si>
  <si>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</si>
  <si>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</si>
  <si>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</si>
  <si>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</si>
  <si>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</si>
  <si>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</si>
  <si>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</si>
  <si>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</si>
  <si>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</si>
  <si>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</si>
  <si>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</si>
  <si>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</si>
  <si>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</si>
  <si>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</si>
  <si>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</si>
  <si>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</si>
  <si>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</si>
  <si>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</si>
  <si>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</si>
  <si>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</si>
  <si>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</si>
  <si>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</si>
  <si>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</si>
  <si>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</si>
  <si>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</si>
  <si>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</si>
  <si>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</si>
  <si>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</si>
  <si>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</si>
  <si>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</si>
  <si>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</si>
  <si>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</si>
  <si>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</si>
  <si>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</si>
  <si>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</si>
  <si>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</si>
  <si>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</si>
  <si>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</si>
  <si>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</si>
  <si>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</si>
  <si>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</si>
  <si>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</si>
  <si>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</si>
  <si>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</si>
  <si>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</si>
  <si>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</si>
  <si>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</si>
  <si>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</si>
  <si>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</si>
  <si>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</si>
  <si>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</si>
  <si>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</si>
  <si>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</si>
  <si>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</si>
  <si>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</si>
  <si>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</si>
  <si>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</si>
  <si>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</si>
  <si>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</si>
  <si>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</si>
  <si>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</si>
  <si>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</si>
  <si>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</si>
  <si>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</si>
  <si>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</si>
  <si>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</si>
  <si>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</si>
  <si>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</si>
  <si>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</si>
  <si>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</si>
  <si>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</si>
  <si>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</si>
  <si>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</si>
  <si>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</si>
  <si>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</si>
  <si>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</si>
  <si>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</si>
  <si>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</si>
  <si>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</si>
  <si>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</si>
  <si>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</si>
  <si>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</si>
  <si>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</si>
  <si>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</si>
  <si>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</si>
  <si>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</si>
  <si>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</si>
  <si>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</si>
  <si>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</si>
  <si>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</si>
  <si>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</si>
  <si>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</si>
  <si>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</si>
  <si>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</si>
  <si>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</si>
  <si>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</si>
  <si>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</si>
  <si>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</si>
  <si>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</si>
  <si>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</si>
  <si>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</si>
  <si>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</si>
  <si>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</si>
  <si>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</si>
  <si>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</si>
  <si>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</si>
  <si>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</si>
  <si>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</si>
  <si>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</si>
  <si>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</si>
  <si>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</si>
  <si>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</si>
  <si>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</si>
  <si>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</si>
  <si>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</si>
  <si>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</si>
  <si>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</si>
  <si>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</si>
  <si>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</si>
  <si>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</si>
  <si>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</si>
  <si>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</si>
  <si>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</si>
  <si>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</si>
  <si>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</si>
  <si>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</si>
  <si>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</si>
  <si>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</si>
  <si>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</si>
  <si>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</si>
  <si>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</si>
  <si>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</si>
  <si>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</si>
  <si>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</si>
  <si>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</si>
  <si>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</si>
  <si>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</si>
  <si>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</si>
  <si>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</si>
  <si>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</si>
  <si>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</si>
  <si>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</si>
  <si>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</si>
  <si>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</si>
  <si>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</si>
  <si>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</si>
  <si>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</si>
  <si>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</si>
  <si>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</si>
  <si>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</si>
  <si>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</si>
  <si>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</si>
  <si>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</si>
  <si>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</si>
  <si>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</si>
  <si>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</si>
  <si>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</si>
  <si>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</si>
  <si>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</si>
  <si>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</si>
  <si>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</si>
  <si>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</si>
  <si>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</si>
  <si>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</si>
  <si>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</si>
  <si>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</si>
  <si>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</si>
  <si>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</si>
  <si>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</si>
  <si>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</si>
  <si>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</si>
  <si>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</si>
  <si>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</si>
  <si>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</si>
  <si>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</si>
  <si>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</si>
  <si>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</si>
  <si>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</si>
  <si>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</si>
  <si>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</si>
  <si>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</si>
  <si>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</si>
  <si>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</si>
  <si>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</si>
  <si>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</si>
  <si>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</si>
  <si>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</si>
  <si>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</si>
  <si>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</si>
  <si>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</si>
  <si>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</si>
  <si>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</si>
  <si>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</si>
  <si>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</si>
  <si>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</si>
  <si>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</si>
  <si>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</si>
  <si>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</si>
  <si>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</si>
  <si>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</si>
  <si>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</si>
  <si>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</si>
  <si>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</si>
  <si>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</si>
  <si>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</si>
  <si>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</si>
  <si>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</si>
  <si>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</si>
  <si>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</si>
  <si>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</si>
  <si>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</si>
  <si>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</si>
  <si>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</si>
  <si>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</si>
  <si>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</si>
  <si>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</si>
  <si>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</si>
  <si>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</si>
  <si>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</si>
  <si>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</si>
  <si>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</si>
  <si>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</si>
  <si>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</si>
  <si>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</si>
  <si>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</si>
  <si>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</si>
  <si>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</si>
  <si>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</si>
  <si>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</si>
  <si>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</si>
  <si>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</si>
  <si>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</si>
  <si>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</si>
  <si>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</si>
  <si>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</si>
  <si>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</si>
  <si>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</si>
  <si>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</si>
  <si>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</si>
  <si>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</si>
  <si>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</si>
  <si>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</si>
  <si>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</si>
  <si>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</si>
  <si>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</si>
  <si>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</si>
  <si>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</si>
  <si>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</si>
  <si>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</si>
  <si>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</si>
  <si>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</si>
  <si>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</si>
  <si>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</si>
  <si>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</si>
  <si>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</si>
  <si>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</si>
  <si>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</si>
  <si>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</si>
  <si>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</si>
  <si>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</si>
  <si>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</si>
  <si>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</si>
  <si>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</si>
  <si>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</si>
  <si>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</si>
  <si>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</si>
  <si>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</si>
  <si>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</si>
  <si>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</si>
  <si>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</si>
  <si>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</si>
  <si>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</si>
  <si>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</si>
  <si>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</si>
  <si>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</si>
  <si>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</si>
  <si>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</si>
  <si>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</si>
  <si>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</si>
  <si>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</si>
  <si>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</si>
  <si>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</si>
  <si>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</si>
  <si>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</si>
  <si>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</si>
  <si>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</si>
  <si>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</si>
  <si>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</si>
  <si>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</si>
  <si>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</si>
  <si>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</si>
  <si>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</si>
  <si>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</si>
  <si>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</si>
  <si>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</si>
  <si>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</si>
  <si>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</si>
  <si>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</si>
  <si>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</si>
  <si>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</si>
  <si>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</si>
  <si>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</si>
  <si>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</si>
  <si>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</si>
  <si>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</si>
  <si>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</si>
  <si>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</si>
  <si>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</si>
  <si>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</si>
  <si>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</si>
  <si>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</si>
  <si>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</si>
  <si>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</si>
  <si>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</si>
  <si>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</si>
  <si>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</si>
  <si>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</si>
  <si>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</si>
  <si>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</si>
  <si>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</si>
  <si>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</si>
  <si>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</si>
  <si>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</si>
  <si>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</si>
  <si>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</si>
  <si>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</si>
  <si>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</si>
  <si>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</si>
  <si>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</si>
  <si>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</si>
  <si>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</si>
  <si>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</si>
  <si>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</si>
  <si>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</si>
  <si>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</si>
  <si>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</si>
  <si>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</si>
  <si>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</si>
  <si>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</si>
  <si>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</si>
  <si>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</si>
  <si>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</si>
  <si>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</si>
  <si>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</si>
  <si>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</si>
  <si>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</si>
  <si>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</si>
  <si>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</si>
  <si>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</si>
  <si>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</si>
  <si>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</si>
  <si>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</si>
  <si>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</si>
  <si>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</si>
  <si>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</si>
  <si>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</si>
  <si>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</si>
  <si>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</si>
  <si>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</si>
  <si>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</si>
  <si>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</si>
  <si>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</si>
  <si>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</si>
  <si>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</si>
  <si>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</si>
  <si>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</si>
  <si>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</si>
  <si>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</si>
  <si>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</si>
  <si>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</si>
  <si>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</si>
  <si>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</si>
  <si>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</si>
  <si>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</si>
  <si>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</si>
  <si>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</si>
  <si>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</si>
  <si>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</si>
  <si>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</si>
  <si>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</si>
  <si>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</si>
  <si>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</si>
  <si>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</si>
  <si>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</si>
  <si>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</si>
  <si>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</si>
  <si>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</si>
  <si>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</si>
  <si>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</si>
  <si>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</si>
  <si>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</si>
  <si>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</si>
  <si>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</si>
  <si>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</si>
  <si>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</si>
  <si>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</si>
  <si>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</si>
  <si>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</si>
  <si>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</si>
  <si>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</si>
  <si>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</si>
  <si>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</si>
  <si>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</si>
  <si>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</si>
  <si>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</si>
  <si>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</si>
  <si>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</si>
  <si>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</si>
  <si>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</si>
  <si>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</si>
  <si>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</si>
  <si>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</si>
  <si>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</si>
  <si>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</si>
  <si>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</si>
  <si>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</si>
  <si>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</si>
  <si>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</si>
  <si>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</si>
  <si>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</si>
  <si>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</si>
  <si>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</si>
  <si>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</si>
  <si>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</si>
  <si>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</si>
  <si>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</si>
  <si>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</si>
  <si>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</si>
  <si>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</si>
  <si>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</si>
  <si>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</si>
  <si>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</si>
  <si>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</si>
  <si>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</si>
  <si>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</si>
  <si>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</si>
  <si>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</si>
  <si>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</si>
  <si>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</si>
  <si>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</si>
  <si>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</si>
  <si>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</si>
  <si>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</si>
  <si>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</si>
  <si>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Aug 15, 1996</t>
  </si>
  <si>
    <t>July 1, 2006</t>
  </si>
  <si>
    <t>8/20/2016</t>
  </si>
  <si>
    <t>7/1/2026</t>
  </si>
  <si>
    <t>Bow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</si>
</sst>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" fillId="0" borderId="0" xfId="0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2E81-1A27-4AA7-941B-AB3C5F65B041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59" sqref="H65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898</v>
      </c>
      <c r="B2" s="21">
        <v>57</v>
      </c>
      <c r="C2" s="21">
        <v>57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46570.7</v>
      </c>
      <c r="G9" s="18">
        <v>-2.99</v>
      </c>
      <c r="H9" s="18">
        <v>0</v>
      </c>
      <c r="I9" s="18">
        <v>0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SUM(I432)</f>
        <v>1519374.98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0</v>
      </c>
      <c r="G12" s="18">
        <f>99877.1-3164.19</f>
        <v>96712.91</v>
      </c>
      <c r="H12" s="18">
        <v>0</v>
      </c>
      <c r="I12" s="18">
        <v>0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0</v>
      </c>
      <c r="G13" s="18">
        <v>0</v>
      </c>
      <c r="H13" s="18">
        <v>65197.57</v>
      </c>
      <c r="I13" s="18">
        <v>0</v>
      </c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21463.58</v>
      </c>
      <c r="G14" s="18">
        <v>3167.18</v>
      </c>
      <c r="H14" s="18"/>
      <c r="I14" s="18">
        <v>0</v>
      </c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>
        <v>0</v>
      </c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1215396.26</v>
      </c>
      <c r="G17" s="18">
        <v>0</v>
      </c>
      <c r="H17" s="18">
        <v>0</v>
      </c>
      <c r="I17" s="18">
        <v>0</v>
      </c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v>73268.95</v>
      </c>
      <c r="G18" s="18">
        <v>0</v>
      </c>
      <c r="H18" s="18">
        <v>0</v>
      </c>
      <c r="I18" s="18">
        <v>0</v>
      </c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1356699.49</v>
      </c>
      <c r="G19" s="41">
        <f>SUM(G9:G18)</f>
        <v>99877.099999999991</v>
      </c>
      <c r="H19" s="41">
        <f>SUM(H9:H18)</f>
        <v>65197.57</v>
      </c>
      <c r="I19" s="41">
        <f>SUM(I9:I18)</f>
        <v>0</v>
      </c>
      <c r="J19" s="41">
        <f>SUM(J9:J18)</f>
        <v>1519374.98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f>1356699.49-1212133.85</f>
        <v>144565.6399999999</v>
      </c>
      <c r="G23" s="18">
        <v>0</v>
      </c>
      <c r="H23" s="18">
        <f>65197.57-6512.84-4563.34</f>
        <v>54121.39</v>
      </c>
      <c r="I23" s="18">
        <v>0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0</v>
      </c>
      <c r="G24" s="18">
        <v>0</v>
      </c>
      <c r="H24" s="18">
        <v>0</v>
      </c>
      <c r="I24" s="18">
        <v>0</v>
      </c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370084.3</v>
      </c>
      <c r="G25" s="18">
        <v>9776.44</v>
      </c>
      <c r="H25" s="18">
        <v>6512.84</v>
      </c>
      <c r="I25" s="18">
        <v>0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58890.75</v>
      </c>
      <c r="G26" s="145"/>
      <c r="H26" s="18">
        <v>0</v>
      </c>
      <c r="I26" s="18">
        <v>0</v>
      </c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>
        <v>0</v>
      </c>
      <c r="G27" s="24" t="s">
        <v>312</v>
      </c>
      <c r="H27" s="24" t="s">
        <v>312</v>
      </c>
      <c r="I27" s="18">
        <v>0</v>
      </c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>
        <v>0</v>
      </c>
      <c r="G28" s="24" t="s">
        <v>312</v>
      </c>
      <c r="H28" s="24" t="s">
        <v>312</v>
      </c>
      <c r="I28" s="18">
        <v>0</v>
      </c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0</v>
      </c>
      <c r="G29" s="18">
        <v>0</v>
      </c>
      <c r="H29" s="18">
        <v>0</v>
      </c>
      <c r="I29" s="18">
        <v>0</v>
      </c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-4286.95+878.72+13583.44+8909</f>
        <v>19084.21</v>
      </c>
      <c r="G30" s="18">
        <v>0</v>
      </c>
      <c r="H30" s="18">
        <v>0</v>
      </c>
      <c r="I30" s="18">
        <v>0</v>
      </c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0</v>
      </c>
      <c r="G31" s="18">
        <v>2456.35</v>
      </c>
      <c r="H31" s="18">
        <v>0</v>
      </c>
      <c r="I31" s="18">
        <v>0</v>
      </c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0</v>
      </c>
      <c r="G32" s="18">
        <v>0</v>
      </c>
      <c r="H32" s="18">
        <v>0</v>
      </c>
      <c r="I32" s="18">
        <v>0</v>
      </c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592624.89999999991</v>
      </c>
      <c r="G33" s="41">
        <f>SUM(G23:G32)</f>
        <v>12232.79</v>
      </c>
      <c r="H33" s="41">
        <f>SUM(H23:H32)</f>
        <v>60634.229999999996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>
        <v>0</v>
      </c>
      <c r="H37" s="18">
        <v>0</v>
      </c>
      <c r="I37" s="18">
        <v>0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>
        <v>0</v>
      </c>
      <c r="G38" s="18">
        <v>0</v>
      </c>
      <c r="H38" s="18">
        <v>0</v>
      </c>
      <c r="I38" s="18">
        <v>0</v>
      </c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0</v>
      </c>
      <c r="G39" s="18">
        <v>0</v>
      </c>
      <c r="H39" s="18">
        <v>0</v>
      </c>
      <c r="I39" s="18">
        <v>0</v>
      </c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0</v>
      </c>
      <c r="G41" s="18">
        <f>G466</f>
        <v>87644.309999999939</v>
      </c>
      <c r="H41" s="18">
        <f>H466</f>
        <v>4563.3399999999674</v>
      </c>
      <c r="I41" s="18">
        <v>0</v>
      </c>
      <c r="J41" s="13">
        <f>SUM(I449)</f>
        <v>1519374.98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F466</f>
        <v>764074.58999999985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764074.58999999985</v>
      </c>
      <c r="G43" s="41">
        <f>SUM(G35:G42)</f>
        <v>87644.309999999939</v>
      </c>
      <c r="H43" s="41">
        <f>SUM(H35:H42)</f>
        <v>4563.3399999999674</v>
      </c>
      <c r="I43" s="41">
        <f>SUM(I35:I42)</f>
        <v>0</v>
      </c>
      <c r="J43" s="41">
        <f>SUM(J35:J42)</f>
        <v>1519374.98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1356699.4899999998</v>
      </c>
      <c r="G44" s="41">
        <f>G43+G33</f>
        <v>99877.099999999948</v>
      </c>
      <c r="H44" s="41">
        <f>H43+H33</f>
        <v>65197.569999999963</v>
      </c>
      <c r="I44" s="41">
        <f>I43+I33</f>
        <v>0</v>
      </c>
      <c r="J44" s="41">
        <f>J43+J33</f>
        <v>1519374.98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15294135</v>
      </c>
      <c r="G49" s="18">
        <v>0</v>
      </c>
      <c r="H49" s="18">
        <v>0</v>
      </c>
      <c r="I49" s="18">
        <v>0</v>
      </c>
      <c r="J49" s="18">
        <v>0</v>
      </c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>
        <v>0</v>
      </c>
      <c r="H50" s="24" t="s">
        <v>312</v>
      </c>
      <c r="I50" s="18">
        <v>0</v>
      </c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15294135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f>15259.33-14101.2+17395</f>
        <v>18553.129999999997</v>
      </c>
      <c r="G55" s="24" t="s">
        <v>312</v>
      </c>
      <c r="H55" s="18">
        <v>0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8170</v>
      </c>
      <c r="G56" s="24" t="s">
        <v>312</v>
      </c>
      <c r="H56" s="18">
        <v>0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0</v>
      </c>
      <c r="G57" s="24" t="s">
        <v>312</v>
      </c>
      <c r="H57" s="18">
        <v>0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0</v>
      </c>
      <c r="G58" s="24" t="s">
        <v>312</v>
      </c>
      <c r="H58" s="18">
        <v>0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14101.2</v>
      </c>
      <c r="G60" s="24" t="s">
        <v>312</v>
      </c>
      <c r="H60" s="18">
        <v>0</v>
      </c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0</v>
      </c>
      <c r="G61" s="24" t="s">
        <v>312</v>
      </c>
      <c r="H61" s="18">
        <v>0</v>
      </c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0</v>
      </c>
      <c r="G62" s="24" t="s">
        <v>312</v>
      </c>
      <c r="H62" s="18">
        <v>0</v>
      </c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>
        <v>0</v>
      </c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>
        <v>0</v>
      </c>
      <c r="G65" s="24" t="s">
        <v>312</v>
      </c>
      <c r="H65" s="18">
        <v>0</v>
      </c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>
        <v>0</v>
      </c>
      <c r="G66" s="24" t="s">
        <v>312</v>
      </c>
      <c r="H66" s="18">
        <v>0</v>
      </c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>
        <v>0</v>
      </c>
      <c r="G68" s="24" t="s">
        <v>312</v>
      </c>
      <c r="H68" s="18">
        <v>0</v>
      </c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>
        <v>0</v>
      </c>
      <c r="G69" s="24" t="s">
        <v>312</v>
      </c>
      <c r="H69" s="18">
        <v>0</v>
      </c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0</v>
      </c>
      <c r="G70" s="24" t="s">
        <v>312</v>
      </c>
      <c r="H70" s="18">
        <v>0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40824.33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0</v>
      </c>
      <c r="G75" s="24" t="s">
        <v>312</v>
      </c>
      <c r="H75" s="18">
        <v>0</v>
      </c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>
        <v>0</v>
      </c>
      <c r="G76" s="24" t="s">
        <v>312</v>
      </c>
      <c r="H76" s="18">
        <v>0</v>
      </c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0</v>
      </c>
      <c r="G78" s="24" t="s">
        <v>312</v>
      </c>
      <c r="H78" s="18">
        <v>0</v>
      </c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0</v>
      </c>
      <c r="G79" s="24" t="s">
        <v>312</v>
      </c>
      <c r="H79" s="18">
        <v>0</v>
      </c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>
        <v>0</v>
      </c>
      <c r="G80" s="24" t="s">
        <v>312</v>
      </c>
      <c r="H80" s="18">
        <v>0</v>
      </c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>
        <v>0</v>
      </c>
      <c r="G82" s="24" t="s">
        <v>312</v>
      </c>
      <c r="H82" s="18">
        <v>0</v>
      </c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>
        <v>0</v>
      </c>
      <c r="G83" s="24" t="s">
        <v>312</v>
      </c>
      <c r="H83" s="18">
        <v>0</v>
      </c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>
        <v>0</v>
      </c>
      <c r="G84" s="24" t="s">
        <v>312</v>
      </c>
      <c r="H84" s="18">
        <v>0</v>
      </c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0</v>
      </c>
      <c r="G85" s="24" t="s">
        <v>312</v>
      </c>
      <c r="H85" s="18">
        <v>0</v>
      </c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15552.89</v>
      </c>
      <c r="G88" s="18">
        <v>0.44</v>
      </c>
      <c r="H88" s="18">
        <v>0</v>
      </c>
      <c r="I88" s="18">
        <v>0</v>
      </c>
      <c r="J88" s="18">
        <v>62864.45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85535.57+177002.94+208802.24+10878.55</f>
        <v>482219.3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f>13905+10798.5</f>
        <v>24703.5</v>
      </c>
      <c r="G90" s="24" t="s">
        <v>312</v>
      </c>
      <c r="H90" s="18">
        <v>0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0</v>
      </c>
      <c r="G91" s="18">
        <v>0</v>
      </c>
      <c r="H91" s="18">
        <v>0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3112.5</v>
      </c>
      <c r="G93" s="18">
        <v>0</v>
      </c>
      <c r="H93" s="18">
        <v>0</v>
      </c>
      <c r="I93" s="18">
        <v>0</v>
      </c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0</v>
      </c>
      <c r="G94" s="18">
        <v>0</v>
      </c>
      <c r="H94" s="18">
        <v>0</v>
      </c>
      <c r="I94" s="18">
        <v>0</v>
      </c>
      <c r="J94" s="18">
        <v>0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0</v>
      </c>
      <c r="G95" s="18">
        <v>0</v>
      </c>
      <c r="H95" s="18">
        <v>0</v>
      </c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0</v>
      </c>
      <c r="G96" s="24" t="s">
        <v>312</v>
      </c>
      <c r="H96" s="18">
        <v>0</v>
      </c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0</v>
      </c>
      <c r="G97" s="18">
        <v>0</v>
      </c>
      <c r="H97" s="18">
        <v>0</v>
      </c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>
        <v>0</v>
      </c>
      <c r="G98" s="18">
        <v>0</v>
      </c>
      <c r="H98" s="18">
        <v>0</v>
      </c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>
        <v>0</v>
      </c>
      <c r="G99" s="18">
        <v>0</v>
      </c>
      <c r="H99" s="18">
        <v>0</v>
      </c>
      <c r="I99" s="18">
        <v>0</v>
      </c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>
        <v>0</v>
      </c>
      <c r="G100" s="18">
        <v>0</v>
      </c>
      <c r="H100" s="18">
        <v>0</v>
      </c>
      <c r="I100" s="18">
        <v>0</v>
      </c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0</v>
      </c>
      <c r="G101" s="18">
        <v>0</v>
      </c>
      <c r="H101" s="18">
        <v>0</v>
      </c>
      <c r="I101" s="18">
        <v>0</v>
      </c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16897.49+424164.35+165941.18</f>
        <v>607003.02</v>
      </c>
      <c r="G102" s="18">
        <v>0</v>
      </c>
      <c r="H102" s="18">
        <v>0</v>
      </c>
      <c r="I102" s="18">
        <v>0</v>
      </c>
      <c r="J102" s="18">
        <v>0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650371.91</v>
      </c>
      <c r="G103" s="41">
        <f>SUM(G88:G102)</f>
        <v>482219.74</v>
      </c>
      <c r="H103" s="41">
        <f>SUM(H88:H102)</f>
        <v>0</v>
      </c>
      <c r="I103" s="41">
        <f>SUM(I88:I102)</f>
        <v>0</v>
      </c>
      <c r="J103" s="41">
        <f>SUM(J88:J102)</f>
        <v>62864.45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15985331.24</v>
      </c>
      <c r="G104" s="41">
        <f>G52+G103</f>
        <v>482219.74</v>
      </c>
      <c r="H104" s="41">
        <f>H52+H71+H86+H103</f>
        <v>0</v>
      </c>
      <c r="I104" s="41">
        <f>I52+I103</f>
        <v>0</v>
      </c>
      <c r="J104" s="41">
        <f>J52+J103</f>
        <v>62864.45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2974461.57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2161223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1141208.43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6276893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310886.84000000003</v>
      </c>
      <c r="G115" s="24" t="s">
        <v>312</v>
      </c>
      <c r="H115" s="24" t="s">
        <v>312</v>
      </c>
      <c r="I115" s="18">
        <v>0</v>
      </c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0</v>
      </c>
      <c r="G116" s="24"/>
      <c r="H116" s="24"/>
      <c r="I116" s="18">
        <v>0</v>
      </c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394043.42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0</v>
      </c>
      <c r="G119" s="24" t="s">
        <v>312</v>
      </c>
      <c r="H119" s="18">
        <v>0</v>
      </c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4547.5200000000004</v>
      </c>
      <c r="G120" s="24" t="s">
        <v>312</v>
      </c>
      <c r="H120" s="18">
        <v>0</v>
      </c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>
        <v>0</v>
      </c>
      <c r="G121" s="24" t="s">
        <v>312</v>
      </c>
      <c r="H121" s="18">
        <v>0</v>
      </c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>
        <v>0</v>
      </c>
      <c r="G122" s="24" t="s">
        <v>312</v>
      </c>
      <c r="H122" s="18">
        <v>0</v>
      </c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>
        <v>0</v>
      </c>
      <c r="G123" s="24" t="s">
        <v>312</v>
      </c>
      <c r="H123" s="18">
        <v>0</v>
      </c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f>4752.97+25126.66</f>
        <v>29879.63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10200</v>
      </c>
      <c r="G125" s="24" t="s">
        <v>312</v>
      </c>
      <c r="H125" s="18">
        <v>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>
        <v>0</v>
      </c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719677.78</v>
      </c>
      <c r="G128" s="41">
        <f>SUM(G115:G127)</f>
        <v>29879.63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6996570.7800000003</v>
      </c>
      <c r="G132" s="41">
        <f>G113+SUM(G128:G129)</f>
        <v>29879.63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0</v>
      </c>
      <c r="G137" s="18">
        <v>0</v>
      </c>
      <c r="H137" s="18">
        <v>0</v>
      </c>
      <c r="I137" s="18">
        <v>0</v>
      </c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0</v>
      </c>
      <c r="G138" s="18">
        <v>0</v>
      </c>
      <c r="H138" s="18">
        <v>0</v>
      </c>
      <c r="I138" s="18">
        <v>0</v>
      </c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>
        <v>0</v>
      </c>
      <c r="G142" s="24" t="s">
        <v>312</v>
      </c>
      <c r="H142" s="18">
        <v>0</v>
      </c>
      <c r="I142" s="18">
        <v>0</v>
      </c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>
        <v>0</v>
      </c>
      <c r="G143" s="24" t="s">
        <v>312</v>
      </c>
      <c r="H143" s="18">
        <v>0</v>
      </c>
      <c r="I143" s="18">
        <v>0</v>
      </c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>
        <v>0</v>
      </c>
      <c r="G144" s="24" t="s">
        <v>312</v>
      </c>
      <c r="H144" s="18">
        <v>0</v>
      </c>
      <c r="I144" s="18">
        <v>0</v>
      </c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3998.59+1000+27133.82+19133.87</f>
        <v>51266.28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1081.21+40280.03+2300</f>
        <v>43661.24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0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>
        <v>0</v>
      </c>
      <c r="G149" s="24" t="s">
        <v>312</v>
      </c>
      <c r="H149" s="18">
        <v>0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49451.13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>
        <v>0</v>
      </c>
      <c r="G151" s="24" t="s">
        <v>312</v>
      </c>
      <c r="H151" s="18">
        <f>170345.19+260628.27+4984.35</f>
        <v>435957.80999999994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254428.36</v>
      </c>
      <c r="G152" s="24" t="s">
        <v>312</v>
      </c>
      <c r="H152" s="18">
        <v>0</v>
      </c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0</v>
      </c>
      <c r="G153" s="18">
        <v>0</v>
      </c>
      <c r="H153" s="18">
        <v>0</v>
      </c>
      <c r="I153" s="18">
        <v>0</v>
      </c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254428.36</v>
      </c>
      <c r="G154" s="41">
        <f>SUM(G142:G153)</f>
        <v>49451.13</v>
      </c>
      <c r="H154" s="41">
        <f>SUM(H142:H153)</f>
        <v>530885.32999999996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>
        <v>0</v>
      </c>
      <c r="G155" s="18">
        <v>0</v>
      </c>
      <c r="H155" s="18">
        <v>0</v>
      </c>
      <c r="I155" s="18">
        <v>0</v>
      </c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0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>
        <v>0</v>
      </c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0</v>
      </c>
      <c r="G160" s="18">
        <v>0</v>
      </c>
      <c r="H160" s="18">
        <v>0</v>
      </c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254428.36</v>
      </c>
      <c r="G161" s="41">
        <f>G139+G154+SUM(G155:G160)</f>
        <v>49451.13</v>
      </c>
      <c r="H161" s="41">
        <f>H139+H154+SUM(H155:H160)</f>
        <v>530885.32999999996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0</v>
      </c>
      <c r="G165" s="24" t="s">
        <v>312</v>
      </c>
      <c r="H165" s="24" t="s">
        <v>312</v>
      </c>
      <c r="I165" s="18">
        <v>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>
        <v>0</v>
      </c>
      <c r="G166" s="24" t="s">
        <v>312</v>
      </c>
      <c r="H166" s="24" t="s">
        <v>312</v>
      </c>
      <c r="I166" s="18">
        <v>0</v>
      </c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>
        <v>0</v>
      </c>
      <c r="G167" s="24" t="s">
        <v>312</v>
      </c>
      <c r="H167" s="24" t="s">
        <v>312</v>
      </c>
      <c r="I167" s="18">
        <v>0</v>
      </c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>
        <v>0</v>
      </c>
      <c r="G168" s="24" t="s">
        <v>312</v>
      </c>
      <c r="H168" s="24" t="s">
        <v>312</v>
      </c>
      <c r="I168" s="18">
        <v>0</v>
      </c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0</v>
      </c>
      <c r="H171" s="18">
        <v>0</v>
      </c>
      <c r="I171" s="18">
        <v>0</v>
      </c>
      <c r="J171" s="18">
        <v>216473.05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0</v>
      </c>
      <c r="G172" s="24" t="s">
        <v>312</v>
      </c>
      <c r="H172" s="18">
        <v>0</v>
      </c>
      <c r="I172" s="18">
        <v>0</v>
      </c>
      <c r="J172" s="18">
        <v>0</v>
      </c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0</v>
      </c>
      <c r="G173" s="18">
        <v>0</v>
      </c>
      <c r="H173" s="24" t="s">
        <v>312</v>
      </c>
      <c r="I173" s="18">
        <v>0</v>
      </c>
      <c r="J173" s="18">
        <v>0</v>
      </c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0</v>
      </c>
      <c r="G174" s="18">
        <v>0</v>
      </c>
      <c r="H174" s="18">
        <v>0</v>
      </c>
      <c r="I174" s="24" t="s">
        <v>312</v>
      </c>
      <c r="J174" s="18">
        <v>0</v>
      </c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216473.05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216525.23</v>
      </c>
      <c r="G177" s="18">
        <v>0</v>
      </c>
      <c r="H177" s="18">
        <v>0</v>
      </c>
      <c r="I177" s="18">
        <v>0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>
        <v>0</v>
      </c>
      <c r="H178" s="18">
        <v>0</v>
      </c>
      <c r="I178" s="18">
        <v>0</v>
      </c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0</v>
      </c>
      <c r="G179" s="18">
        <v>0</v>
      </c>
      <c r="H179" s="18">
        <v>0</v>
      </c>
      <c r="I179" s="18">
        <v>0</v>
      </c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216525.23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0</v>
      </c>
      <c r="G181" s="18">
        <v>0</v>
      </c>
      <c r="H181" s="18">
        <v>0</v>
      </c>
      <c r="I181" s="18">
        <v>0</v>
      </c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>
        <v>0</v>
      </c>
      <c r="G182" s="18">
        <v>0</v>
      </c>
      <c r="H182" s="18">
        <v>0</v>
      </c>
      <c r="I182" s="18">
        <v>0</v>
      </c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>
        <v>0</v>
      </c>
      <c r="G183" s="18">
        <v>0</v>
      </c>
      <c r="H183" s="18">
        <v>0</v>
      </c>
      <c r="I183" s="18">
        <v>0</v>
      </c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216525.23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216473.05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23452855.609999999</v>
      </c>
      <c r="G185" s="47">
        <f>G104+G132+G161+G184</f>
        <v>561550.5</v>
      </c>
      <c r="H185" s="47">
        <f>H104+H132+H161+H184</f>
        <v>530885.32999999996</v>
      </c>
      <c r="I185" s="47">
        <f>I104+I132+I161+I184</f>
        <v>0</v>
      </c>
      <c r="J185" s="47">
        <f>J104+J132+J184</f>
        <v>279337.5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1863229.05+11964+32405.2</f>
        <v>1907598.25</v>
      </c>
      <c r="G189" s="18">
        <f>20600+2442+110+735119.04</f>
        <v>758271.04</v>
      </c>
      <c r="H189" s="18">
        <f>14945.82</f>
        <v>14945.82</v>
      </c>
      <c r="I189" s="18">
        <f>3277.74+721.17+1884.29+13788.19+637.7+195.32+2908.73+2397+2796.5+1439.58+25295.58+755.49+18436.39+3595.37+5327.15</f>
        <v>83456.199999999983</v>
      </c>
      <c r="J189" s="18">
        <f>1802.94+1951.89</f>
        <v>3754.83</v>
      </c>
      <c r="K189" s="18">
        <f>871.5</f>
        <v>871.5</v>
      </c>
      <c r="L189" s="19">
        <f>SUM(F189:K189)</f>
        <v>2768897.64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396279.33+340601.71+10996.66+10967.47+19024.34+61492</f>
        <v>839361.51</v>
      </c>
      <c r="G190" s="18">
        <f>593.33+351623.8+10274.96+15466.57</f>
        <v>377958.66000000003</v>
      </c>
      <c r="H190" s="18">
        <f>-479.56+122186.54+33734.39+778.45</f>
        <v>156219.82</v>
      </c>
      <c r="I190" s="18">
        <f>755.46+1758.56+63.9+1501.08+32</f>
        <v>4111</v>
      </c>
      <c r="J190" s="18">
        <f>2691.34</f>
        <v>2691.34</v>
      </c>
      <c r="K190" s="18">
        <f>445.99+16559.04</f>
        <v>17005.030000000002</v>
      </c>
      <c r="L190" s="19">
        <f>SUM(F190:K190)</f>
        <v>1397347.36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3510</f>
        <v>3510</v>
      </c>
      <c r="G192" s="18">
        <f>552.19</f>
        <v>552.19000000000005</v>
      </c>
      <c r="H192" s="18">
        <v>0</v>
      </c>
      <c r="I192" s="18">
        <f>800+445.38</f>
        <v>1245.3800000000001</v>
      </c>
      <c r="J192" s="18">
        <v>0</v>
      </c>
      <c r="K192" s="18">
        <f>2150</f>
        <v>2150</v>
      </c>
      <c r="L192" s="19">
        <f>SUM(F192:K192)</f>
        <v>7457.57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53729+51030.9+7258.65+20106.09+218928.19+96832.07</f>
        <v>447884.89999999997</v>
      </c>
      <c r="G194" s="18">
        <f>3373.07+17577.64+25161.67+8122.54+63082.47+30976.43</f>
        <v>148293.82</v>
      </c>
      <c r="H194" s="18">
        <f>8333.33+2441.68+819.71+35675.43</f>
        <v>47270.15</v>
      </c>
      <c r="I194" s="18">
        <f>325.41+894.54+145.34+873.89+889.67</f>
        <v>3128.85</v>
      </c>
      <c r="J194" s="18">
        <v>0</v>
      </c>
      <c r="K194" s="18">
        <v>0</v>
      </c>
      <c r="L194" s="19">
        <f t="shared" ref="L194:L200" si="0">SUM(F194:K194)</f>
        <v>646577.72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2975+68087+6298.09+19679.14</f>
        <v>97039.23</v>
      </c>
      <c r="G195" s="18">
        <f>469.47+31895.52+10399.67</f>
        <v>42764.66</v>
      </c>
      <c r="H195" s="18">
        <f>1391.41+6085.09+9851.41+4636.52+495+11533.25</f>
        <v>33992.68</v>
      </c>
      <c r="I195" s="18">
        <f>459.53+388.95+8978.35+3997.43+106.49</f>
        <v>13930.75</v>
      </c>
      <c r="J195" s="18">
        <f>1242.38+81869.16</f>
        <v>83111.540000000008</v>
      </c>
      <c r="K195" s="18">
        <v>0</v>
      </c>
      <c r="L195" s="19">
        <f t="shared" si="0"/>
        <v>270838.86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4886.67+66.67+333.33+43939.58</f>
        <v>49226.25</v>
      </c>
      <c r="G196" s="18">
        <f>339.69+25.5+16146.71</f>
        <v>16511.899999999998</v>
      </c>
      <c r="H196" s="18">
        <f>7684.43+5507.87+4172.17+6956.53</f>
        <v>24321</v>
      </c>
      <c r="I196" s="18">
        <f>1235.42+2053.5</f>
        <v>3288.92</v>
      </c>
      <c r="J196" s="18">
        <f>220.84</f>
        <v>220.84</v>
      </c>
      <c r="K196" s="18">
        <f>12203.6+1824.83+786.78</f>
        <v>14815.210000000001</v>
      </c>
      <c r="L196" s="19">
        <f t="shared" si="0"/>
        <v>108384.12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89577.5+64519.36+76201</f>
        <v>230297.86</v>
      </c>
      <c r="G197" s="18">
        <f>4980+75801.91</f>
        <v>80781.91</v>
      </c>
      <c r="H197" s="18">
        <f>1873.53+3113.95+2615.09+1351.9+635.96</f>
        <v>9590.43</v>
      </c>
      <c r="I197" s="18">
        <v>0</v>
      </c>
      <c r="J197" s="18">
        <v>0</v>
      </c>
      <c r="K197" s="18">
        <f>1672</f>
        <v>1672</v>
      </c>
      <c r="L197" s="19">
        <f t="shared" si="0"/>
        <v>322342.2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f>42522.97</f>
        <v>42522.97</v>
      </c>
      <c r="G198" s="18">
        <v>11851.48</v>
      </c>
      <c r="H198" s="18">
        <v>3432.62</v>
      </c>
      <c r="I198" s="18">
        <v>0</v>
      </c>
      <c r="J198" s="18">
        <v>753.35</v>
      </c>
      <c r="K198" s="18">
        <v>155</v>
      </c>
      <c r="L198" s="19">
        <f t="shared" si="0"/>
        <v>58715.42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106894.76+3153.35+17925.1</f>
        <v>127973.20999999999</v>
      </c>
      <c r="G199" s="18">
        <f>39521.74+11171.48</f>
        <v>50693.22</v>
      </c>
      <c r="H199" s="18">
        <f>10702+5639+2587.76+10535.45+1767+658+14529.36+22252.61+11480.9+160.32+9595.24+11344.76</f>
        <v>101252.40000000001</v>
      </c>
      <c r="I199" s="18">
        <f>13269.7+19671.11+96092.58+17963.75+772.17</f>
        <v>147769.31000000003</v>
      </c>
      <c r="J199" s="18">
        <f>3883.4+764.96</f>
        <v>4648.3600000000006</v>
      </c>
      <c r="K199" s="18">
        <f>114</f>
        <v>114</v>
      </c>
      <c r="L199" s="19">
        <f t="shared" si="0"/>
        <v>432450.5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f>113489.42+22632.38+758.33+21134.77</f>
        <v>158014.89999999997</v>
      </c>
      <c r="G200" s="18">
        <f>32234.85+2150.73+70.56+12774.97</f>
        <v>47231.11</v>
      </c>
      <c r="H200" s="18">
        <f>416.16+35846.15+27717.7</f>
        <v>63980.010000000009</v>
      </c>
      <c r="I200" s="18">
        <f>1901.65+48132.26</f>
        <v>50033.91</v>
      </c>
      <c r="J200" s="18">
        <f>3063.85+51652.77</f>
        <v>54716.619999999995</v>
      </c>
      <c r="K200" s="18">
        <f>2424.95</f>
        <v>2424.9499999999998</v>
      </c>
      <c r="L200" s="19">
        <f t="shared" si="0"/>
        <v>376401.49999999994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3903429.0799999996</v>
      </c>
      <c r="G203" s="41">
        <f t="shared" si="1"/>
        <v>1534909.99</v>
      </c>
      <c r="H203" s="41">
        <f t="shared" si="1"/>
        <v>455004.93</v>
      </c>
      <c r="I203" s="41">
        <f t="shared" si="1"/>
        <v>306964.32000000007</v>
      </c>
      <c r="J203" s="41">
        <f t="shared" si="1"/>
        <v>149896.88</v>
      </c>
      <c r="K203" s="41">
        <f t="shared" si="1"/>
        <v>39207.69</v>
      </c>
      <c r="L203" s="41">
        <f t="shared" si="1"/>
        <v>6389412.8900000006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1918487.85+34648.77+33752.14+0.07</f>
        <v>1986888.83</v>
      </c>
      <c r="G207" s="18">
        <f>13900+770+110+765674.72</f>
        <v>780454.72</v>
      </c>
      <c r="H207" s="18">
        <f>11956.12</f>
        <v>11956.12</v>
      </c>
      <c r="I207" s="18">
        <f>3091.04+422.9+2121.95+162.96+976.95+3577.38+4552.26+813.63+1296.74+3405.97+6485.07+840.46+19334.29+1222.21+1498.16+7488.84+8971.34</f>
        <v>66262.150000000009</v>
      </c>
      <c r="J207" s="18">
        <f>492.61+543.1+4022.54</f>
        <v>5058.25</v>
      </c>
      <c r="K207" s="18">
        <f>1605.5</f>
        <v>1605.5</v>
      </c>
      <c r="L207" s="19">
        <f>SUM(F207:K207)</f>
        <v>2852225.57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332651.33+344684.71+10996.66+10094.25+19024.33+63342</f>
        <v>780793.28</v>
      </c>
      <c r="G208" s="18">
        <f>593.33+323627.99+10274.96+15931.89</f>
        <v>350428.17000000004</v>
      </c>
      <c r="H208" s="18">
        <f>-479.56+61093.27+232369.94+827.86</f>
        <v>293811.51</v>
      </c>
      <c r="I208" s="18">
        <f>803.41+2982.05+1190.92+912.43+437.8</f>
        <v>6326.6100000000006</v>
      </c>
      <c r="J208" s="18">
        <f>889</f>
        <v>889</v>
      </c>
      <c r="K208" s="18">
        <f>474.3+17610.15</f>
        <v>18084.45</v>
      </c>
      <c r="L208" s="19">
        <f>SUM(F208:K208)</f>
        <v>1450333.0200000003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27395+19200</f>
        <v>46595</v>
      </c>
      <c r="G210" s="18">
        <f>4309.74+4860.29</f>
        <v>9170.0299999999988</v>
      </c>
      <c r="H210" s="18">
        <f>4000</f>
        <v>4000</v>
      </c>
      <c r="I210" s="18">
        <f>3401.61+1727.4</f>
        <v>5129.01</v>
      </c>
      <c r="J210" s="18">
        <f>1369</f>
        <v>1369</v>
      </c>
      <c r="K210" s="18">
        <f>1763.5</f>
        <v>1763.5</v>
      </c>
      <c r="L210" s="19">
        <f>SUM(F210:K210)</f>
        <v>68026.540000000008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119378+51360.9+6090.97+21382.35+39689.64+48416.03</f>
        <v>286317.89</v>
      </c>
      <c r="G212" s="18">
        <f>3373.07+39054.95+23977.37+8638.13+11436.26+15488.21</f>
        <v>101967.98999999999</v>
      </c>
      <c r="H212" s="18">
        <f>8333.33+2596.67+137.35+17837.72</f>
        <v>28905.07</v>
      </c>
      <c r="I212" s="18">
        <f>216.5+956.24+154.57+146.43+444.84</f>
        <v>1918.58</v>
      </c>
      <c r="J212" s="18">
        <v>0</v>
      </c>
      <c r="K212" s="18">
        <v>0</v>
      </c>
      <c r="L212" s="19">
        <f t="shared" ref="L212:L218" si="2">SUM(F212:K212)</f>
        <v>419109.53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2975+54689+7492.24+22631.01</f>
        <v>87787.25</v>
      </c>
      <c r="G213" s="18">
        <f>469.47+26662.64+11959.62</f>
        <v>39091.730000000003</v>
      </c>
      <c r="H213" s="18">
        <f>9930.54+5834.22+6127.3+976.21+12265.34</f>
        <v>35133.61</v>
      </c>
      <c r="I213" s="18">
        <f>110.85+757.74+7494.37+1901.22+308.06</f>
        <v>10572.239999999998</v>
      </c>
      <c r="J213" s="18">
        <f>718.69+87065.92</f>
        <v>87784.61</v>
      </c>
      <c r="K213" s="18">
        <v>0</v>
      </c>
      <c r="L213" s="19">
        <f t="shared" si="2"/>
        <v>260369.44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4886.67+66.67+333.33+46728.7</f>
        <v>52015.369999999995</v>
      </c>
      <c r="G214" s="18">
        <f>339.69+25.5+17171.65</f>
        <v>17536.84</v>
      </c>
      <c r="H214" s="18">
        <f>7684.43+5507.87+4172.17+7398.11</f>
        <v>24762.58</v>
      </c>
      <c r="I214" s="18">
        <f>1235.42+2183.64</f>
        <v>3419.06</v>
      </c>
      <c r="J214" s="18">
        <f>234.86</f>
        <v>234.86</v>
      </c>
      <c r="K214" s="18">
        <f>10663.78+1824.83+836.73</f>
        <v>13325.34</v>
      </c>
      <c r="L214" s="19">
        <f t="shared" si="2"/>
        <v>111294.04999999999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93591.5+69367.48+75665</f>
        <v>238623.97999999998</v>
      </c>
      <c r="G215" s="18">
        <f>2160+78542.43</f>
        <v>80702.429999999993</v>
      </c>
      <c r="H215" s="18">
        <f>1470+3084.18+2674.74+850.9+403.08</f>
        <v>8482.9</v>
      </c>
      <c r="I215" s="18">
        <f>1247.53</f>
        <v>1247.53</v>
      </c>
      <c r="J215" s="18">
        <f>1931.95</f>
        <v>1931.95</v>
      </c>
      <c r="K215" s="18">
        <f>1567</f>
        <v>1567</v>
      </c>
      <c r="L215" s="19">
        <f t="shared" si="2"/>
        <v>332555.79000000004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f>42522.97</f>
        <v>42522.97</v>
      </c>
      <c r="G216" s="18">
        <v>11851.48</v>
      </c>
      <c r="H216" s="18">
        <v>3432.62</v>
      </c>
      <c r="I216" s="18">
        <v>0</v>
      </c>
      <c r="J216" s="18">
        <v>753.35</v>
      </c>
      <c r="K216" s="18">
        <v>155</v>
      </c>
      <c r="L216" s="19">
        <f t="shared" si="2"/>
        <v>58715.42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118529.72+3153.35+30229.32</f>
        <v>151912.39000000001</v>
      </c>
      <c r="G217" s="18">
        <f>43823.48+18839.85</f>
        <v>62663.33</v>
      </c>
      <c r="H217" s="18">
        <f>10732.19+6978.8+2395.04+6337.3+1937.55+9+7407.54+24439.64+15664.29+480.96+9815.07+19866.68+1705.02+648.75</f>
        <v>108417.83</v>
      </c>
      <c r="I217" s="18">
        <f>13839.35+40688.78+131106.71+1391.73+2316.51</f>
        <v>189343.08000000002</v>
      </c>
      <c r="J217" s="18">
        <f>904.24</f>
        <v>904.24</v>
      </c>
      <c r="K217" s="18">
        <v>0</v>
      </c>
      <c r="L217" s="19">
        <f t="shared" si="2"/>
        <v>513240.87000000005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f>105383.03+22632.38+4929.14+7410.86+21482.29</f>
        <v>161837.70000000001</v>
      </c>
      <c r="G218" s="18">
        <f>29932.36+2150.73+458.62+660.8+11862.47</f>
        <v>45064.98</v>
      </c>
      <c r="H218" s="18">
        <f>386.43+35846.15+25737.86</f>
        <v>61970.44</v>
      </c>
      <c r="I218" s="18">
        <f>1765.82+44694.24</f>
        <v>46460.06</v>
      </c>
      <c r="J218" s="18">
        <f>3063.85+47962.82</f>
        <v>51026.67</v>
      </c>
      <c r="K218" s="18">
        <f>2251.74</f>
        <v>2251.7399999999998</v>
      </c>
      <c r="L218" s="19">
        <f t="shared" si="2"/>
        <v>368611.58999999997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3835294.6600000011</v>
      </c>
      <c r="G221" s="41">
        <f>SUM(G207:G220)</f>
        <v>1498931.7000000002</v>
      </c>
      <c r="H221" s="41">
        <f>SUM(H207:H220)</f>
        <v>580872.68000000005</v>
      </c>
      <c r="I221" s="41">
        <f>SUM(I207:I220)</f>
        <v>330678.32</v>
      </c>
      <c r="J221" s="41">
        <f>SUM(J207:J220)</f>
        <v>149951.93</v>
      </c>
      <c r="K221" s="41">
        <f t="shared" si="3"/>
        <v>38752.53</v>
      </c>
      <c r="L221" s="41">
        <f t="shared" si="3"/>
        <v>6434481.8200000003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2899067.22+50098.71</f>
        <v>2949165.93</v>
      </c>
      <c r="G225" s="18">
        <f>15500+2788+110+1136501.39</f>
        <v>1154899.3899999999</v>
      </c>
      <c r="H225" s="18">
        <f>20594.13</f>
        <v>20594.13</v>
      </c>
      <c r="I225" s="18">
        <f>14893.79+411.44+3389+4917.5+9257.24+1336.67+6698.19+11508.97+13024.32+47771.2+3000+3167.8+8009.54+2803.59+212.5</f>
        <v>130401.75</v>
      </c>
      <c r="J225" s="18">
        <f>8533.41+419.95+1830.3+1424.4</f>
        <v>12208.06</v>
      </c>
      <c r="K225" s="18">
        <f>9659.86+18450</f>
        <v>28109.86</v>
      </c>
      <c r="L225" s="19">
        <f>SUM(F225:K225)</f>
        <v>4295379.12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352647.33+321289.62+10996.67+10044.41+9.87+19024.33</f>
        <v>714012.23</v>
      </c>
      <c r="G226" s="18">
        <f>593.34+322029.88+10274.96</f>
        <v>332898.18000000005</v>
      </c>
      <c r="H226" s="18">
        <f>-479.56+122186.54+434149.74+1050.24</f>
        <v>556906.96</v>
      </c>
      <c r="I226" s="18">
        <f>1019.23+5473.16+451.17+579.59</f>
        <v>7523.15</v>
      </c>
      <c r="J226" s="18">
        <f>608.4</f>
        <v>608.4</v>
      </c>
      <c r="K226" s="18">
        <f>601.71+22340.68</f>
        <v>22942.39</v>
      </c>
      <c r="L226" s="19">
        <f>SUM(F226:K226)</f>
        <v>1634891.3099999998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14872.49</v>
      </c>
      <c r="G227" s="18">
        <v>1360.91</v>
      </c>
      <c r="H227" s="18">
        <v>53918.81</v>
      </c>
      <c r="I227" s="18">
        <v>0</v>
      </c>
      <c r="J227" s="18">
        <v>0</v>
      </c>
      <c r="K227" s="18">
        <v>0</v>
      </c>
      <c r="L227" s="19">
        <f>SUM(F227:K227)</f>
        <v>70152.209999999992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50667+59263+156341+9300</f>
        <v>275571</v>
      </c>
      <c r="G228" s="18">
        <f>7970.85+54578+1358.57</f>
        <v>63907.42</v>
      </c>
      <c r="H228" s="18">
        <f>1547.98+44260+2770.7+26823.04+1600</f>
        <v>77001.72</v>
      </c>
      <c r="I228" s="18">
        <f>17503.76+17766.59</f>
        <v>35270.35</v>
      </c>
      <c r="J228" s="18">
        <f>11283.63</f>
        <v>11283.63</v>
      </c>
      <c r="K228" s="18">
        <f>500+3690</f>
        <v>4190</v>
      </c>
      <c r="L228" s="19">
        <f>SUM(F228:K228)</f>
        <v>467224.12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255541+34380.84+57807+27126.19+39689.64</f>
        <v>414544.67</v>
      </c>
      <c r="G230" s="18">
        <f>3373.07+94848.99+24125.59+10958.55+11436.26</f>
        <v>144742.46000000002</v>
      </c>
      <c r="H230" s="18">
        <f>8333.34+6005.28+1500+1274.97+918.9+46.82+147.03+3294.2+137.35</f>
        <v>21657.89</v>
      </c>
      <c r="I230" s="18">
        <f>3829.99+586.21+1179.34+509.75+1413+1818.62+117+196.09+146.43</f>
        <v>9796.43</v>
      </c>
      <c r="J230" s="18">
        <f>1684</f>
        <v>1684</v>
      </c>
      <c r="K230" s="18">
        <f>200+135</f>
        <v>335</v>
      </c>
      <c r="L230" s="19">
        <f t="shared" ref="L230:L236" si="4">SUM(F230:K230)</f>
        <v>592760.45000000007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2975+65287+24582.8+47140.49</f>
        <v>139985.29</v>
      </c>
      <c r="G231" s="18">
        <f>469.46+38535.2+24911.93+0.02</f>
        <v>63916.609999999993</v>
      </c>
      <c r="H231" s="18">
        <f>14644.9+9826.56+12430.89+1687.47+15560.12</f>
        <v>54149.94</v>
      </c>
      <c r="I231" s="18">
        <f>1497.32+19067.91+23352.49</f>
        <v>43917.72</v>
      </c>
      <c r="J231" s="18">
        <f>1497+1199.15+110454.02</f>
        <v>113150.17</v>
      </c>
      <c r="K231" s="18">
        <f>220</f>
        <v>220</v>
      </c>
      <c r="L231" s="19">
        <f t="shared" si="4"/>
        <v>415339.73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4886.67+66.66+333.34+59281.22</f>
        <v>64567.89</v>
      </c>
      <c r="G232" s="18">
        <f>339.69+25.5+21784.39-0.22</f>
        <v>22149.359999999997</v>
      </c>
      <c r="H232" s="18">
        <f>7684.43+5507.87+4172.17+9385.43</f>
        <v>26749.9</v>
      </c>
      <c r="I232" s="18">
        <f>1235.42+2770.22</f>
        <v>4005.64</v>
      </c>
      <c r="J232" s="18">
        <f>297.95</f>
        <v>297.95</v>
      </c>
      <c r="K232" s="18">
        <f>9321.75+1824.83+1061.49</f>
        <v>12208.07</v>
      </c>
      <c r="L232" s="19">
        <f t="shared" si="4"/>
        <v>129978.81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94709+85660.89+82074</f>
        <v>262443.89</v>
      </c>
      <c r="G233" s="18">
        <f>2160+86382.69</f>
        <v>88542.69</v>
      </c>
      <c r="H233" s="18">
        <f>2800+16797.27+7360.29+9449.71+1983.31</f>
        <v>38390.58</v>
      </c>
      <c r="I233" s="18">
        <f>5298.47</f>
        <v>5298.47</v>
      </c>
      <c r="J233" s="18">
        <f>1458.33+346.18+152.1</f>
        <v>1956.61</v>
      </c>
      <c r="K233" s="18">
        <f>2075.44+7950.21</f>
        <v>10025.65</v>
      </c>
      <c r="L233" s="19">
        <f t="shared" si="4"/>
        <v>406657.89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42522.96</v>
      </c>
      <c r="G234" s="18">
        <v>11851.48</v>
      </c>
      <c r="H234" s="18">
        <v>3432.62</v>
      </c>
      <c r="I234" s="18">
        <v>0</v>
      </c>
      <c r="J234" s="18">
        <v>753.35</v>
      </c>
      <c r="K234" s="18">
        <v>155</v>
      </c>
      <c r="L234" s="19">
        <f t="shared" si="4"/>
        <v>58715.41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194617.61+3153.35+88695.41</f>
        <v>286466.37</v>
      </c>
      <c r="G235" s="18">
        <f>71955.13+55277.75</f>
        <v>127232.88</v>
      </c>
      <c r="H235" s="18">
        <f>18137.69+8424.5+801.42+2809.79+18817.91+3244.01+1375+5929.56+44064.3+25700.7+2565.1+36445.33+33981.86+9107.04+2644.56</f>
        <v>214048.77</v>
      </c>
      <c r="I235" s="18">
        <f>26876.39+85457.5+215109.22+1366.02+12354.7</f>
        <v>341163.83</v>
      </c>
      <c r="J235" s="18">
        <f>1780.22</f>
        <v>1780.22</v>
      </c>
      <c r="K235" s="18">
        <v>0</v>
      </c>
      <c r="L235" s="19">
        <f t="shared" si="4"/>
        <v>970692.07000000007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f>32425.55+22632.38+10237.44+21409.14+6609.94+2000</f>
        <v>95314.450000000012</v>
      </c>
      <c r="G236" s="18">
        <f>9209.96+2150.73-0.03+952.53+1908.99+3649.99+299.53</f>
        <v>18171.699999999997</v>
      </c>
      <c r="H236" s="18">
        <f>118.9+35846.15+412.5+4527.37+7919.34</f>
        <v>48824.260000000009</v>
      </c>
      <c r="I236" s="18">
        <f>543.33+13752.07</f>
        <v>14295.4</v>
      </c>
      <c r="J236" s="18">
        <f>3063.85+14457.79</f>
        <v>17521.64</v>
      </c>
      <c r="K236" s="18">
        <f>692.84</f>
        <v>692.84</v>
      </c>
      <c r="L236" s="19">
        <f t="shared" si="4"/>
        <v>194820.29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5259467.17</v>
      </c>
      <c r="G239" s="41">
        <f t="shared" si="5"/>
        <v>2029673.0799999998</v>
      </c>
      <c r="H239" s="41">
        <f t="shared" si="5"/>
        <v>1115675.5799999998</v>
      </c>
      <c r="I239" s="41">
        <f t="shared" si="5"/>
        <v>591672.74000000011</v>
      </c>
      <c r="J239" s="41">
        <f t="shared" si="5"/>
        <v>161244.03000000003</v>
      </c>
      <c r="K239" s="41">
        <f t="shared" si="5"/>
        <v>78878.81</v>
      </c>
      <c r="L239" s="41">
        <f t="shared" si="5"/>
        <v>9236611.4099999983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>
        <v>0</v>
      </c>
      <c r="G246" s="18">
        <v>0</v>
      </c>
      <c r="H246" s="18">
        <v>0</v>
      </c>
      <c r="I246" s="18">
        <v>0</v>
      </c>
      <c r="J246" s="18">
        <v>0</v>
      </c>
      <c r="K246" s="18">
        <v>0</v>
      </c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>
        <v>0</v>
      </c>
      <c r="G247" s="18">
        <v>0</v>
      </c>
      <c r="H247" s="18">
        <v>0</v>
      </c>
      <c r="I247" s="18">
        <v>0</v>
      </c>
      <c r="J247" s="18">
        <v>0</v>
      </c>
      <c r="K247" s="18">
        <v>0</v>
      </c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12998190.91</v>
      </c>
      <c r="G249" s="41">
        <f t="shared" si="8"/>
        <v>5063514.7700000005</v>
      </c>
      <c r="H249" s="41">
        <f t="shared" si="8"/>
        <v>2151553.19</v>
      </c>
      <c r="I249" s="41">
        <f t="shared" si="8"/>
        <v>1229315.3800000004</v>
      </c>
      <c r="J249" s="41">
        <f t="shared" si="8"/>
        <v>461092.84</v>
      </c>
      <c r="K249" s="41">
        <f t="shared" si="8"/>
        <v>156839.03</v>
      </c>
      <c r="L249" s="41">
        <f t="shared" si="8"/>
        <v>22060506.119999997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1005000</v>
      </c>
      <c r="L252" s="19">
        <f>SUM(F252:K252)</f>
        <v>1005000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500055</v>
      </c>
      <c r="L253" s="19">
        <f>SUM(F253:K253)</f>
        <v>500055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0</v>
      </c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0</v>
      </c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216473.05</v>
      </c>
      <c r="L258" s="19">
        <f t="shared" si="9"/>
        <v>216473.05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0</v>
      </c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>
        <v>0</v>
      </c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1721528.05</v>
      </c>
      <c r="L262" s="41">
        <f t="shared" si="9"/>
        <v>1721528.05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12998190.91</v>
      </c>
      <c r="G263" s="42">
        <f t="shared" si="11"/>
        <v>5063514.7700000005</v>
      </c>
      <c r="H263" s="42">
        <f t="shared" si="11"/>
        <v>2151553.19</v>
      </c>
      <c r="I263" s="42">
        <f t="shared" si="11"/>
        <v>1229315.3800000004</v>
      </c>
      <c r="J263" s="42">
        <f t="shared" si="11"/>
        <v>461092.84</v>
      </c>
      <c r="K263" s="42">
        <f t="shared" si="11"/>
        <v>1878367.08</v>
      </c>
      <c r="L263" s="42">
        <f t="shared" si="11"/>
        <v>23782034.169999998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12374.72+6006+3366</f>
        <v>21746.720000000001</v>
      </c>
      <c r="G268" s="18">
        <f>905.87+460+421+258+235</f>
        <v>2279.87</v>
      </c>
      <c r="H268" s="18">
        <v>0</v>
      </c>
      <c r="I268" s="18">
        <f>659.04+100</f>
        <v>759.04</v>
      </c>
      <c r="J268" s="18">
        <v>0</v>
      </c>
      <c r="K268" s="18">
        <f>146.08+189.44+39.59</f>
        <v>375.11</v>
      </c>
      <c r="L268" s="19">
        <f>SUM(F268:K268)</f>
        <v>25160.74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449.32+19100+7015.56+9810.03+54062+22203.33+4557.47</f>
        <v>117197.71</v>
      </c>
      <c r="G269" s="18">
        <f>1461.15+536.7+6563.68+377.53+3.03</f>
        <v>8942.090000000002</v>
      </c>
      <c r="H269" s="18">
        <f>153.21+132.69+1194+4117.34+12431.18</f>
        <v>18028.419999999998</v>
      </c>
      <c r="I269" s="18">
        <f>2500+2477.33+3372.65</f>
        <v>8349.98</v>
      </c>
      <c r="J269" s="18">
        <f>9452.96</f>
        <v>9452.9599999999991</v>
      </c>
      <c r="K269" s="18">
        <f>268.65+860.16+49.35</f>
        <v>1178.1599999999999</v>
      </c>
      <c r="L269" s="19">
        <f>SUM(F269:K269)</f>
        <v>163149.32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>
        <v>0</v>
      </c>
      <c r="H271" s="18">
        <v>0</v>
      </c>
      <c r="I271" s="18">
        <v>0</v>
      </c>
      <c r="J271" s="18">
        <v>0</v>
      </c>
      <c r="K271" s="18">
        <v>0</v>
      </c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0</v>
      </c>
      <c r="G273" s="18">
        <v>0</v>
      </c>
      <c r="H273" s="18">
        <v>0</v>
      </c>
      <c r="I273" s="18">
        <v>0</v>
      </c>
      <c r="J273" s="18">
        <f>18343.1</f>
        <v>18343.099999999999</v>
      </c>
      <c r="K273" s="18">
        <v>0</v>
      </c>
      <c r="L273" s="19">
        <f t="shared" ref="L273:L279" si="12">SUM(F273:K273)</f>
        <v>18343.099999999999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0</v>
      </c>
      <c r="G274" s="18">
        <v>0</v>
      </c>
      <c r="H274" s="18">
        <f>5174.37+11398.39+1325+1050</f>
        <v>18947.759999999998</v>
      </c>
      <c r="I274" s="18">
        <f>186.03</f>
        <v>186.03</v>
      </c>
      <c r="J274" s="18">
        <v>0</v>
      </c>
      <c r="K274" s="18">
        <v>0</v>
      </c>
      <c r="L274" s="19">
        <f t="shared" si="12"/>
        <v>19133.789999999997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0</v>
      </c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138944.43</v>
      </c>
      <c r="G282" s="42">
        <f t="shared" si="13"/>
        <v>11221.960000000003</v>
      </c>
      <c r="H282" s="42">
        <f t="shared" si="13"/>
        <v>36976.179999999993</v>
      </c>
      <c r="I282" s="42">
        <f t="shared" si="13"/>
        <v>9295.0500000000011</v>
      </c>
      <c r="J282" s="42">
        <f t="shared" si="13"/>
        <v>27796.059999999998</v>
      </c>
      <c r="K282" s="42">
        <f t="shared" si="13"/>
        <v>1553.27</v>
      </c>
      <c r="L282" s="41">
        <f t="shared" si="13"/>
        <v>225786.95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f>12374.72</f>
        <v>12374.72</v>
      </c>
      <c r="G287" s="18">
        <f>905.87</f>
        <v>905.87</v>
      </c>
      <c r="H287" s="18">
        <v>0</v>
      </c>
      <c r="I287" s="18">
        <v>0</v>
      </c>
      <c r="J287" s="18">
        <v>0</v>
      </c>
      <c r="K287" s="18">
        <f>146.08</f>
        <v>146.08000000000001</v>
      </c>
      <c r="L287" s="19">
        <f>SUM(F287:K287)</f>
        <v>13426.67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10823.91+13281.78+22203.33</f>
        <v>46309.020000000004</v>
      </c>
      <c r="G288" s="18">
        <f>3531.3</f>
        <v>3531.3</v>
      </c>
      <c r="H288" s="18">
        <f>153.21+4117.34+12431.18</f>
        <v>16701.73</v>
      </c>
      <c r="I288" s="18">
        <f>3372.65</f>
        <v>3372.65</v>
      </c>
      <c r="J288" s="18">
        <f>20955.96+9452.96</f>
        <v>30408.92</v>
      </c>
      <c r="K288" s="18">
        <f>860.16</f>
        <v>860.16</v>
      </c>
      <c r="L288" s="19">
        <f>SUM(F288:K288)</f>
        <v>101183.78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>
        <v>0</v>
      </c>
      <c r="G289" s="18">
        <v>0</v>
      </c>
      <c r="H289" s="18">
        <v>0</v>
      </c>
      <c r="I289" s="18">
        <v>0</v>
      </c>
      <c r="J289" s="18">
        <v>0</v>
      </c>
      <c r="K289" s="18">
        <v>0</v>
      </c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f>14400</f>
        <v>14400</v>
      </c>
      <c r="G290" s="18">
        <f>1101.6</f>
        <v>1101.5999999999999</v>
      </c>
      <c r="H290" s="18">
        <v>0</v>
      </c>
      <c r="I290" s="18">
        <v>0</v>
      </c>
      <c r="J290" s="18">
        <v>0</v>
      </c>
      <c r="K290" s="18">
        <v>0</v>
      </c>
      <c r="L290" s="19">
        <f>SUM(F290:K290)</f>
        <v>15501.6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0</v>
      </c>
      <c r="G292" s="18">
        <v>0</v>
      </c>
      <c r="H292" s="18">
        <v>0</v>
      </c>
      <c r="I292" s="18">
        <v>0</v>
      </c>
      <c r="J292" s="18">
        <f>18343.1</f>
        <v>18343.099999999999</v>
      </c>
      <c r="K292" s="18">
        <v>0</v>
      </c>
      <c r="L292" s="19">
        <f t="shared" ref="L292:L298" si="14">SUM(F292:K292)</f>
        <v>18343.099999999999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0</v>
      </c>
      <c r="G293" s="18">
        <v>0</v>
      </c>
      <c r="H293" s="18">
        <f>5174.37+1325+713.83+1050</f>
        <v>8263.2000000000007</v>
      </c>
      <c r="I293" s="18">
        <f>186.03</f>
        <v>186.03</v>
      </c>
      <c r="J293" s="18">
        <v>0</v>
      </c>
      <c r="K293" s="18">
        <f>7.14</f>
        <v>7.14</v>
      </c>
      <c r="L293" s="19">
        <f t="shared" si="14"/>
        <v>8456.3700000000008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73083.740000000005</v>
      </c>
      <c r="G301" s="42">
        <f t="shared" si="15"/>
        <v>5538.77</v>
      </c>
      <c r="H301" s="42">
        <f t="shared" si="15"/>
        <v>24964.93</v>
      </c>
      <c r="I301" s="42">
        <f t="shared" si="15"/>
        <v>3558.6800000000003</v>
      </c>
      <c r="J301" s="42">
        <f t="shared" si="15"/>
        <v>48752.02</v>
      </c>
      <c r="K301" s="42">
        <f t="shared" si="15"/>
        <v>1013.38</v>
      </c>
      <c r="L301" s="41">
        <f t="shared" si="15"/>
        <v>156911.51999999999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f>12374.72</f>
        <v>12374.72</v>
      </c>
      <c r="G306" s="18">
        <f>905.87</f>
        <v>905.87</v>
      </c>
      <c r="H306" s="18">
        <v>0</v>
      </c>
      <c r="I306" s="18">
        <v>0</v>
      </c>
      <c r="J306" s="18">
        <v>0</v>
      </c>
      <c r="K306" s="18">
        <f>146.08</f>
        <v>146.08000000000001</v>
      </c>
      <c r="L306" s="19">
        <f>SUM(F306:K306)</f>
        <v>13426.67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f>34000+22203.33</f>
        <v>56203.33</v>
      </c>
      <c r="G307" s="18">
        <f>4285.79</f>
        <v>4285.79</v>
      </c>
      <c r="H307" s="18">
        <f>153.21+4117.34+12431.18</f>
        <v>16701.73</v>
      </c>
      <c r="I307" s="18">
        <f>3372.65</f>
        <v>3372.65</v>
      </c>
      <c r="J307" s="18">
        <f>34285+9452.96</f>
        <v>43737.96</v>
      </c>
      <c r="K307" s="18">
        <f>860.16</f>
        <v>860.16</v>
      </c>
      <c r="L307" s="19">
        <f>SUM(F307:K307)</f>
        <v>125161.62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0</v>
      </c>
      <c r="G308" s="18">
        <v>0</v>
      </c>
      <c r="H308" s="18">
        <v>0</v>
      </c>
      <c r="I308" s="18">
        <v>0</v>
      </c>
      <c r="J308" s="18">
        <v>0</v>
      </c>
      <c r="K308" s="18">
        <v>0</v>
      </c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0</v>
      </c>
      <c r="G309" s="18">
        <v>0</v>
      </c>
      <c r="H309" s="18">
        <v>0</v>
      </c>
      <c r="I309" s="18">
        <v>0</v>
      </c>
      <c r="J309" s="18">
        <v>0</v>
      </c>
      <c r="K309" s="18">
        <v>0</v>
      </c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0</v>
      </c>
      <c r="G311" s="18">
        <v>0</v>
      </c>
      <c r="H311" s="18">
        <v>0</v>
      </c>
      <c r="I311" s="18">
        <v>0</v>
      </c>
      <c r="J311" s="18">
        <f>18343.1</f>
        <v>18343.099999999999</v>
      </c>
      <c r="K311" s="18">
        <v>0</v>
      </c>
      <c r="L311" s="19">
        <f t="shared" ref="L311:L317" si="16">SUM(F311:K311)</f>
        <v>18343.099999999999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f>750</f>
        <v>750</v>
      </c>
      <c r="G312" s="18">
        <f>57.38</f>
        <v>57.38</v>
      </c>
      <c r="H312" s="18">
        <f>5174.37+1325+713.83+1050</f>
        <v>8263.2000000000007</v>
      </c>
      <c r="I312" s="18">
        <f>186.03</f>
        <v>186.03</v>
      </c>
      <c r="J312" s="18">
        <v>0</v>
      </c>
      <c r="K312" s="18">
        <f>15.21</f>
        <v>15.21</v>
      </c>
      <c r="L312" s="19">
        <f t="shared" si="16"/>
        <v>9271.82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69328.05</v>
      </c>
      <c r="G320" s="42">
        <f t="shared" si="17"/>
        <v>5249.04</v>
      </c>
      <c r="H320" s="42">
        <f t="shared" si="17"/>
        <v>24964.93</v>
      </c>
      <c r="I320" s="42">
        <f t="shared" si="17"/>
        <v>3558.6800000000003</v>
      </c>
      <c r="J320" s="42">
        <f t="shared" si="17"/>
        <v>62081.06</v>
      </c>
      <c r="K320" s="42">
        <f t="shared" si="17"/>
        <v>1021.45</v>
      </c>
      <c r="L320" s="41">
        <f t="shared" si="17"/>
        <v>166203.21000000002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281356.21999999997</v>
      </c>
      <c r="G330" s="41">
        <f t="shared" si="20"/>
        <v>22009.770000000004</v>
      </c>
      <c r="H330" s="41">
        <f t="shared" si="20"/>
        <v>86906.04</v>
      </c>
      <c r="I330" s="41">
        <f t="shared" si="20"/>
        <v>16412.410000000003</v>
      </c>
      <c r="J330" s="41">
        <f t="shared" si="20"/>
        <v>138629.13999999998</v>
      </c>
      <c r="K330" s="41">
        <f t="shared" si="20"/>
        <v>3588.1000000000004</v>
      </c>
      <c r="L330" s="41">
        <f t="shared" si="20"/>
        <v>548901.67999999993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>
        <v>0</v>
      </c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>
        <v>0</v>
      </c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0</v>
      </c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>
        <v>0</v>
      </c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>
        <v>0</v>
      </c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>
        <v>0</v>
      </c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>
        <v>0</v>
      </c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>
        <v>0</v>
      </c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281356.21999999997</v>
      </c>
      <c r="G344" s="41">
        <f>G330</f>
        <v>22009.770000000004</v>
      </c>
      <c r="H344" s="41">
        <f>H330</f>
        <v>86906.04</v>
      </c>
      <c r="I344" s="41">
        <f>I330</f>
        <v>16412.410000000003</v>
      </c>
      <c r="J344" s="41">
        <f>J330</f>
        <v>138629.13999999998</v>
      </c>
      <c r="K344" s="47">
        <f>K330+K343</f>
        <v>3588.1000000000004</v>
      </c>
      <c r="L344" s="41">
        <f>L330+L343</f>
        <v>548901.67999999993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38873.85</v>
      </c>
      <c r="G350" s="18">
        <v>15063.82</v>
      </c>
      <c r="H350" s="18">
        <v>1448.86</v>
      </c>
      <c r="I350" s="18">
        <v>46538.5</v>
      </c>
      <c r="J350" s="18">
        <v>646</v>
      </c>
      <c r="K350" s="18">
        <v>91.81</v>
      </c>
      <c r="L350" s="13">
        <f>SUM(F350:K350)</f>
        <v>102662.84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80443.58</v>
      </c>
      <c r="G351" s="18">
        <v>31172.3</v>
      </c>
      <c r="H351" s="18">
        <v>2998.2</v>
      </c>
      <c r="I351" s="18">
        <v>96304.4</v>
      </c>
      <c r="J351" s="18">
        <v>1336.8</v>
      </c>
      <c r="K351" s="18">
        <v>189.99</v>
      </c>
      <c r="L351" s="19">
        <f>SUM(F351:K351)</f>
        <v>212445.26999999996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94895.6</v>
      </c>
      <c r="G352" s="18">
        <v>36772.53</v>
      </c>
      <c r="H352" s="18">
        <v>3536.83</v>
      </c>
      <c r="I352" s="18">
        <v>113605.88</v>
      </c>
      <c r="J352" s="18">
        <v>1576.96</v>
      </c>
      <c r="K352" s="18">
        <v>224.13</v>
      </c>
      <c r="L352" s="19">
        <f>SUM(F352:K352)</f>
        <v>250611.93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>
        <v>0</v>
      </c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214213.03</v>
      </c>
      <c r="G354" s="47">
        <f t="shared" si="22"/>
        <v>83008.649999999994</v>
      </c>
      <c r="H354" s="47">
        <f t="shared" si="22"/>
        <v>7983.8899999999994</v>
      </c>
      <c r="I354" s="47">
        <f t="shared" si="22"/>
        <v>256448.78</v>
      </c>
      <c r="J354" s="47">
        <f t="shared" si="22"/>
        <v>3559.76</v>
      </c>
      <c r="K354" s="47">
        <f t="shared" si="22"/>
        <v>505.93</v>
      </c>
      <c r="L354" s="47">
        <f t="shared" si="22"/>
        <v>565720.04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I350-F360</f>
        <v>43781.65</v>
      </c>
      <c r="G359" s="18">
        <f>I351-G360</f>
        <v>90599.51</v>
      </c>
      <c r="H359" s="18">
        <f>I352-H360</f>
        <v>106876.08</v>
      </c>
      <c r="I359" s="56">
        <f>SUM(F359:H359)</f>
        <v>241257.24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2756.85</v>
      </c>
      <c r="G360" s="63">
        <v>5704.89</v>
      </c>
      <c r="H360" s="63">
        <v>6729.8</v>
      </c>
      <c r="I360" s="56">
        <f>SUM(F360:H360)</f>
        <v>15191.54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46538.5</v>
      </c>
      <c r="G361" s="47">
        <f>SUM(G359:G360)</f>
        <v>96304.4</v>
      </c>
      <c r="H361" s="47">
        <f>SUM(H359:H360)</f>
        <v>113605.88</v>
      </c>
      <c r="I361" s="47">
        <f>SUM(I359:I360)</f>
        <v>256448.78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>
        <v>0</v>
      </c>
      <c r="G367" s="18">
        <v>0</v>
      </c>
      <c r="H367" s="18">
        <v>0</v>
      </c>
      <c r="I367" s="18">
        <v>0</v>
      </c>
      <c r="J367" s="18">
        <v>0</v>
      </c>
      <c r="K367" s="18">
        <v>0</v>
      </c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>
        <v>0</v>
      </c>
      <c r="G368" s="18">
        <v>0</v>
      </c>
      <c r="H368" s="18">
        <v>0</v>
      </c>
      <c r="I368" s="18">
        <v>0</v>
      </c>
      <c r="J368" s="18">
        <v>0</v>
      </c>
      <c r="K368" s="18">
        <v>0</v>
      </c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>
        <v>0</v>
      </c>
      <c r="G369" s="18">
        <v>0</v>
      </c>
      <c r="H369" s="18">
        <v>0</v>
      </c>
      <c r="I369" s="18">
        <v>0</v>
      </c>
      <c r="J369" s="18">
        <v>0</v>
      </c>
      <c r="K369" s="18">
        <v>0</v>
      </c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>
        <v>0</v>
      </c>
      <c r="G370" s="18">
        <v>0</v>
      </c>
      <c r="H370" s="18">
        <v>0</v>
      </c>
      <c r="I370" s="18">
        <v>0</v>
      </c>
      <c r="J370" s="18">
        <v>0</v>
      </c>
      <c r="K370" s="18">
        <v>0</v>
      </c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>
        <v>0</v>
      </c>
      <c r="G371" s="18">
        <v>0</v>
      </c>
      <c r="H371" s="18">
        <v>0</v>
      </c>
      <c r="I371" s="18">
        <v>0</v>
      </c>
      <c r="J371" s="18">
        <v>0</v>
      </c>
      <c r="K371" s="18">
        <v>0</v>
      </c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0</v>
      </c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>
        <v>0</v>
      </c>
      <c r="G379" s="18">
        <v>0</v>
      </c>
      <c r="H379" s="18">
        <v>0</v>
      </c>
      <c r="I379" s="18">
        <v>0</v>
      </c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>
        <v>0</v>
      </c>
      <c r="G380" s="18">
        <v>0</v>
      </c>
      <c r="H380" s="18">
        <f>19570.18-1514.13</f>
        <v>18056.05</v>
      </c>
      <c r="I380" s="18">
        <v>0</v>
      </c>
      <c r="J380" s="24" t="s">
        <v>312</v>
      </c>
      <c r="K380" s="24" t="s">
        <v>312</v>
      </c>
      <c r="L380" s="56">
        <f t="shared" si="25"/>
        <v>18056.05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>
        <v>0</v>
      </c>
      <c r="G381" s="18">
        <v>0</v>
      </c>
      <c r="H381" s="18">
        <f>457.41-35.39</f>
        <v>422.02000000000004</v>
      </c>
      <c r="I381" s="18">
        <v>0</v>
      </c>
      <c r="J381" s="24" t="s">
        <v>312</v>
      </c>
      <c r="K381" s="24" t="s">
        <v>312</v>
      </c>
      <c r="L381" s="56">
        <f t="shared" si="25"/>
        <v>422.02000000000004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>
        <v>0</v>
      </c>
      <c r="G382" s="18">
        <v>0</v>
      </c>
      <c r="H382" s="18">
        <v>0</v>
      </c>
      <c r="I382" s="18">
        <v>0</v>
      </c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>
        <v>0</v>
      </c>
      <c r="G383" s="18">
        <v>0</v>
      </c>
      <c r="H383" s="18">
        <v>0</v>
      </c>
      <c r="I383" s="18">
        <v>0</v>
      </c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>
        <v>0</v>
      </c>
      <c r="G384" s="18">
        <v>0</v>
      </c>
      <c r="H384" s="18">
        <v>0</v>
      </c>
      <c r="I384" s="18">
        <v>0</v>
      </c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18478.07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18478.07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>
        <v>0</v>
      </c>
      <c r="G388" s="18">
        <v>216473.05</v>
      </c>
      <c r="H388" s="18">
        <f>2558.8-197.97+16169.56-1251.02+16784.79-1298.62+52.18</f>
        <v>32817.72</v>
      </c>
      <c r="I388" s="18">
        <v>0</v>
      </c>
      <c r="J388" s="24" t="s">
        <v>312</v>
      </c>
      <c r="K388" s="24" t="s">
        <v>312</v>
      </c>
      <c r="L388" s="56">
        <f t="shared" si="26"/>
        <v>249290.77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>
        <v>0</v>
      </c>
      <c r="G389" s="18">
        <v>0</v>
      </c>
      <c r="H389" s="18">
        <f>12538.77-970.11</f>
        <v>11568.66</v>
      </c>
      <c r="I389" s="18">
        <v>0</v>
      </c>
      <c r="J389" s="24" t="s">
        <v>312</v>
      </c>
      <c r="K389" s="24" t="s">
        <v>312</v>
      </c>
      <c r="L389" s="56">
        <f t="shared" si="26"/>
        <v>11568.66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216473.05</v>
      </c>
      <c r="H393" s="47">
        <f>SUM(H387:H392)</f>
        <v>44386.380000000005</v>
      </c>
      <c r="I393" s="47">
        <f>SUM(I388:I392)</f>
        <v>0</v>
      </c>
      <c r="J393" s="45" t="s">
        <v>312</v>
      </c>
      <c r="K393" s="45" t="s">
        <v>312</v>
      </c>
      <c r="L393" s="47">
        <f>SUM(L387:L392)</f>
        <v>260859.43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216473.05</v>
      </c>
      <c r="H400" s="47">
        <f>H385+H393+H399</f>
        <v>62864.450000000004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279337.5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>
        <v>0</v>
      </c>
      <c r="G408" s="18">
        <v>0</v>
      </c>
      <c r="H408" s="18">
        <v>0</v>
      </c>
      <c r="I408" s="18">
        <v>0</v>
      </c>
      <c r="J408" s="18">
        <v>0</v>
      </c>
      <c r="K408" s="18">
        <v>0</v>
      </c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>
        <v>0</v>
      </c>
      <c r="G409" s="18">
        <v>0</v>
      </c>
      <c r="H409" s="18">
        <v>0</v>
      </c>
      <c r="I409" s="18">
        <v>0</v>
      </c>
      <c r="J409" s="18">
        <v>0</v>
      </c>
      <c r="K409" s="18">
        <v>0</v>
      </c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f>54318+162155.05</f>
        <v>216473.05</v>
      </c>
      <c r="L414" s="56">
        <f t="shared" si="29"/>
        <v>216473.05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216473.05</v>
      </c>
      <c r="L419" s="47">
        <f t="shared" si="30"/>
        <v>216473.05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216473.05</v>
      </c>
      <c r="L426" s="47">
        <f t="shared" si="32"/>
        <v>216473.05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0</v>
      </c>
      <c r="G431" s="18">
        <v>0</v>
      </c>
      <c r="H431" s="18">
        <v>0</v>
      </c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f>8464.04+450102.25+496222.95+256093.21</f>
        <v>1210882.45</v>
      </c>
      <c r="G432" s="18">
        <f>308492.53</f>
        <v>308492.53000000003</v>
      </c>
      <c r="H432" s="18">
        <v>0</v>
      </c>
      <c r="I432" s="56">
        <f t="shared" si="33"/>
        <v>1519374.98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>
        <v>0</v>
      </c>
      <c r="G433" s="18">
        <v>0</v>
      </c>
      <c r="H433" s="18">
        <v>0</v>
      </c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0</v>
      </c>
      <c r="G434" s="18">
        <v>0</v>
      </c>
      <c r="H434" s="18">
        <v>0</v>
      </c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>
        <v>0</v>
      </c>
      <c r="G435" s="18">
        <v>0</v>
      </c>
      <c r="H435" s="18">
        <v>0</v>
      </c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>
        <v>0</v>
      </c>
      <c r="G436" s="18">
        <v>0</v>
      </c>
      <c r="H436" s="18">
        <v>0</v>
      </c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>
        <v>0</v>
      </c>
      <c r="G437" s="18">
        <v>0</v>
      </c>
      <c r="H437" s="18">
        <v>0</v>
      </c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1210882.45</v>
      </c>
      <c r="G438" s="13">
        <f>SUM(G431:G437)</f>
        <v>308492.53000000003</v>
      </c>
      <c r="H438" s="13">
        <f>SUM(H431:H437)</f>
        <v>0</v>
      </c>
      <c r="I438" s="13">
        <f>SUM(I431:I437)</f>
        <v>1519374.98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>
        <v>0</v>
      </c>
      <c r="G440" s="18">
        <v>0</v>
      </c>
      <c r="H440" s="18">
        <v>0</v>
      </c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>
        <v>0</v>
      </c>
      <c r="G441" s="18">
        <v>0</v>
      </c>
      <c r="H441" s="18">
        <v>0</v>
      </c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>
        <v>0</v>
      </c>
      <c r="G442" s="18">
        <v>0</v>
      </c>
      <c r="H442" s="18">
        <v>0</v>
      </c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>
        <v>0</v>
      </c>
      <c r="G443" s="18">
        <v>0</v>
      </c>
      <c r="H443" s="18">
        <v>0</v>
      </c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>
        <v>0</v>
      </c>
      <c r="G446" s="18">
        <v>0</v>
      </c>
      <c r="H446" s="18">
        <v>0</v>
      </c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f>1210882.45</f>
        <v>1210882.45</v>
      </c>
      <c r="G449" s="18">
        <v>308492.53000000003</v>
      </c>
      <c r="H449" s="18">
        <v>0</v>
      </c>
      <c r="I449" s="56">
        <f>SUM(F449:H449)</f>
        <v>1519374.98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1210882.45</v>
      </c>
      <c r="G450" s="83">
        <f>SUM(G446:G449)</f>
        <v>308492.53000000003</v>
      </c>
      <c r="H450" s="83">
        <f>SUM(H446:H449)</f>
        <v>0</v>
      </c>
      <c r="I450" s="83">
        <f>SUM(I446:I449)</f>
        <v>1519374.98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1210882.45</v>
      </c>
      <c r="G451" s="42">
        <f>G444+G450</f>
        <v>308492.53000000003</v>
      </c>
      <c r="H451" s="42">
        <f>H444+H450</f>
        <v>0</v>
      </c>
      <c r="I451" s="42">
        <f>I444+I450</f>
        <v>1519374.98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1093253.1499999999</v>
      </c>
      <c r="G455" s="18">
        <v>91813.85</v>
      </c>
      <c r="H455" s="18">
        <v>22579.69</v>
      </c>
      <c r="I455" s="18">
        <v>0</v>
      </c>
      <c r="J455" s="18">
        <f>1519374.98-62916.63+52.18</f>
        <v>1456510.53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23452855.609999999</v>
      </c>
      <c r="G458" s="18">
        <f>G185</f>
        <v>561550.5</v>
      </c>
      <c r="H458" s="18">
        <f>H185</f>
        <v>530885.32999999996</v>
      </c>
      <c r="I458" s="18">
        <v>0</v>
      </c>
      <c r="J458" s="18">
        <f>J185</f>
        <v>279337.5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0</v>
      </c>
      <c r="G459" s="18">
        <v>0</v>
      </c>
      <c r="H459" s="18">
        <v>0</v>
      </c>
      <c r="I459" s="18">
        <v>0</v>
      </c>
      <c r="J459" s="18">
        <v>0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23452855.609999999</v>
      </c>
      <c r="G460" s="53">
        <f>SUM(G458:G459)</f>
        <v>561550.5</v>
      </c>
      <c r="H460" s="53">
        <f>SUM(H458:H459)</f>
        <v>530885.32999999996</v>
      </c>
      <c r="I460" s="53">
        <f>SUM(I458:I459)</f>
        <v>0</v>
      </c>
      <c r="J460" s="53">
        <f>SUM(J458:J459)</f>
        <v>279337.5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23782034.169999998</v>
      </c>
      <c r="G462" s="18">
        <f>L354</f>
        <v>565720.04</v>
      </c>
      <c r="H462" s="18">
        <f>L344</f>
        <v>548901.67999999993</v>
      </c>
      <c r="I462" s="18">
        <v>0</v>
      </c>
      <c r="J462" s="18">
        <f>L426</f>
        <v>216473.05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0</v>
      </c>
      <c r="G463" s="18">
        <v>0</v>
      </c>
      <c r="H463" s="18">
        <v>0</v>
      </c>
      <c r="I463" s="18">
        <v>0</v>
      </c>
      <c r="J463" s="18">
        <v>0</v>
      </c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23782034.169999998</v>
      </c>
      <c r="G464" s="53">
        <f>SUM(G462:G463)</f>
        <v>565720.04</v>
      </c>
      <c r="H464" s="53">
        <f>SUM(H462:H463)</f>
        <v>548901.67999999993</v>
      </c>
      <c r="I464" s="53">
        <f>SUM(I462:I463)</f>
        <v>0</v>
      </c>
      <c r="J464" s="53">
        <f>SUM(J462:J463)</f>
        <v>216473.05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764074.58999999985</v>
      </c>
      <c r="G466" s="53">
        <f>(G455+G460)- G464</f>
        <v>87644.309999999939</v>
      </c>
      <c r="H466" s="53">
        <f>(H455+H460)- H464</f>
        <v>4563.3399999999674</v>
      </c>
      <c r="I466" s="53">
        <f>(I455+I460)- I464</f>
        <v>0</v>
      </c>
      <c r="J466" s="53">
        <f>(J455+J460)- J464</f>
        <v>1519374.98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20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271" t="s">
        <v>894</v>
      </c>
      <c r="G481" s="155" t="s">
        <v>895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 t="s">
        <v>897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16157528</v>
      </c>
      <c r="G483" s="18">
        <v>4027000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5.7</v>
      </c>
      <c r="G484" s="18">
        <v>4.4000000000000004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6440000</v>
      </c>
      <c r="G485" s="18">
        <v>3600000</v>
      </c>
      <c r="H485" s="18"/>
      <c r="I485" s="18"/>
      <c r="J485" s="18"/>
      <c r="K485" s="53">
        <f>SUM(F485:J485)</f>
        <v>10040000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805000</v>
      </c>
      <c r="G487" s="18">
        <v>200000</v>
      </c>
      <c r="H487" s="18"/>
      <c r="I487" s="18"/>
      <c r="J487" s="18"/>
      <c r="K487" s="53">
        <f t="shared" si="34"/>
        <v>1005000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5635000</v>
      </c>
      <c r="G488" s="205">
        <f>G485-G487</f>
        <v>3400000</v>
      </c>
      <c r="H488" s="205"/>
      <c r="I488" s="205"/>
      <c r="J488" s="205"/>
      <c r="K488" s="206">
        <f t="shared" si="34"/>
        <v>9035000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1480998.85-184948.75-162006.25</f>
        <v>1134043.8500000001</v>
      </c>
      <c r="G489" s="18">
        <f>1431100.5-78700-74700</f>
        <v>1277700.5</v>
      </c>
      <c r="H489" s="18"/>
      <c r="I489" s="18"/>
      <c r="J489" s="18"/>
      <c r="K489" s="53">
        <f t="shared" si="34"/>
        <v>2411744.35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6769043.8499999996</v>
      </c>
      <c r="G490" s="42">
        <f>SUM(G488:G489)</f>
        <v>4677700.5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11446744.35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805000</v>
      </c>
      <c r="G491" s="205">
        <v>200000</v>
      </c>
      <c r="H491" s="205"/>
      <c r="I491" s="205"/>
      <c r="J491" s="205"/>
      <c r="K491" s="206">
        <f t="shared" si="34"/>
        <v>1005000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300868.75</v>
      </c>
      <c r="G492" s="18">
        <v>144500</v>
      </c>
      <c r="H492" s="18"/>
      <c r="I492" s="18"/>
      <c r="J492" s="18"/>
      <c r="K492" s="53">
        <f t="shared" si="34"/>
        <v>445368.75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1105868.75</v>
      </c>
      <c r="G493" s="42">
        <f>SUM(G491:G492)</f>
        <v>344500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1450368.75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 t="shared" ref="F511:K511" si="35">F190+F269-F547-F552-F557</f>
        <v>837918.54999999993</v>
      </c>
      <c r="G511" s="18">
        <f t="shared" si="35"/>
        <v>349423.11000000004</v>
      </c>
      <c r="H511" s="18">
        <f t="shared" si="35"/>
        <v>172921.55</v>
      </c>
      <c r="I511" s="18">
        <f t="shared" si="35"/>
        <v>5950.57</v>
      </c>
      <c r="J511" s="18">
        <f t="shared" si="35"/>
        <v>12144.3</v>
      </c>
      <c r="K511" s="18">
        <f t="shared" si="35"/>
        <v>18183.190000000002</v>
      </c>
      <c r="L511" s="88">
        <f>SUM(F511:K511)</f>
        <v>1396541.27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 t="shared" ref="F512:K512" si="36">F208+F288-F548-F553-F558</f>
        <v>754248.13</v>
      </c>
      <c r="G512" s="18">
        <f t="shared" si="36"/>
        <v>332890.10000000003</v>
      </c>
      <c r="H512" s="18">
        <f t="shared" si="36"/>
        <v>310513.24</v>
      </c>
      <c r="I512" s="18">
        <f t="shared" si="36"/>
        <v>8349.0300000000007</v>
      </c>
      <c r="J512" s="18">
        <f t="shared" si="36"/>
        <v>31297.919999999998</v>
      </c>
      <c r="K512" s="18">
        <f t="shared" si="36"/>
        <v>18944.61</v>
      </c>
      <c r="L512" s="88">
        <f>SUM(F512:K512)</f>
        <v>1456243.03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 t="shared" ref="F513:K513" si="37">F226+F307-F549-F554-F559</f>
        <v>760703.39999999991</v>
      </c>
      <c r="G513" s="18">
        <f t="shared" si="37"/>
        <v>332046.49000000005</v>
      </c>
      <c r="H513" s="18">
        <f t="shared" si="37"/>
        <v>573608.68999999994</v>
      </c>
      <c r="I513" s="18">
        <f t="shared" si="37"/>
        <v>10895.8</v>
      </c>
      <c r="J513" s="18">
        <f t="shared" si="37"/>
        <v>44346.36</v>
      </c>
      <c r="K513" s="18">
        <f t="shared" si="37"/>
        <v>23802.55</v>
      </c>
      <c r="L513" s="88">
        <f>SUM(F513:K513)</f>
        <v>1745403.29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2352870.08</v>
      </c>
      <c r="G514" s="108">
        <f t="shared" ref="G514:L514" si="38">SUM(G511:G513)</f>
        <v>1014359.7000000002</v>
      </c>
      <c r="H514" s="108">
        <f t="shared" si="38"/>
        <v>1057043.48</v>
      </c>
      <c r="I514" s="108">
        <f t="shared" si="38"/>
        <v>25195.4</v>
      </c>
      <c r="J514" s="108">
        <f t="shared" si="38"/>
        <v>87788.58</v>
      </c>
      <c r="K514" s="108">
        <f t="shared" si="38"/>
        <v>60930.350000000006</v>
      </c>
      <c r="L514" s="89">
        <f t="shared" si="38"/>
        <v>4598187.59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7258.65+20106.09+218928.19+96832.07</f>
        <v>343125</v>
      </c>
      <c r="G516" s="18">
        <f>8122.54+63082.47+30976.43</f>
        <v>102181.44</v>
      </c>
      <c r="H516" s="18">
        <f>2441.68+819.71+35675.43</f>
        <v>38936.82</v>
      </c>
      <c r="I516" s="18">
        <f>145.34+873.89+889.67</f>
        <v>1908.9</v>
      </c>
      <c r="J516" s="18">
        <v>18343.099999999999</v>
      </c>
      <c r="K516" s="18">
        <v>0</v>
      </c>
      <c r="L516" s="88">
        <f>SUM(F516:K516)</f>
        <v>504495.26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6090.97+21382.35+39689.64+48416.03</f>
        <v>115578.98999999999</v>
      </c>
      <c r="G517" s="18">
        <f>8638.13+11436.26+15488.21</f>
        <v>35562.6</v>
      </c>
      <c r="H517" s="18">
        <f>2596.67+137.35+17837.72</f>
        <v>20571.740000000002</v>
      </c>
      <c r="I517" s="18">
        <f>154.57+146.43+444.84</f>
        <v>745.83999999999992</v>
      </c>
      <c r="J517" s="18">
        <v>18343.099999999999</v>
      </c>
      <c r="K517" s="18">
        <v>0</v>
      </c>
      <c r="L517" s="88">
        <f>SUM(F517:K517)</f>
        <v>190802.27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57807+27126.19+39689.64</f>
        <v>124622.83</v>
      </c>
      <c r="G518" s="18">
        <f>10958.55+11436.26</f>
        <v>22394.809999999998</v>
      </c>
      <c r="H518" s="18">
        <f>3294.2+137.35</f>
        <v>3431.5499999999997</v>
      </c>
      <c r="I518" s="18">
        <f>196.09+146.43</f>
        <v>342.52</v>
      </c>
      <c r="J518" s="18">
        <v>18343.099999999999</v>
      </c>
      <c r="K518" s="18">
        <v>0</v>
      </c>
      <c r="L518" s="88">
        <f>SUM(F518:K518)</f>
        <v>169134.81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583326.81999999995</v>
      </c>
      <c r="G519" s="89">
        <f t="shared" ref="G519:L519" si="39">SUM(G516:G518)</f>
        <v>160138.85</v>
      </c>
      <c r="H519" s="89">
        <f t="shared" si="39"/>
        <v>62940.11</v>
      </c>
      <c r="I519" s="89">
        <f t="shared" si="39"/>
        <v>2997.2599999999998</v>
      </c>
      <c r="J519" s="89">
        <f t="shared" si="39"/>
        <v>55029.299999999996</v>
      </c>
      <c r="K519" s="89">
        <f t="shared" si="39"/>
        <v>0</v>
      </c>
      <c r="L519" s="89">
        <f t="shared" si="39"/>
        <v>864432.34000000008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26721.33</v>
      </c>
      <c r="G521" s="18">
        <v>7488.15</v>
      </c>
      <c r="H521" s="18">
        <v>0</v>
      </c>
      <c r="I521" s="18">
        <v>0</v>
      </c>
      <c r="J521" s="18">
        <v>0</v>
      </c>
      <c r="K521" s="18">
        <v>0</v>
      </c>
      <c r="L521" s="88">
        <f>SUM(F521:K521)</f>
        <v>34209.480000000003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26721.33</v>
      </c>
      <c r="G522" s="18">
        <v>7488.15</v>
      </c>
      <c r="H522" s="18">
        <v>0</v>
      </c>
      <c r="I522" s="18">
        <v>0</v>
      </c>
      <c r="J522" s="18">
        <v>0</v>
      </c>
      <c r="K522" s="18">
        <v>0</v>
      </c>
      <c r="L522" s="88">
        <f>SUM(F522:K522)</f>
        <v>34209.480000000003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26721.33</v>
      </c>
      <c r="G523" s="18">
        <v>7488.15</v>
      </c>
      <c r="H523" s="18">
        <v>0</v>
      </c>
      <c r="I523" s="18">
        <v>0</v>
      </c>
      <c r="J523" s="18">
        <v>0</v>
      </c>
      <c r="K523" s="18">
        <v>0</v>
      </c>
      <c r="L523" s="88">
        <f>SUM(F523:K523)</f>
        <v>34209.480000000003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80163.990000000005</v>
      </c>
      <c r="G524" s="89">
        <f t="shared" ref="G524:L524" si="40">SUM(G521:G523)</f>
        <v>22464.449999999997</v>
      </c>
      <c r="H524" s="89">
        <f t="shared" si="40"/>
        <v>0</v>
      </c>
      <c r="I524" s="89">
        <f t="shared" si="40"/>
        <v>0</v>
      </c>
      <c r="J524" s="89">
        <f t="shared" si="40"/>
        <v>0</v>
      </c>
      <c r="K524" s="89">
        <f t="shared" si="40"/>
        <v>0</v>
      </c>
      <c r="L524" s="89">
        <f t="shared" si="40"/>
        <v>102628.44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>
        <v>0</v>
      </c>
      <c r="G526" s="18">
        <v>0</v>
      </c>
      <c r="H526" s="18">
        <v>0</v>
      </c>
      <c r="I526" s="18">
        <v>0</v>
      </c>
      <c r="J526" s="18">
        <v>0</v>
      </c>
      <c r="K526" s="18">
        <v>0</v>
      </c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>
        <v>0</v>
      </c>
      <c r="G528" s="18">
        <v>0</v>
      </c>
      <c r="H528" s="18">
        <v>0</v>
      </c>
      <c r="I528" s="18">
        <v>0</v>
      </c>
      <c r="J528" s="18">
        <v>0</v>
      </c>
      <c r="K528" s="18">
        <v>0</v>
      </c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41">SUM(G526:G528)</f>
        <v>0</v>
      </c>
      <c r="H529" s="89">
        <f t="shared" si="41"/>
        <v>0</v>
      </c>
      <c r="I529" s="89">
        <f t="shared" si="41"/>
        <v>0</v>
      </c>
      <c r="J529" s="89">
        <f t="shared" si="41"/>
        <v>0</v>
      </c>
      <c r="K529" s="89">
        <f t="shared" si="41"/>
        <v>0</v>
      </c>
      <c r="L529" s="89">
        <f t="shared" si="41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22632.38</v>
      </c>
      <c r="G531" s="18">
        <v>2150.73</v>
      </c>
      <c r="H531" s="18">
        <v>35846.15</v>
      </c>
      <c r="I531" s="18">
        <v>0</v>
      </c>
      <c r="J531" s="18">
        <v>3063.85</v>
      </c>
      <c r="K531" s="18">
        <v>0</v>
      </c>
      <c r="L531" s="88">
        <f>SUM(F531:K531)</f>
        <v>63693.11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v>22632.38</v>
      </c>
      <c r="G532" s="18">
        <v>2150.73</v>
      </c>
      <c r="H532" s="18">
        <v>35846.15</v>
      </c>
      <c r="I532" s="18">
        <v>0</v>
      </c>
      <c r="J532" s="18">
        <v>3063.85</v>
      </c>
      <c r="K532" s="18">
        <v>0</v>
      </c>
      <c r="L532" s="88">
        <f>SUM(F532:K532)</f>
        <v>63693.11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22632.37</v>
      </c>
      <c r="G533" s="18">
        <v>2150.73</v>
      </c>
      <c r="H533" s="18">
        <v>35846.15</v>
      </c>
      <c r="I533" s="18">
        <v>0</v>
      </c>
      <c r="J533" s="18">
        <v>3063.84</v>
      </c>
      <c r="K533" s="18">
        <v>0</v>
      </c>
      <c r="L533" s="88">
        <f>SUM(F533:K533)</f>
        <v>63693.09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67897.13</v>
      </c>
      <c r="G534" s="194">
        <f t="shared" ref="G534:L534" si="42">SUM(G531:G533)</f>
        <v>6452.1900000000005</v>
      </c>
      <c r="H534" s="194">
        <f t="shared" si="42"/>
        <v>107538.45000000001</v>
      </c>
      <c r="I534" s="194">
        <f t="shared" si="42"/>
        <v>0</v>
      </c>
      <c r="J534" s="194">
        <f t="shared" si="42"/>
        <v>9191.5400000000009</v>
      </c>
      <c r="K534" s="194">
        <f t="shared" si="42"/>
        <v>0</v>
      </c>
      <c r="L534" s="194">
        <f t="shared" si="42"/>
        <v>191079.31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3084258.02</v>
      </c>
      <c r="G535" s="89">
        <f t="shared" ref="G535:L535" si="43">G514+G519+G524+G529+G534</f>
        <v>1203415.1900000002</v>
      </c>
      <c r="H535" s="89">
        <f t="shared" si="43"/>
        <v>1227522.04</v>
      </c>
      <c r="I535" s="89">
        <f t="shared" si="43"/>
        <v>28192.66</v>
      </c>
      <c r="J535" s="89">
        <f t="shared" si="43"/>
        <v>152009.42000000001</v>
      </c>
      <c r="K535" s="89">
        <f t="shared" si="43"/>
        <v>60930.350000000006</v>
      </c>
      <c r="L535" s="89">
        <f t="shared" si="43"/>
        <v>5756327.6799999997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1396541.27</v>
      </c>
      <c r="G539" s="87">
        <f>L516</f>
        <v>504495.26</v>
      </c>
      <c r="H539" s="87">
        <f>L521</f>
        <v>34209.480000000003</v>
      </c>
      <c r="I539" s="87">
        <f>L526</f>
        <v>0</v>
      </c>
      <c r="J539" s="87">
        <f>L531</f>
        <v>63693.11</v>
      </c>
      <c r="K539" s="87">
        <f>SUM(F539:J539)</f>
        <v>1998939.12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1456243.03</v>
      </c>
      <c r="G540" s="87">
        <f>L517</f>
        <v>190802.27</v>
      </c>
      <c r="H540" s="87">
        <f>L522</f>
        <v>34209.480000000003</v>
      </c>
      <c r="I540" s="87">
        <f>L527</f>
        <v>0</v>
      </c>
      <c r="J540" s="87">
        <f>L532</f>
        <v>63693.11</v>
      </c>
      <c r="K540" s="87">
        <f>SUM(F540:J540)</f>
        <v>1744947.8900000001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1745403.29</v>
      </c>
      <c r="G541" s="87">
        <f>L518</f>
        <v>169134.81</v>
      </c>
      <c r="H541" s="87">
        <f>L523</f>
        <v>34209.480000000003</v>
      </c>
      <c r="I541" s="87">
        <f>L528</f>
        <v>0</v>
      </c>
      <c r="J541" s="87">
        <f>L533</f>
        <v>63693.09</v>
      </c>
      <c r="K541" s="87">
        <f>SUM(F541:J541)</f>
        <v>2012440.6700000002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4">SUM(F539:F541)</f>
        <v>4598187.59</v>
      </c>
      <c r="G542" s="89">
        <f t="shared" si="44"/>
        <v>864432.34000000008</v>
      </c>
      <c r="H542" s="89">
        <f t="shared" si="44"/>
        <v>102628.44</v>
      </c>
      <c r="I542" s="89">
        <f t="shared" si="44"/>
        <v>0</v>
      </c>
      <c r="J542" s="89">
        <f t="shared" si="44"/>
        <v>191079.31</v>
      </c>
      <c r="K542" s="89">
        <f t="shared" si="44"/>
        <v>5756327.6800000006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19100</v>
      </c>
      <c r="G547" s="18">
        <v>1461.15</v>
      </c>
      <c r="H547" s="18">
        <v>1326.69</v>
      </c>
      <c r="I547" s="18">
        <v>4977.33</v>
      </c>
      <c r="J547" s="18">
        <v>0</v>
      </c>
      <c r="K547" s="18">
        <v>0</v>
      </c>
      <c r="L547" s="88">
        <f>SUM(F547:K547)</f>
        <v>26865.17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>
        <v>0</v>
      </c>
      <c r="G548" s="18">
        <v>0</v>
      </c>
      <c r="H548" s="18">
        <v>0</v>
      </c>
      <c r="I548" s="18">
        <v>0</v>
      </c>
      <c r="J548" s="18">
        <v>0</v>
      </c>
      <c r="K548" s="18">
        <v>0</v>
      </c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>
        <v>0</v>
      </c>
      <c r="G549" s="18">
        <v>0</v>
      </c>
      <c r="H549" s="18">
        <v>0</v>
      </c>
      <c r="I549" s="18">
        <v>0</v>
      </c>
      <c r="J549" s="18">
        <v>0</v>
      </c>
      <c r="K549" s="18">
        <v>0</v>
      </c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5">SUM(F547:F549)</f>
        <v>19100</v>
      </c>
      <c r="G550" s="108">
        <f t="shared" si="45"/>
        <v>1461.15</v>
      </c>
      <c r="H550" s="108">
        <f t="shared" si="45"/>
        <v>1326.69</v>
      </c>
      <c r="I550" s="108">
        <f t="shared" si="45"/>
        <v>4977.33</v>
      </c>
      <c r="J550" s="108">
        <f t="shared" si="45"/>
        <v>0</v>
      </c>
      <c r="K550" s="108">
        <f t="shared" si="45"/>
        <v>0</v>
      </c>
      <c r="L550" s="89">
        <f t="shared" si="45"/>
        <v>26865.17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38048.67</v>
      </c>
      <c r="G552" s="18">
        <f>30824.88/6*4</f>
        <v>20549.920000000002</v>
      </c>
      <c r="H552" s="18">
        <v>0</v>
      </c>
      <c r="I552" s="18">
        <v>0</v>
      </c>
      <c r="J552" s="18">
        <v>0</v>
      </c>
      <c r="K552" s="18">
        <v>0</v>
      </c>
      <c r="L552" s="88">
        <f>SUM(F552:K552)</f>
        <v>58598.59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9512.17</v>
      </c>
      <c r="G553" s="18">
        <f>30824.88/6</f>
        <v>5137.4800000000005</v>
      </c>
      <c r="H553" s="18">
        <v>0</v>
      </c>
      <c r="I553" s="18">
        <v>0</v>
      </c>
      <c r="J553" s="18">
        <v>0</v>
      </c>
      <c r="K553" s="18">
        <v>0</v>
      </c>
      <c r="L553" s="88">
        <f>SUM(F553:K553)</f>
        <v>14649.650000000001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9512.16</v>
      </c>
      <c r="G554" s="18">
        <f>30824.88/6</f>
        <v>5137.4800000000005</v>
      </c>
      <c r="H554" s="18">
        <v>0</v>
      </c>
      <c r="I554" s="18">
        <v>0</v>
      </c>
      <c r="J554" s="18">
        <v>0</v>
      </c>
      <c r="K554" s="18">
        <v>0</v>
      </c>
      <c r="L554" s="88">
        <f>SUM(F554:K554)</f>
        <v>14649.64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6">SUM(F552:F554)</f>
        <v>57073</v>
      </c>
      <c r="G555" s="89">
        <f t="shared" si="46"/>
        <v>30824.880000000001</v>
      </c>
      <c r="H555" s="89">
        <f t="shared" si="46"/>
        <v>0</v>
      </c>
      <c r="I555" s="89">
        <f t="shared" si="46"/>
        <v>0</v>
      </c>
      <c r="J555" s="89">
        <f t="shared" si="46"/>
        <v>0</v>
      </c>
      <c r="K555" s="89">
        <f t="shared" si="46"/>
        <v>0</v>
      </c>
      <c r="L555" s="89">
        <f t="shared" si="46"/>
        <v>87897.87999999999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61492</v>
      </c>
      <c r="G557" s="18">
        <v>15466.57</v>
      </c>
      <c r="H557" s="18">
        <v>0</v>
      </c>
      <c r="I557" s="18">
        <f>32+1501.08</f>
        <v>1533.08</v>
      </c>
      <c r="J557" s="18">
        <v>0</v>
      </c>
      <c r="K557" s="18">
        <v>0</v>
      </c>
      <c r="L557" s="88">
        <f>SUM(F557:K557)</f>
        <v>78491.650000000009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63342</v>
      </c>
      <c r="G558" s="18">
        <v>15931.89</v>
      </c>
      <c r="H558" s="18">
        <v>0</v>
      </c>
      <c r="I558" s="18">
        <f>437.8+912.43</f>
        <v>1350.23</v>
      </c>
      <c r="J558" s="18">
        <v>0</v>
      </c>
      <c r="K558" s="18">
        <v>0</v>
      </c>
      <c r="L558" s="88">
        <f>SUM(F558:K558)</f>
        <v>80624.12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124834</v>
      </c>
      <c r="G560" s="194">
        <f t="shared" ref="G560:L560" si="47">SUM(G557:G559)</f>
        <v>31398.46</v>
      </c>
      <c r="H560" s="194">
        <f t="shared" si="47"/>
        <v>0</v>
      </c>
      <c r="I560" s="194">
        <f t="shared" si="47"/>
        <v>2883.31</v>
      </c>
      <c r="J560" s="194">
        <f t="shared" si="47"/>
        <v>0</v>
      </c>
      <c r="K560" s="194">
        <f t="shared" si="47"/>
        <v>0</v>
      </c>
      <c r="L560" s="194">
        <f t="shared" si="47"/>
        <v>159115.77000000002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201007</v>
      </c>
      <c r="G561" s="89">
        <f t="shared" ref="G561:L561" si="48">G550+G555+G560</f>
        <v>63684.490000000005</v>
      </c>
      <c r="H561" s="89">
        <f t="shared" si="48"/>
        <v>1326.69</v>
      </c>
      <c r="I561" s="89">
        <f t="shared" si="48"/>
        <v>7860.6399999999994</v>
      </c>
      <c r="J561" s="89">
        <f t="shared" si="48"/>
        <v>0</v>
      </c>
      <c r="K561" s="89">
        <f t="shared" si="48"/>
        <v>0</v>
      </c>
      <c r="L561" s="89">
        <f t="shared" si="48"/>
        <v>273878.82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0</v>
      </c>
      <c r="G565" s="18">
        <v>0</v>
      </c>
      <c r="H565" s="18">
        <v>0</v>
      </c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>
        <v>0</v>
      </c>
      <c r="G566" s="18">
        <v>0</v>
      </c>
      <c r="H566" s="18">
        <v>0</v>
      </c>
      <c r="I566" s="87">
        <f t="shared" ref="I566:I577" si="49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0</v>
      </c>
      <c r="I567" s="87">
        <f t="shared" si="49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v>0</v>
      </c>
      <c r="G568" s="18">
        <v>0</v>
      </c>
      <c r="H568" s="18">
        <v>0</v>
      </c>
      <c r="I568" s="87">
        <f t="shared" si="49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0</v>
      </c>
      <c r="G569" s="18">
        <v>0</v>
      </c>
      <c r="H569" s="18">
        <v>0</v>
      </c>
      <c r="I569" s="87">
        <f t="shared" si="49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0</v>
      </c>
      <c r="G570" s="18">
        <v>0</v>
      </c>
      <c r="H570" s="18">
        <v>0</v>
      </c>
      <c r="I570" s="87">
        <f t="shared" si="49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0</v>
      </c>
      <c r="I571" s="87">
        <f t="shared" si="49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33734.39</v>
      </c>
      <c r="G572" s="18">
        <v>232369.94</v>
      </c>
      <c r="H572" s="18">
        <v>434149.74</v>
      </c>
      <c r="I572" s="87">
        <f t="shared" si="49"/>
        <v>700254.07000000007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0</v>
      </c>
      <c r="G573" s="18">
        <v>0</v>
      </c>
      <c r="H573" s="18">
        <v>0</v>
      </c>
      <c r="I573" s="87">
        <f t="shared" si="49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>
        <v>0</v>
      </c>
      <c r="G574" s="18">
        <v>0</v>
      </c>
      <c r="H574" s="18">
        <v>53918.81</v>
      </c>
      <c r="I574" s="87">
        <f t="shared" si="49"/>
        <v>53918.81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si="49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>
        <v>0</v>
      </c>
      <c r="I576" s="87">
        <f t="shared" si="49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9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148467.51999999999</v>
      </c>
      <c r="I581" s="18">
        <v>139719.37</v>
      </c>
      <c r="J581" s="18">
        <v>29169.200000000001</v>
      </c>
      <c r="K581" s="104">
        <f t="shared" ref="K581:K587" si="50">SUM(H581:J581)</f>
        <v>317356.09000000003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63693.11</v>
      </c>
      <c r="I582" s="18">
        <v>63693.11</v>
      </c>
      <c r="J582" s="18">
        <v>63693.09</v>
      </c>
      <c r="K582" s="104">
        <f t="shared" si="50"/>
        <v>191079.31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0</v>
      </c>
      <c r="I583" s="18">
        <v>0</v>
      </c>
      <c r="J583" s="18">
        <v>16233.4</v>
      </c>
      <c r="K583" s="104">
        <f t="shared" si="50"/>
        <v>16233.4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0</v>
      </c>
      <c r="I584" s="18">
        <v>8071.66</v>
      </c>
      <c r="J584" s="18">
        <v>27845.5</v>
      </c>
      <c r="K584" s="104">
        <f t="shared" si="50"/>
        <v>35917.160000000003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828.89</v>
      </c>
      <c r="I585" s="18">
        <v>5387.76</v>
      </c>
      <c r="J585" s="18">
        <v>11189.96</v>
      </c>
      <c r="K585" s="104">
        <f t="shared" si="50"/>
        <v>17406.61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0</v>
      </c>
      <c r="I586" s="18">
        <v>0</v>
      </c>
      <c r="J586" s="18">
        <v>0</v>
      </c>
      <c r="K586" s="104">
        <f t="shared" si="50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163411.98000000001</v>
      </c>
      <c r="I587" s="18">
        <v>151739.69</v>
      </c>
      <c r="J587" s="18">
        <v>46689.14</v>
      </c>
      <c r="K587" s="104">
        <f t="shared" si="50"/>
        <v>361840.81000000006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376401.5</v>
      </c>
      <c r="I588" s="108">
        <f>SUM(I581:I587)</f>
        <v>368611.58999999997</v>
      </c>
      <c r="J588" s="108">
        <f>SUM(J581:J587)</f>
        <v>194820.28999999998</v>
      </c>
      <c r="K588" s="108">
        <f>SUM(K581:K587)</f>
        <v>939833.38000000012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>
        <v>0</v>
      </c>
      <c r="I592" s="18">
        <v>0</v>
      </c>
      <c r="J592" s="18">
        <v>0</v>
      </c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v>0</v>
      </c>
      <c r="I593" s="18">
        <v>0</v>
      </c>
      <c r="J593" s="18">
        <v>0</v>
      </c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J203+J282</f>
        <v>177692.94</v>
      </c>
      <c r="I594" s="18">
        <f>J221+J301</f>
        <v>198703.94999999998</v>
      </c>
      <c r="J594" s="18">
        <f>J239+J320</f>
        <v>223325.09000000003</v>
      </c>
      <c r="K594" s="104">
        <f>SUM(H594:J594)</f>
        <v>599721.98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177692.94</v>
      </c>
      <c r="I595" s="108">
        <f>SUM(I592:I594)</f>
        <v>198703.94999999998</v>
      </c>
      <c r="J595" s="108">
        <f>SUM(J592:J594)</f>
        <v>223325.09000000003</v>
      </c>
      <c r="K595" s="108">
        <f>SUM(K592:K594)</f>
        <v>599721.98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0</v>
      </c>
      <c r="G601" s="18">
        <v>0</v>
      </c>
      <c r="H601" s="18">
        <v>0</v>
      </c>
      <c r="I601" s="18">
        <v>0</v>
      </c>
      <c r="J601" s="18">
        <v>0</v>
      </c>
      <c r="K601" s="18">
        <v>16559.04</v>
      </c>
      <c r="L601" s="88">
        <f>SUM(F601:K601)</f>
        <v>16559.04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0</v>
      </c>
      <c r="G602" s="18">
        <v>0</v>
      </c>
      <c r="H602" s="18">
        <v>0</v>
      </c>
      <c r="I602" s="18">
        <v>0</v>
      </c>
      <c r="J602" s="18">
        <v>0</v>
      </c>
      <c r="K602" s="18">
        <v>17610.150000000001</v>
      </c>
      <c r="L602" s="88">
        <f>SUM(F602:K602)</f>
        <v>17610.150000000001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9300</v>
      </c>
      <c r="G603" s="18">
        <v>1358.57</v>
      </c>
      <c r="H603" s="18">
        <v>0</v>
      </c>
      <c r="I603" s="18">
        <v>0</v>
      </c>
      <c r="J603" s="18">
        <v>0</v>
      </c>
      <c r="K603" s="18">
        <v>22340.68</v>
      </c>
      <c r="L603" s="88">
        <f>SUM(F603:K603)</f>
        <v>32999.25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51">SUM(F601:F603)</f>
        <v>9300</v>
      </c>
      <c r="G604" s="108">
        <f t="shared" si="51"/>
        <v>1358.57</v>
      </c>
      <c r="H604" s="108">
        <f t="shared" si="51"/>
        <v>0</v>
      </c>
      <c r="I604" s="108">
        <f t="shared" si="51"/>
        <v>0</v>
      </c>
      <c r="J604" s="108">
        <f t="shared" si="51"/>
        <v>0</v>
      </c>
      <c r="K604" s="108">
        <f t="shared" si="51"/>
        <v>56509.87</v>
      </c>
      <c r="L604" s="89">
        <f t="shared" si="51"/>
        <v>67168.44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1356699.49</v>
      </c>
      <c r="H607" s="109">
        <f>SUM(F44)</f>
        <v>1356699.4899999998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99877.099999999991</v>
      </c>
      <c r="H608" s="109">
        <f>SUM(G44)</f>
        <v>99877.099999999948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65197.57</v>
      </c>
      <c r="H609" s="109">
        <f>SUM(H44)</f>
        <v>65197.569999999963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1519374.98</v>
      </c>
      <c r="H611" s="109">
        <f>SUM(J44)</f>
        <v>1519374.98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764074.58999999985</v>
      </c>
      <c r="H612" s="109">
        <f>F466</f>
        <v>764074.58999999985</v>
      </c>
      <c r="I612" s="121" t="s">
        <v>106</v>
      </c>
      <c r="J612" s="109">
        <f t="shared" ref="J612:J645" si="52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87644.309999999939</v>
      </c>
      <c r="H613" s="109">
        <f>G466</f>
        <v>87644.309999999939</v>
      </c>
      <c r="I613" s="121" t="s">
        <v>108</v>
      </c>
      <c r="J613" s="109">
        <f t="shared" si="52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4563.3399999999674</v>
      </c>
      <c r="H614" s="109">
        <f>H466</f>
        <v>4563.3399999999674</v>
      </c>
      <c r="I614" s="121" t="s">
        <v>110</v>
      </c>
      <c r="J614" s="109">
        <f t="shared" si="52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52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1519374.98</v>
      </c>
      <c r="H616" s="109">
        <f>J466</f>
        <v>1519374.98</v>
      </c>
      <c r="I616" s="140" t="s">
        <v>114</v>
      </c>
      <c r="J616" s="109">
        <f t="shared" si="52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23452855.609999999</v>
      </c>
      <c r="H617" s="104">
        <f>SUM(F458)</f>
        <v>23452855.609999999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561550.5</v>
      </c>
      <c r="H618" s="104">
        <f>SUM(G458)</f>
        <v>561550.5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530885.32999999996</v>
      </c>
      <c r="H619" s="104">
        <f>SUM(H458)</f>
        <v>530885.32999999996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279337.5</v>
      </c>
      <c r="H621" s="104">
        <f>SUM(J458)</f>
        <v>279337.5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23782034.169999998</v>
      </c>
      <c r="H622" s="104">
        <f>SUM(F462)</f>
        <v>23782034.169999998</v>
      </c>
      <c r="I622" s="140" t="s">
        <v>120</v>
      </c>
      <c r="J622" s="109">
        <f t="shared" si="52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548901.67999999993</v>
      </c>
      <c r="H623" s="104">
        <f>SUM(H462)</f>
        <v>548901.67999999993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256448.78</v>
      </c>
      <c r="H624" s="104">
        <f>I361</f>
        <v>256448.78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565720.04</v>
      </c>
      <c r="H625" s="104">
        <f>SUM(G462)</f>
        <v>565720.04</v>
      </c>
      <c r="I625" s="140" t="s">
        <v>123</v>
      </c>
      <c r="J625" s="109">
        <f t="shared" si="52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52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279337.5</v>
      </c>
      <c r="H627" s="164">
        <f>SUM(J458)</f>
        <v>279337.5</v>
      </c>
      <c r="I627" s="165" t="s">
        <v>119</v>
      </c>
      <c r="J627" s="151">
        <f t="shared" si="52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216473.05</v>
      </c>
      <c r="H628" s="164">
        <f>SUM(J462)</f>
        <v>216473.05</v>
      </c>
      <c r="I628" s="165" t="s">
        <v>126</v>
      </c>
      <c r="J628" s="151">
        <f t="shared" si="52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1210882.45</v>
      </c>
      <c r="H629" s="104">
        <f>SUM(F451)</f>
        <v>1210882.45</v>
      </c>
      <c r="I629" s="140" t="s">
        <v>128</v>
      </c>
      <c r="J629" s="109">
        <f t="shared" si="52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308492.53000000003</v>
      </c>
      <c r="H630" s="104">
        <f>SUM(G451)</f>
        <v>308492.53000000003</v>
      </c>
      <c r="I630" s="140" t="s">
        <v>130</v>
      </c>
      <c r="J630" s="109">
        <f t="shared" si="52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52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1519374.98</v>
      </c>
      <c r="H632" s="104">
        <f>SUM(I451)</f>
        <v>1519374.98</v>
      </c>
      <c r="I632" s="140" t="s">
        <v>134</v>
      </c>
      <c r="J632" s="109">
        <f t="shared" si="52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52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62864.45</v>
      </c>
      <c r="H634" s="104">
        <f>H400</f>
        <v>62864.450000000004</v>
      </c>
      <c r="I634" s="140" t="s">
        <v>504</v>
      </c>
      <c r="J634" s="109">
        <f t="shared" si="52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216473.05</v>
      </c>
      <c r="H635" s="104">
        <f>G400</f>
        <v>216473.05</v>
      </c>
      <c r="I635" s="140" t="s">
        <v>505</v>
      </c>
      <c r="J635" s="109">
        <f t="shared" si="52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279337.5</v>
      </c>
      <c r="H636" s="104">
        <f>L400</f>
        <v>279337.5</v>
      </c>
      <c r="I636" s="140" t="s">
        <v>501</v>
      </c>
      <c r="J636" s="109">
        <f t="shared" si="52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939833.38000000012</v>
      </c>
      <c r="H637" s="104">
        <f>L200+L218+L236</f>
        <v>939833.37999999989</v>
      </c>
      <c r="I637" s="140" t="s">
        <v>420</v>
      </c>
      <c r="J637" s="109">
        <f t="shared" si="52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599721.98</v>
      </c>
      <c r="H638" s="104">
        <f>(J249+J330)-(J247+J328)</f>
        <v>599721.98</v>
      </c>
      <c r="I638" s="140" t="s">
        <v>734</v>
      </c>
      <c r="J638" s="109">
        <f t="shared" si="52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376401.49999999994</v>
      </c>
      <c r="H639" s="104">
        <f>H588</f>
        <v>376401.5</v>
      </c>
      <c r="I639" s="140" t="s">
        <v>412</v>
      </c>
      <c r="J639" s="109">
        <f t="shared" si="52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368611.58999999997</v>
      </c>
      <c r="H640" s="104">
        <f>I588</f>
        <v>368611.58999999997</v>
      </c>
      <c r="I640" s="140" t="s">
        <v>413</v>
      </c>
      <c r="J640" s="109">
        <f t="shared" si="52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194820.29</v>
      </c>
      <c r="H641" s="104">
        <f>J588</f>
        <v>194820.28999999998</v>
      </c>
      <c r="I641" s="140" t="s">
        <v>414</v>
      </c>
      <c r="J641" s="109">
        <f t="shared" si="52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52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52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52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216473.05</v>
      </c>
      <c r="H645" s="104">
        <f>K258+K339</f>
        <v>216473.05</v>
      </c>
      <c r="I645" s="140" t="s">
        <v>424</v>
      </c>
      <c r="J645" s="109">
        <f t="shared" si="52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6717862.6800000006</v>
      </c>
      <c r="G650" s="19">
        <f>(L221+L301+L351)</f>
        <v>6803838.6099999994</v>
      </c>
      <c r="H650" s="19">
        <f>(L239+L320+L352)</f>
        <v>9653426.5499999989</v>
      </c>
      <c r="I650" s="19">
        <f>SUM(F650:H650)</f>
        <v>23175127.839999996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87509.72095811207</v>
      </c>
      <c r="G651" s="19">
        <f>(L351/IF(SUM(L350:L352)=0,1,SUM(L350:L352))*(SUM(G89:G102)))</f>
        <v>181088.17461674326</v>
      </c>
      <c r="H651" s="19">
        <f>(L352/IF(SUM(L350:L352)=0,1,SUM(L350:L352))*(SUM(G89:G102)))</f>
        <v>213621.40442514463</v>
      </c>
      <c r="I651" s="19">
        <f>SUM(F651:H651)</f>
        <v>482219.29999999993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321684.87999999995</v>
      </c>
      <c r="G652" s="19">
        <f>(L218+L298)-(J218+J298)</f>
        <v>317584.92</v>
      </c>
      <c r="H652" s="19">
        <f>(L236+L317)-(J236+J317)</f>
        <v>177298.65000000002</v>
      </c>
      <c r="I652" s="19">
        <f>SUM(F652:H652)</f>
        <v>816568.45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227986.37000000002</v>
      </c>
      <c r="G653" s="200">
        <f>SUM(G565:G577)+SUM(I592:I594)+L602</f>
        <v>448684.04000000004</v>
      </c>
      <c r="H653" s="200">
        <f>SUM(H565:H577)+SUM(J592:J594)+L603</f>
        <v>744392.89</v>
      </c>
      <c r="I653" s="19">
        <f>SUM(F653:H653)</f>
        <v>1421063.3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6080681.7090418888</v>
      </c>
      <c r="G654" s="19">
        <f>G650-SUM(G651:G653)</f>
        <v>5856481.4753832556</v>
      </c>
      <c r="H654" s="19">
        <f>H650-SUM(H651:H653)</f>
        <v>8518113.6055748537</v>
      </c>
      <c r="I654" s="19">
        <f>I650-SUM(I651:I653)</f>
        <v>20455276.789999995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455.13</v>
      </c>
      <c r="G655" s="249">
        <v>484.02</v>
      </c>
      <c r="H655" s="249">
        <v>614.04</v>
      </c>
      <c r="I655" s="19">
        <f>SUM(F655:H655)</f>
        <v>1553.19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13360.32</v>
      </c>
      <c r="G657" s="19">
        <f>ROUND(G654/G655,2)</f>
        <v>12099.67</v>
      </c>
      <c r="H657" s="19">
        <f>ROUND(H654/H655,2)</f>
        <v>13872.25</v>
      </c>
      <c r="I657" s="19">
        <f>ROUND(I654/I655,2)</f>
        <v>13169.85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-16.47</v>
      </c>
      <c r="I660" s="19">
        <f>SUM(F660:H660)</f>
        <v>-16.47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13360.32</v>
      </c>
      <c r="G662" s="19">
        <f>ROUND((G654+G659)/(G655+G660),2)</f>
        <v>12099.67</v>
      </c>
      <c r="H662" s="19">
        <f>ROUND((H654+H659)/(H655+H660),2)</f>
        <v>14254.59</v>
      </c>
      <c r="I662" s="19">
        <f>ROUND((I654+I659)/(I655+I660),2)</f>
        <v>13311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0841-AB24-4971-BD50-CC13A178D88C}">
  <sheetPr>
    <tabColor indexed="20"/>
  </sheetPr>
  <dimension ref="A1:C52"/>
  <sheetViews>
    <sheetView topLeftCell="A16"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Bow SD</v>
      </c>
      <c r="C1" s="239" t="s">
        <v>873</v>
      </c>
    </row>
    <row r="2" spans="1:3" x14ac:dyDescent="0.2">
      <c r="A2" s="234"/>
      <c r="B2" s="233"/>
    </row>
    <row r="3" spans="1:3" x14ac:dyDescent="0.2">
      <c r="A3" s="275" t="s">
        <v>818</v>
      </c>
      <c r="B3" s="275"/>
      <c r="C3" s="275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817</v>
      </c>
      <c r="C6" s="274"/>
    </row>
    <row r="7" spans="1:3" x14ac:dyDescent="0.2">
      <c r="A7" s="240" t="s">
        <v>820</v>
      </c>
      <c r="B7" s="272" t="s">
        <v>816</v>
      </c>
      <c r="C7" s="273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6890149.169999999</v>
      </c>
      <c r="C9" s="230">
        <f>'DOE25'!G189+'DOE25'!G207+'DOE25'!G225+'DOE25'!G268+'DOE25'!G287+'DOE25'!G306</f>
        <v>2697716.7600000002</v>
      </c>
    </row>
    <row r="10" spans="1:3" x14ac:dyDescent="0.2">
      <c r="A10" t="s">
        <v>813</v>
      </c>
      <c r="B10" s="241">
        <f>B9-B11-B12</f>
        <v>6612384.8299999991</v>
      </c>
      <c r="C10" s="241">
        <f>C9-C11-C12</f>
        <v>2593754.9700000002</v>
      </c>
    </row>
    <row r="11" spans="1:3" x14ac:dyDescent="0.2">
      <c r="A11" t="s">
        <v>814</v>
      </c>
      <c r="B11" s="241">
        <v>46612.87</v>
      </c>
      <c r="C11" s="241">
        <v>18510.93</v>
      </c>
    </row>
    <row r="12" spans="1:3" x14ac:dyDescent="0.2">
      <c r="A12" t="s">
        <v>815</v>
      </c>
      <c r="B12" s="241">
        <v>231151.47</v>
      </c>
      <c r="C12" s="241">
        <v>85450.86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6890149.169999999</v>
      </c>
      <c r="C13" s="232">
        <f>SUM(C10:C12)</f>
        <v>2697716.7600000002</v>
      </c>
    </row>
    <row r="14" spans="1:3" x14ac:dyDescent="0.2">
      <c r="B14" s="231"/>
      <c r="C14" s="231"/>
    </row>
    <row r="15" spans="1:3" x14ac:dyDescent="0.2">
      <c r="B15" s="274" t="s">
        <v>817</v>
      </c>
      <c r="C15" s="274"/>
    </row>
    <row r="16" spans="1:3" x14ac:dyDescent="0.2">
      <c r="A16" s="240" t="s">
        <v>821</v>
      </c>
      <c r="B16" s="272" t="s">
        <v>738</v>
      </c>
      <c r="C16" s="273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2553877.08</v>
      </c>
      <c r="C18" s="230">
        <f>'DOE25'!G190+'DOE25'!G208+'DOE25'!G226+'DOE25'!G269+'DOE25'!G288+'DOE25'!G307</f>
        <v>1078044.1900000004</v>
      </c>
    </row>
    <row r="19" spans="1:3" x14ac:dyDescent="0.2">
      <c r="A19" t="s">
        <v>813</v>
      </c>
      <c r="B19" s="241">
        <v>1183420.21</v>
      </c>
      <c r="C19" s="241">
        <v>438211.96</v>
      </c>
    </row>
    <row r="20" spans="1:3" x14ac:dyDescent="0.2">
      <c r="A20" t="s">
        <v>814</v>
      </c>
      <c r="B20" s="241">
        <f>B18-B19-B21</f>
        <v>1257302.4800000002</v>
      </c>
      <c r="C20" s="241">
        <f>C18-C19-C21</f>
        <v>606755.78000000049</v>
      </c>
    </row>
    <row r="21" spans="1:3" x14ac:dyDescent="0.2">
      <c r="A21" t="s">
        <v>815</v>
      </c>
      <c r="B21" s="241">
        <v>113154.39</v>
      </c>
      <c r="C21" s="241">
        <v>33076.449999999997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2553877.0800000005</v>
      </c>
      <c r="C22" s="232">
        <f>SUM(C19:C21)</f>
        <v>1078044.1900000004</v>
      </c>
    </row>
    <row r="23" spans="1:3" x14ac:dyDescent="0.2">
      <c r="B23" s="231"/>
      <c r="C23" s="231"/>
    </row>
    <row r="24" spans="1:3" x14ac:dyDescent="0.2">
      <c r="B24" s="274" t="s">
        <v>817</v>
      </c>
      <c r="C24" s="274"/>
    </row>
    <row r="25" spans="1:3" x14ac:dyDescent="0.2">
      <c r="A25" s="240" t="s">
        <v>822</v>
      </c>
      <c r="B25" s="272" t="s">
        <v>739</v>
      </c>
      <c r="C25" s="273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14872.49</v>
      </c>
      <c r="C27" s="235">
        <f>'DOE25'!G191+'DOE25'!G209+'DOE25'!G227+'DOE25'!G270+'DOE25'!G289+'DOE25'!G308</f>
        <v>1360.91</v>
      </c>
    </row>
    <row r="28" spans="1:3" x14ac:dyDescent="0.2">
      <c r="A28" t="s">
        <v>813</v>
      </c>
      <c r="B28" s="241">
        <v>0</v>
      </c>
      <c r="C28" s="241">
        <v>0</v>
      </c>
    </row>
    <row r="29" spans="1:3" x14ac:dyDescent="0.2">
      <c r="A29" t="s">
        <v>814</v>
      </c>
      <c r="B29" s="241">
        <v>0</v>
      </c>
      <c r="C29" s="241">
        <v>0</v>
      </c>
    </row>
    <row r="30" spans="1:3" x14ac:dyDescent="0.2">
      <c r="A30" t="s">
        <v>815</v>
      </c>
      <c r="B30" s="241">
        <v>14872.49</v>
      </c>
      <c r="C30" s="241">
        <v>1360.91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14872.49</v>
      </c>
      <c r="C31" s="232">
        <f>SUM(C28:C30)</f>
        <v>1360.91</v>
      </c>
    </row>
    <row r="33" spans="1:3" x14ac:dyDescent="0.2">
      <c r="B33" s="274" t="s">
        <v>817</v>
      </c>
      <c r="C33" s="274"/>
    </row>
    <row r="34" spans="1:3" x14ac:dyDescent="0.2">
      <c r="A34" s="240" t="s">
        <v>823</v>
      </c>
      <c r="B34" s="272" t="s">
        <v>740</v>
      </c>
      <c r="C34" s="273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340076</v>
      </c>
      <c r="C36" s="236">
        <f>'DOE25'!G192+'DOE25'!G210+'DOE25'!G228+'DOE25'!G271+'DOE25'!G290+'DOE25'!G309</f>
        <v>74731.240000000005</v>
      </c>
    </row>
    <row r="37" spans="1:3" x14ac:dyDescent="0.2">
      <c r="A37" t="s">
        <v>813</v>
      </c>
      <c r="B37" s="241">
        <v>250619.88</v>
      </c>
      <c r="C37" s="241">
        <v>40234.080000000002</v>
      </c>
    </row>
    <row r="38" spans="1:3" x14ac:dyDescent="0.2">
      <c r="A38" t="s">
        <v>814</v>
      </c>
      <c r="B38" s="241">
        <f>B36-B37-B39</f>
        <v>21793.039999999994</v>
      </c>
      <c r="C38" s="241">
        <f>C36-C37-C39</f>
        <v>3518.8200000000033</v>
      </c>
    </row>
    <row r="39" spans="1:3" x14ac:dyDescent="0.2">
      <c r="A39" t="s">
        <v>815</v>
      </c>
      <c r="B39" s="241">
        <v>67663.08</v>
      </c>
      <c r="C39" s="241">
        <v>30978.34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340076</v>
      </c>
      <c r="C40" s="232">
        <f>SUM(C37:C39)</f>
        <v>74731.240000000005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ED89-1A63-48F9-921A-34E22CBB5E03}">
  <sheetPr>
    <tabColor indexed="11"/>
  </sheetPr>
  <dimension ref="A1:I51"/>
  <sheetViews>
    <sheetView workbookViewId="0">
      <pane ySplit="4" topLeftCell="A5" activePane="bottomLeft" state="frozen"/>
      <selection pane="bottomLeft" activeCell="M16" sqref="M1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824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Bow SD</v>
      </c>
      <c r="C2" s="181"/>
      <c r="D2" s="181" t="s">
        <v>826</v>
      </c>
      <c r="E2" s="181" t="s">
        <v>828</v>
      </c>
      <c r="F2" s="276" t="s">
        <v>855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15011934.459999999</v>
      </c>
      <c r="D5" s="20">
        <f>SUM('DOE25'!L189:L192)+SUM('DOE25'!L207:L210)+SUM('DOE25'!L225:L228)-F5-G5</f>
        <v>14877349.719999999</v>
      </c>
      <c r="E5" s="244"/>
      <c r="F5" s="256">
        <f>SUM('DOE25'!J189:J192)+SUM('DOE25'!J207:J210)+SUM('DOE25'!J225:J228)</f>
        <v>37862.509999999995</v>
      </c>
      <c r="G5" s="53">
        <f>SUM('DOE25'!K189:K192)+SUM('DOE25'!K207:K210)+SUM('DOE25'!K225:K228)</f>
        <v>96722.23000000001</v>
      </c>
      <c r="H5" s="260"/>
    </row>
    <row r="6" spans="1:9" x14ac:dyDescent="0.2">
      <c r="A6" s="32">
        <v>2100</v>
      </c>
      <c r="B6" t="s">
        <v>835</v>
      </c>
      <c r="C6" s="246">
        <f t="shared" si="0"/>
        <v>1658447.7000000002</v>
      </c>
      <c r="D6" s="20">
        <f>'DOE25'!L194+'DOE25'!L212+'DOE25'!L230-F6-G6</f>
        <v>1656428.7000000002</v>
      </c>
      <c r="E6" s="244"/>
      <c r="F6" s="256">
        <f>'DOE25'!J194+'DOE25'!J212+'DOE25'!J230</f>
        <v>1684</v>
      </c>
      <c r="G6" s="53">
        <f>'DOE25'!K194+'DOE25'!K212+'DOE25'!K230</f>
        <v>335</v>
      </c>
      <c r="H6" s="260"/>
    </row>
    <row r="7" spans="1:9" x14ac:dyDescent="0.2">
      <c r="A7" s="32">
        <v>2200</v>
      </c>
      <c r="B7" t="s">
        <v>868</v>
      </c>
      <c r="C7" s="246">
        <f t="shared" si="0"/>
        <v>946548.03</v>
      </c>
      <c r="D7" s="20">
        <f>'DOE25'!L195+'DOE25'!L213+'DOE25'!L231-F7-G7</f>
        <v>662281.71</v>
      </c>
      <c r="E7" s="244"/>
      <c r="F7" s="256">
        <f>'DOE25'!J195+'DOE25'!J213+'DOE25'!J231</f>
        <v>284046.32</v>
      </c>
      <c r="G7" s="53">
        <f>'DOE25'!K195+'DOE25'!K213+'DOE25'!K231</f>
        <v>220</v>
      </c>
      <c r="H7" s="260"/>
    </row>
    <row r="8" spans="1:9" x14ac:dyDescent="0.2">
      <c r="A8" s="32">
        <v>2300</v>
      </c>
      <c r="B8" t="s">
        <v>836</v>
      </c>
      <c r="C8" s="246">
        <f t="shared" si="0"/>
        <v>66375.419999999969</v>
      </c>
      <c r="D8" s="244"/>
      <c r="E8" s="20">
        <f>'DOE25'!L196+'DOE25'!L214+'DOE25'!L232-F8-G8-D9-D11</f>
        <v>25273.149999999965</v>
      </c>
      <c r="F8" s="256">
        <f>'DOE25'!J196+'DOE25'!J214+'DOE25'!J232</f>
        <v>753.65000000000009</v>
      </c>
      <c r="G8" s="53">
        <f>'DOE25'!K196+'DOE25'!K214+'DOE25'!K232</f>
        <v>40348.620000000003</v>
      </c>
      <c r="H8" s="260"/>
    </row>
    <row r="9" spans="1:9" x14ac:dyDescent="0.2">
      <c r="A9" s="32">
        <v>2310</v>
      </c>
      <c r="B9" t="s">
        <v>852</v>
      </c>
      <c r="C9" s="246">
        <f t="shared" si="0"/>
        <v>78229.31</v>
      </c>
      <c r="D9" s="245">
        <v>78229.31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12516.5</v>
      </c>
      <c r="D10" s="244"/>
      <c r="E10" s="245">
        <v>12516.5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205052.25</v>
      </c>
      <c r="D11" s="245">
        <v>205052.25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1061555.8799999999</v>
      </c>
      <c r="D12" s="20">
        <f>'DOE25'!L197+'DOE25'!L215+'DOE25'!L233-F12-G12</f>
        <v>1044402.6699999998</v>
      </c>
      <c r="E12" s="244"/>
      <c r="F12" s="256">
        <f>'DOE25'!J197+'DOE25'!J215+'DOE25'!J233</f>
        <v>3888.56</v>
      </c>
      <c r="G12" s="53">
        <f>'DOE25'!K197+'DOE25'!K215+'DOE25'!K233</f>
        <v>13264.65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176146.25</v>
      </c>
      <c r="D13" s="244"/>
      <c r="E13" s="20">
        <f>'DOE25'!L198+'DOE25'!L216+'DOE25'!L234-F13-G13</f>
        <v>173421.2</v>
      </c>
      <c r="F13" s="256">
        <f>'DOE25'!J198+'DOE25'!J216+'DOE25'!J234</f>
        <v>2260.0500000000002</v>
      </c>
      <c r="G13" s="53">
        <f>'DOE25'!K198+'DOE25'!K216+'DOE25'!K234</f>
        <v>465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1916383.4400000002</v>
      </c>
      <c r="D14" s="20">
        <f>'DOE25'!L199+'DOE25'!L217+'DOE25'!L235-F14-G14</f>
        <v>1908936.62</v>
      </c>
      <c r="E14" s="244"/>
      <c r="F14" s="256">
        <f>'DOE25'!J199+'DOE25'!J217+'DOE25'!J235</f>
        <v>7332.8200000000006</v>
      </c>
      <c r="G14" s="53">
        <f>'DOE25'!K199+'DOE25'!K217+'DOE25'!K235</f>
        <v>114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939833.37999999989</v>
      </c>
      <c r="D15" s="20">
        <f>'DOE25'!L200+'DOE25'!L218+'DOE25'!L236-F15-G15</f>
        <v>811198.91999999993</v>
      </c>
      <c r="E15" s="244"/>
      <c r="F15" s="256">
        <f>'DOE25'!J200+'DOE25'!J218+'DOE25'!J236</f>
        <v>123264.93</v>
      </c>
      <c r="G15" s="53">
        <f>'DOE25'!K200+'DOE25'!K218+'DOE25'!K236</f>
        <v>5369.53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1505055</v>
      </c>
      <c r="D25" s="244"/>
      <c r="E25" s="244"/>
      <c r="F25" s="259"/>
      <c r="G25" s="257"/>
      <c r="H25" s="258">
        <f>'DOE25'!L252+'DOE25'!L253+'DOE25'!L333+'DOE25'!L334</f>
        <v>1505055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324462.80000000005</v>
      </c>
      <c r="D29" s="20">
        <f>'DOE25'!L350+'DOE25'!L351+'DOE25'!L352-'DOE25'!I359-F29-G29</f>
        <v>320397.11000000004</v>
      </c>
      <c r="E29" s="244"/>
      <c r="F29" s="256">
        <f>'DOE25'!J350+'DOE25'!J351+'DOE25'!J352</f>
        <v>3559.76</v>
      </c>
      <c r="G29" s="53">
        <f>'DOE25'!K350+'DOE25'!K351+'DOE25'!K352</f>
        <v>505.93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548901.67999999993</v>
      </c>
      <c r="D31" s="20">
        <f>'DOE25'!L282+'DOE25'!L301+'DOE25'!L320+'DOE25'!L325+'DOE25'!L326+'DOE25'!L327-F31-G31</f>
        <v>406684.43999999994</v>
      </c>
      <c r="E31" s="244"/>
      <c r="F31" s="256">
        <f>'DOE25'!J282+'DOE25'!J301+'DOE25'!J320+'DOE25'!J325+'DOE25'!J326+'DOE25'!J327</f>
        <v>138629.13999999998</v>
      </c>
      <c r="G31" s="53">
        <f>'DOE25'!K282+'DOE25'!K301+'DOE25'!K320+'DOE25'!K325+'DOE25'!K326+'DOE25'!K327</f>
        <v>3588.1000000000004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21970961.449999999</v>
      </c>
      <c r="E33" s="247">
        <f>SUM(E5:E31)</f>
        <v>211210.84999999998</v>
      </c>
      <c r="F33" s="247">
        <f>SUM(F5:F31)</f>
        <v>603281.74</v>
      </c>
      <c r="G33" s="247">
        <f>SUM(G5:G31)</f>
        <v>160933.06</v>
      </c>
      <c r="H33" s="247">
        <f>SUM(H5:H31)</f>
        <v>1505055</v>
      </c>
    </row>
    <row r="35" spans="2:8" ht="12" thickBot="1" x14ac:dyDescent="0.25">
      <c r="B35" s="254" t="s">
        <v>881</v>
      </c>
      <c r="D35" s="255">
        <f>E33</f>
        <v>211210.84999999998</v>
      </c>
      <c r="E35" s="250"/>
    </row>
    <row r="36" spans="2:8" ht="12" thickTop="1" x14ac:dyDescent="0.2">
      <c r="B36" t="s">
        <v>849</v>
      </c>
      <c r="D36" s="20">
        <f>D33</f>
        <v>21970961.449999999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2110-EFB9-4916-8D06-2FD2CBEB0599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Bow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46570.7</v>
      </c>
      <c r="D9" s="95">
        <f>'DOE25'!G9</f>
        <v>-2.99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1519374.98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96712.91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65197.57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21463.58</v>
      </c>
      <c r="D14" s="95">
        <f>'DOE25'!G14</f>
        <v>3167.18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1215396.26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73268.95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1356699.49</v>
      </c>
      <c r="D19" s="41">
        <f>SUM(D9:D18)</f>
        <v>99877.099999999991</v>
      </c>
      <c r="E19" s="41">
        <f>SUM(E9:E18)</f>
        <v>65197.57</v>
      </c>
      <c r="F19" s="41">
        <f>SUM(F9:F18)</f>
        <v>0</v>
      </c>
      <c r="G19" s="41">
        <f>SUM(G9:G18)</f>
        <v>1519374.98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144565.6399999999</v>
      </c>
      <c r="D22" s="95">
        <f>'DOE25'!G23</f>
        <v>0</v>
      </c>
      <c r="E22" s="95">
        <f>'DOE25'!H23</f>
        <v>54121.39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370084.3</v>
      </c>
      <c r="D24" s="95">
        <f>'DOE25'!G25</f>
        <v>9776.44</v>
      </c>
      <c r="E24" s="95">
        <f>'DOE25'!H25</f>
        <v>6512.84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58890.75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19084.21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2456.35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592624.89999999991</v>
      </c>
      <c r="D32" s="41">
        <f>SUM(D22:D31)</f>
        <v>12232.79</v>
      </c>
      <c r="E32" s="41">
        <f>SUM(E22:E31)</f>
        <v>60634.229999999996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87644.309999999939</v>
      </c>
      <c r="E40" s="95">
        <f>'DOE25'!H41</f>
        <v>4563.3399999999674</v>
      </c>
      <c r="F40" s="95">
        <f>'DOE25'!I41</f>
        <v>0</v>
      </c>
      <c r="G40" s="95">
        <f>'DOE25'!J41</f>
        <v>1519374.98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764074.58999999985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764074.58999999985</v>
      </c>
      <c r="D42" s="41">
        <f>SUM(D34:D41)</f>
        <v>87644.309999999939</v>
      </c>
      <c r="E42" s="41">
        <f>SUM(E34:E41)</f>
        <v>4563.3399999999674</v>
      </c>
      <c r="F42" s="41">
        <f>SUM(F34:F41)</f>
        <v>0</v>
      </c>
      <c r="G42" s="41">
        <f>SUM(G34:G41)</f>
        <v>1519374.98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1356699.4899999998</v>
      </c>
      <c r="D43" s="41">
        <f>D42+D32</f>
        <v>99877.099999999948</v>
      </c>
      <c r="E43" s="41">
        <f>E42+E32</f>
        <v>65197.569999999963</v>
      </c>
      <c r="F43" s="41">
        <f>F42+F32</f>
        <v>0</v>
      </c>
      <c r="G43" s="41">
        <f>G42+G32</f>
        <v>1519374.98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15294135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40824.33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15552.89</v>
      </c>
      <c r="D51" s="95">
        <f>'DOE25'!G88</f>
        <v>0.44</v>
      </c>
      <c r="E51" s="95">
        <f>'DOE25'!H88</f>
        <v>0</v>
      </c>
      <c r="F51" s="95">
        <f>'DOE25'!I88</f>
        <v>0</v>
      </c>
      <c r="G51" s="95">
        <f>'DOE25'!J88</f>
        <v>62864.45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482219.3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634819.02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691196.24</v>
      </c>
      <c r="D54" s="130">
        <f>SUM(D49:D53)</f>
        <v>482219.74</v>
      </c>
      <c r="E54" s="130">
        <f>SUM(E49:E53)</f>
        <v>0</v>
      </c>
      <c r="F54" s="130">
        <f>SUM(F49:F53)</f>
        <v>0</v>
      </c>
      <c r="G54" s="130">
        <f>SUM(G49:G53)</f>
        <v>62864.45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15985331.24</v>
      </c>
      <c r="D55" s="22">
        <f>D48+D54</f>
        <v>482219.74</v>
      </c>
      <c r="E55" s="22">
        <f>E48+E54</f>
        <v>0</v>
      </c>
      <c r="F55" s="22">
        <f>F48+F54</f>
        <v>0</v>
      </c>
      <c r="G55" s="22">
        <f>G48+G54</f>
        <v>62864.45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2974461.57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2161223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1141208.43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6276893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310886.84000000003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394043.42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4547.5200000000004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10200</v>
      </c>
      <c r="D69" s="95">
        <f>SUM('DOE25'!G123:G127)</f>
        <v>29879.63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719677.78</v>
      </c>
      <c r="D70" s="130">
        <f>SUM(D64:D69)</f>
        <v>29879.63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6996570.7800000003</v>
      </c>
      <c r="D73" s="130">
        <f>SUM(D71:D72)+D70+D62</f>
        <v>29879.63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254428.36</v>
      </c>
      <c r="D80" s="95">
        <f>SUM('DOE25'!G145:G153)</f>
        <v>49451.13</v>
      </c>
      <c r="E80" s="95">
        <f>SUM('DOE25'!H145:H153)</f>
        <v>530885.32999999996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254428.36</v>
      </c>
      <c r="D83" s="131">
        <f>SUM(D77:D82)</f>
        <v>49451.13</v>
      </c>
      <c r="E83" s="131">
        <f>SUM(E77:E82)</f>
        <v>530885.32999999996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216473.05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216525.23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216525.23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216473.05</v>
      </c>
    </row>
    <row r="96" spans="1:7" ht="12.75" thickTop="1" thickBot="1" x14ac:dyDescent="0.25">
      <c r="A96" s="33" t="s">
        <v>797</v>
      </c>
      <c r="C96" s="86">
        <f>C55+C73+C83+C95</f>
        <v>23452855.609999999</v>
      </c>
      <c r="D96" s="86">
        <f>D55+D73+D83+D95</f>
        <v>561550.5</v>
      </c>
      <c r="E96" s="86">
        <f>E55+E73+E83+E95</f>
        <v>530885.32999999996</v>
      </c>
      <c r="F96" s="86">
        <f>F55+F73+F83+F95</f>
        <v>0</v>
      </c>
      <c r="G96" s="86">
        <f>G55+G73+G95</f>
        <v>279337.5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9916502.3300000001</v>
      </c>
      <c r="D101" s="24" t="s">
        <v>312</v>
      </c>
      <c r="E101" s="95">
        <f>('DOE25'!L268)+('DOE25'!L287)+('DOE25'!L306)</f>
        <v>52014.080000000002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4482571.6900000004</v>
      </c>
      <c r="D102" s="24" t="s">
        <v>312</v>
      </c>
      <c r="E102" s="95">
        <f>('DOE25'!L269)+('DOE25'!L288)+('DOE25'!L307)</f>
        <v>389494.72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70152.209999999992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542708.23</v>
      </c>
      <c r="D104" s="24" t="s">
        <v>312</v>
      </c>
      <c r="E104" s="95">
        <f>+('DOE25'!L271)+('DOE25'!L290)+('DOE25'!L309)</f>
        <v>15501.6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15011934.460000001</v>
      </c>
      <c r="D107" s="86">
        <f>SUM(D101:D106)</f>
        <v>0</v>
      </c>
      <c r="E107" s="86">
        <f>SUM(E101:E106)</f>
        <v>457010.39999999997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1658447.7000000002</v>
      </c>
      <c r="D110" s="24" t="s">
        <v>312</v>
      </c>
      <c r="E110" s="95">
        <f>+('DOE25'!L273)+('DOE25'!L292)+('DOE25'!L311)</f>
        <v>55029.299999999996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946548.03</v>
      </c>
      <c r="D111" s="24" t="s">
        <v>312</v>
      </c>
      <c r="E111" s="95">
        <f>+('DOE25'!L274)+('DOE25'!L293)+('DOE25'!L312)</f>
        <v>36861.979999999996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349656.98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1061555.8799999999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176146.25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1916383.4400000002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939833.37999999989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565720.04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7048571.6600000001</v>
      </c>
      <c r="D120" s="86">
        <f>SUM(D110:D119)</f>
        <v>565720.04</v>
      </c>
      <c r="E120" s="86">
        <f>SUM(E110:E119)</f>
        <v>91891.28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1005000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500055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216473.05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18478.07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260859.43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-62864.450000000012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1721528.05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216473.05</v>
      </c>
    </row>
    <row r="137" spans="1:9" ht="12.75" thickTop="1" thickBot="1" x14ac:dyDescent="0.25">
      <c r="A137" s="33" t="s">
        <v>267</v>
      </c>
      <c r="C137" s="86">
        <f>(C107+C120+C136)</f>
        <v>23782034.170000002</v>
      </c>
      <c r="D137" s="86">
        <f>(D107+D120+D136)</f>
        <v>565720.04</v>
      </c>
      <c r="E137" s="86">
        <f>(E107+E120+E136)</f>
        <v>548901.67999999993</v>
      </c>
      <c r="F137" s="86">
        <f>(F107+F120+F136)</f>
        <v>0</v>
      </c>
      <c r="G137" s="86">
        <f>(G107+G120+G136)</f>
        <v>216473.05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20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Aug 15, 1996</v>
      </c>
      <c r="C144" s="152" t="str">
        <f>'DOE25'!G481</f>
        <v>July 1, 2006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8/20/2016</v>
      </c>
      <c r="C145" s="152" t="str">
        <f>'DOE25'!G482</f>
        <v>7/1/2026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16157528</v>
      </c>
      <c r="C146" s="137">
        <f>'DOE25'!G483</f>
        <v>4027000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5.7</v>
      </c>
      <c r="C147" s="137">
        <f>'DOE25'!G484</f>
        <v>4.4000000000000004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6440000</v>
      </c>
      <c r="C148" s="137">
        <f>'DOE25'!G485</f>
        <v>3600000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10040000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805000</v>
      </c>
      <c r="C150" s="137">
        <f>'DOE25'!G487</f>
        <v>200000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1005000</v>
      </c>
    </row>
    <row r="151" spans="1:7" x14ac:dyDescent="0.2">
      <c r="A151" s="22" t="s">
        <v>35</v>
      </c>
      <c r="B151" s="137">
        <f>'DOE25'!F488</f>
        <v>5635000</v>
      </c>
      <c r="C151" s="137">
        <f>'DOE25'!G488</f>
        <v>3400000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9035000</v>
      </c>
    </row>
    <row r="152" spans="1:7" x14ac:dyDescent="0.2">
      <c r="A152" s="22" t="s">
        <v>36</v>
      </c>
      <c r="B152" s="137">
        <f>'DOE25'!F489</f>
        <v>1134043.8500000001</v>
      </c>
      <c r="C152" s="137">
        <f>'DOE25'!G489</f>
        <v>1277700.5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2411744.35</v>
      </c>
    </row>
    <row r="153" spans="1:7" x14ac:dyDescent="0.2">
      <c r="A153" s="22" t="s">
        <v>37</v>
      </c>
      <c r="B153" s="137">
        <f>'DOE25'!F490</f>
        <v>6769043.8499999996</v>
      </c>
      <c r="C153" s="137">
        <f>'DOE25'!G490</f>
        <v>4677700.5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11446744.35</v>
      </c>
    </row>
    <row r="154" spans="1:7" x14ac:dyDescent="0.2">
      <c r="A154" s="22" t="s">
        <v>38</v>
      </c>
      <c r="B154" s="137">
        <f>'DOE25'!F491</f>
        <v>805000</v>
      </c>
      <c r="C154" s="137">
        <f>'DOE25'!G491</f>
        <v>200000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1005000</v>
      </c>
    </row>
    <row r="155" spans="1:7" x14ac:dyDescent="0.2">
      <c r="A155" s="22" t="s">
        <v>39</v>
      </c>
      <c r="B155" s="137">
        <f>'DOE25'!F492</f>
        <v>300868.75</v>
      </c>
      <c r="C155" s="137">
        <f>'DOE25'!G492</f>
        <v>144500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445368.75</v>
      </c>
    </row>
    <row r="156" spans="1:7" x14ac:dyDescent="0.2">
      <c r="A156" s="22" t="s">
        <v>269</v>
      </c>
      <c r="B156" s="137">
        <f>'DOE25'!F493</f>
        <v>1105868.75</v>
      </c>
      <c r="C156" s="137">
        <f>'DOE25'!G493</f>
        <v>344500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1450368.75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CED2-7718-4368-8C05-4ECB4C6CD411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772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Bow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13360</v>
      </c>
    </row>
    <row r="5" spans="1:4" x14ac:dyDescent="0.2">
      <c r="B5" t="s">
        <v>735</v>
      </c>
      <c r="C5" s="179">
        <f>IF('DOE25'!G655+'DOE25'!G660=0,0,ROUND('DOE25'!G662,0))</f>
        <v>12100</v>
      </c>
    </row>
    <row r="6" spans="1:4" x14ac:dyDescent="0.2">
      <c r="B6" t="s">
        <v>62</v>
      </c>
      <c r="C6" s="179">
        <f>IF('DOE25'!H655+'DOE25'!H660=0,0,ROUND('DOE25'!H662,0))</f>
        <v>14255</v>
      </c>
    </row>
    <row r="7" spans="1:4" x14ac:dyDescent="0.2">
      <c r="B7" t="s">
        <v>736</v>
      </c>
      <c r="C7" s="179">
        <f>IF('DOE25'!I655+'DOE25'!I660=0,0,ROUND('DOE25'!I662,0))</f>
        <v>13311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9968516</v>
      </c>
      <c r="D10" s="182">
        <f>ROUND((C10/$C$28)*100,1)</f>
        <v>43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4872066</v>
      </c>
      <c r="D11" s="182">
        <f>ROUND((C11/$C$28)*100,1)</f>
        <v>21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70152</v>
      </c>
      <c r="D12" s="182">
        <f>ROUND((C12/$C$28)*100,1)</f>
        <v>0.3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558210</v>
      </c>
      <c r="D13" s="182">
        <f>ROUND((C13/$C$28)*100,1)</f>
        <v>2.4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1713477</v>
      </c>
      <c r="D15" s="182">
        <f t="shared" ref="D15:D27" si="0">ROUND((C15/$C$28)*100,1)</f>
        <v>7.4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983410</v>
      </c>
      <c r="D16" s="182">
        <f t="shared" si="0"/>
        <v>4.2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349657</v>
      </c>
      <c r="D17" s="182">
        <f t="shared" si="0"/>
        <v>1.5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1061556</v>
      </c>
      <c r="D18" s="182">
        <f t="shared" si="0"/>
        <v>4.5999999999999996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176146</v>
      </c>
      <c r="D19" s="182">
        <f t="shared" si="0"/>
        <v>0.8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1916383</v>
      </c>
      <c r="D20" s="182">
        <f t="shared" si="0"/>
        <v>8.3000000000000007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939833</v>
      </c>
      <c r="D21" s="182">
        <f t="shared" si="0"/>
        <v>4.0999999999999996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500055</v>
      </c>
      <c r="D25" s="182">
        <f t="shared" si="0"/>
        <v>2.2000000000000002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83500.700000000012</v>
      </c>
      <c r="D27" s="182">
        <f t="shared" si="0"/>
        <v>0.4</v>
      </c>
    </row>
    <row r="28" spans="1:4" x14ac:dyDescent="0.2">
      <c r="B28" s="187" t="s">
        <v>754</v>
      </c>
      <c r="C28" s="180">
        <f>SUM(C10:C27)</f>
        <v>23192961.699999999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23192961.699999999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1005000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15294135</v>
      </c>
      <c r="D35" s="182">
        <f t="shared" ref="D35:D40" si="1">ROUND((C35/$C$41)*100,1)</f>
        <v>64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754061.12999999896</v>
      </c>
      <c r="D36" s="182">
        <f t="shared" si="1"/>
        <v>3.2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5135685</v>
      </c>
      <c r="D37" s="182">
        <f t="shared" si="1"/>
        <v>21.5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1890766</v>
      </c>
      <c r="D38" s="182">
        <f t="shared" si="1"/>
        <v>7.9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834765</v>
      </c>
      <c r="D39" s="182">
        <f t="shared" si="1"/>
        <v>3.5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23909412.129999999</v>
      </c>
      <c r="D41" s="184">
        <f>SUM(D35:D40)</f>
        <v>100.10000000000001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2E31B-CDC7-4160-8E8F-5D12ADF9196B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802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799</v>
      </c>
      <c r="B2" s="288"/>
      <c r="C2" s="288"/>
      <c r="D2" s="288"/>
      <c r="E2" s="288"/>
      <c r="F2" s="293" t="str">
        <f>'DOE25'!A2</f>
        <v>Bow SD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1" t="s">
        <v>803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8"/>
      <c r="AB29" s="208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8"/>
      <c r="AO29" s="208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8"/>
      <c r="BB29" s="208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8"/>
      <c r="BO29" s="208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8"/>
      <c r="CB29" s="208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8"/>
      <c r="CO29" s="208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8"/>
      <c r="DB29" s="208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8"/>
      <c r="DO29" s="208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8"/>
      <c r="EB29" s="208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8"/>
      <c r="EO29" s="208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8"/>
      <c r="FB29" s="208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8"/>
      <c r="FO29" s="208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8"/>
      <c r="GB29" s="208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8"/>
      <c r="GO29" s="208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8"/>
      <c r="HB29" s="208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8"/>
      <c r="HO29" s="208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8"/>
      <c r="IB29" s="208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8"/>
      <c r="IO29" s="208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8"/>
      <c r="AB30" s="208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8"/>
      <c r="AO30" s="208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8"/>
      <c r="BB30" s="208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8"/>
      <c r="BO30" s="208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8"/>
      <c r="CB30" s="208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8"/>
      <c r="CO30" s="208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8"/>
      <c r="DB30" s="208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8"/>
      <c r="DO30" s="208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8"/>
      <c r="EB30" s="208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8"/>
      <c r="EO30" s="208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8"/>
      <c r="FB30" s="208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8"/>
      <c r="FO30" s="208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8"/>
      <c r="GB30" s="208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8"/>
      <c r="GO30" s="208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8"/>
      <c r="HB30" s="208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8"/>
      <c r="HO30" s="208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8"/>
      <c r="IB30" s="208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8"/>
      <c r="IO30" s="208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8"/>
      <c r="AB31" s="208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8"/>
      <c r="AO31" s="208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8"/>
      <c r="BB31" s="208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8"/>
      <c r="BO31" s="208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8"/>
      <c r="CB31" s="208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8"/>
      <c r="CO31" s="208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8"/>
      <c r="DB31" s="208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8"/>
      <c r="DO31" s="208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8"/>
      <c r="EB31" s="208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8"/>
      <c r="EO31" s="208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8"/>
      <c r="FB31" s="208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8"/>
      <c r="FO31" s="208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8"/>
      <c r="GB31" s="208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8"/>
      <c r="GO31" s="208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8"/>
      <c r="HB31" s="208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8"/>
      <c r="HO31" s="208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8"/>
      <c r="IB31" s="208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8"/>
      <c r="IO31" s="208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8"/>
      <c r="AB38" s="208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8"/>
      <c r="AO38" s="208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8"/>
      <c r="BB38" s="208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8"/>
      <c r="BO38" s="208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8"/>
      <c r="CB38" s="208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8"/>
      <c r="CO38" s="208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8"/>
      <c r="DB38" s="208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8"/>
      <c r="DO38" s="208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8"/>
      <c r="EB38" s="208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8"/>
      <c r="EO38" s="208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8"/>
      <c r="FB38" s="208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8"/>
      <c r="FO38" s="208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8"/>
      <c r="GB38" s="208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8"/>
      <c r="GO38" s="208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8"/>
      <c r="HB38" s="208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8"/>
      <c r="HO38" s="208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8"/>
      <c r="IB38" s="208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8"/>
      <c r="IO38" s="208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8"/>
      <c r="AB39" s="208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8"/>
      <c r="AO39" s="208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8"/>
      <c r="BB39" s="208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8"/>
      <c r="BO39" s="208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8"/>
      <c r="CB39" s="208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8"/>
      <c r="CO39" s="208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8"/>
      <c r="DB39" s="208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8"/>
      <c r="DO39" s="208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8"/>
      <c r="EB39" s="208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8"/>
      <c r="EO39" s="208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8"/>
      <c r="FB39" s="208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8"/>
      <c r="FO39" s="208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8"/>
      <c r="GB39" s="208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8"/>
      <c r="GO39" s="208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8"/>
      <c r="HB39" s="208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8"/>
      <c r="HO39" s="208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8"/>
      <c r="IB39" s="208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8"/>
      <c r="IO39" s="208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8"/>
      <c r="AB40" s="208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8"/>
      <c r="AO40" s="208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8"/>
      <c r="BB40" s="208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8"/>
      <c r="BO40" s="208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8"/>
      <c r="CB40" s="208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8"/>
      <c r="CO40" s="208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8"/>
      <c r="DB40" s="208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8"/>
      <c r="DO40" s="208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8"/>
      <c r="EB40" s="208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8"/>
      <c r="EO40" s="208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8"/>
      <c r="FB40" s="208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8"/>
      <c r="FO40" s="208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8"/>
      <c r="GB40" s="208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8"/>
      <c r="GO40" s="208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8"/>
      <c r="HB40" s="208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8"/>
      <c r="HO40" s="208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8"/>
      <c r="IB40" s="208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8"/>
      <c r="IO40" s="208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893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2"/>
      <c r="B74" s="212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2"/>
      <c r="B75" s="212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2"/>
      <c r="B76" s="212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2"/>
      <c r="B77" s="212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2"/>
      <c r="B78" s="212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2"/>
      <c r="B79" s="212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2"/>
      <c r="B80" s="212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2"/>
      <c r="B81" s="212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2"/>
      <c r="B82" s="212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2"/>
      <c r="B83" s="212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2"/>
      <c r="B84" s="212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2"/>
      <c r="B85" s="212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2"/>
      <c r="B86" s="212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2"/>
      <c r="B87" s="212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2"/>
      <c r="B88" s="212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2"/>
      <c r="B89" s="212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2"/>
      <c r="B90" s="212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B7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C32:M32"/>
    <mergeCell ref="P30:Z30"/>
    <mergeCell ref="AC30:AM30"/>
    <mergeCell ref="AP30:AZ30"/>
    <mergeCell ref="P31:Z31"/>
    <mergeCell ref="HC29:HM29"/>
    <mergeCell ref="HP29:HZ29"/>
    <mergeCell ref="DP29:DZ29"/>
    <mergeCell ref="AC31:AM31"/>
    <mergeCell ref="AP31:AZ31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FC30:FM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BP38:BZ38"/>
    <mergeCell ref="CC31:CM31"/>
    <mergeCell ref="CP31:CZ31"/>
    <mergeCell ref="DC31:DM31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2:CM32"/>
    <mergeCell ref="CP38:CZ38"/>
    <mergeCell ref="AC32:AM32"/>
    <mergeCell ref="AP32:AZ32"/>
    <mergeCell ref="CP32:CZ32"/>
    <mergeCell ref="GP31:GZ31"/>
    <mergeCell ref="BC31:BM31"/>
    <mergeCell ref="BC32:BM32"/>
    <mergeCell ref="HC32:HM32"/>
    <mergeCell ref="DC32:DM32"/>
    <mergeCell ref="DP32:DZ32"/>
    <mergeCell ref="EC32:EM32"/>
    <mergeCell ref="EP32:EZ32"/>
    <mergeCell ref="FP32:FZ32"/>
    <mergeCell ref="GC32:GM32"/>
    <mergeCell ref="FP38:FZ38"/>
    <mergeCell ref="GC38:GM38"/>
    <mergeCell ref="GP38:GZ38"/>
    <mergeCell ref="HC38:HM38"/>
    <mergeCell ref="P38:Z38"/>
    <mergeCell ref="AC38:AM38"/>
    <mergeCell ref="AP38:AZ38"/>
    <mergeCell ref="CC38:CM38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CP39:CZ39"/>
    <mergeCell ref="BP39:BZ39"/>
    <mergeCell ref="CC39:CM39"/>
    <mergeCell ref="DC39:DM39"/>
    <mergeCell ref="HP38:HZ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IP40:IV40"/>
    <mergeCell ref="HC40:HM40"/>
    <mergeCell ref="HP40:HZ40"/>
    <mergeCell ref="IC40:IM40"/>
    <mergeCell ref="DP39:DZ39"/>
    <mergeCell ref="EC39:EM39"/>
    <mergeCell ref="GC39:GM39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2010-10-27T13:43:37Z</cp:lastPrinted>
  <dcterms:created xsi:type="dcterms:W3CDTF">1997-12-04T19:04:30Z</dcterms:created>
  <dcterms:modified xsi:type="dcterms:W3CDTF">2025-01-02T14:25:16Z</dcterms:modified>
</cp:coreProperties>
</file>