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9E18ABBF-6358-4E68-BBB9-33BEE553FB05}" xr6:coauthVersionLast="47" xr6:coauthVersionMax="47" xr10:uidLastSave="{00000000-0000-0000-0000-000000000000}"/>
  <workbookProtection workbookPassword="B70A" lockStructure="1"/>
  <bookViews>
    <workbookView xWindow="1470" yWindow="1470" windowWidth="21600" windowHeight="11505" tabRatio="855" xr2:uid="{D9454A17-11BE-4D7D-B981-C1B45DB9C1DC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7" i="1" l="1"/>
  <c r="C60" i="2"/>
  <c r="B2" i="13"/>
  <c r="F8" i="13"/>
  <c r="G8" i="13"/>
  <c r="L196" i="1"/>
  <c r="L214" i="1"/>
  <c r="L232" i="1"/>
  <c r="E8" i="13"/>
  <c r="D39" i="13"/>
  <c r="F13" i="13"/>
  <c r="E13" i="13" s="1"/>
  <c r="G13" i="13"/>
  <c r="L198" i="1"/>
  <c r="L216" i="1"/>
  <c r="L234" i="1"/>
  <c r="F16" i="13"/>
  <c r="G16" i="13"/>
  <c r="L201" i="1"/>
  <c r="L219" i="1"/>
  <c r="L237" i="1"/>
  <c r="E16" i="13"/>
  <c r="C16" i="13" s="1"/>
  <c r="F5" i="13"/>
  <c r="G5" i="13"/>
  <c r="L189" i="1"/>
  <c r="L190" i="1"/>
  <c r="D5" i="13" s="1"/>
  <c r="L191" i="1"/>
  <c r="L192" i="1"/>
  <c r="L207" i="1"/>
  <c r="L208" i="1"/>
  <c r="L209" i="1"/>
  <c r="C12" i="10" s="1"/>
  <c r="L210" i="1"/>
  <c r="C104" i="2" s="1"/>
  <c r="L225" i="1"/>
  <c r="L239" i="1" s="1"/>
  <c r="L226" i="1"/>
  <c r="C11" i="10" s="1"/>
  <c r="L227" i="1"/>
  <c r="L228" i="1"/>
  <c r="F6" i="13"/>
  <c r="G6" i="13"/>
  <c r="L194" i="1"/>
  <c r="L212" i="1"/>
  <c r="L230" i="1"/>
  <c r="D6" i="13"/>
  <c r="C6" i="13" s="1"/>
  <c r="F7" i="13"/>
  <c r="G7" i="13"/>
  <c r="G33" i="13" s="1"/>
  <c r="L195" i="1"/>
  <c r="D7" i="13" s="1"/>
  <c r="C7" i="13" s="1"/>
  <c r="L213" i="1"/>
  <c r="L231" i="1"/>
  <c r="F12" i="13"/>
  <c r="G12" i="13"/>
  <c r="L197" i="1"/>
  <c r="L215" i="1"/>
  <c r="L233" i="1"/>
  <c r="D12" i="13"/>
  <c r="C12" i="13" s="1"/>
  <c r="F14" i="13"/>
  <c r="G14" i="13"/>
  <c r="L199" i="1"/>
  <c r="C20" i="10" s="1"/>
  <c r="L217" i="1"/>
  <c r="L235" i="1"/>
  <c r="F15" i="13"/>
  <c r="G15" i="13"/>
  <c r="L200" i="1"/>
  <c r="L218" i="1"/>
  <c r="L236" i="1"/>
  <c r="D15" i="13"/>
  <c r="C15" i="13" s="1"/>
  <c r="F17" i="13"/>
  <c r="G17" i="13"/>
  <c r="L243" i="1"/>
  <c r="D17" i="13" s="1"/>
  <c r="C17" i="13" s="1"/>
  <c r="F18" i="13"/>
  <c r="G18" i="13"/>
  <c r="L244" i="1"/>
  <c r="D18" i="13" s="1"/>
  <c r="C18" i="13" s="1"/>
  <c r="F19" i="13"/>
  <c r="G19" i="13"/>
  <c r="L245" i="1"/>
  <c r="D19" i="13"/>
  <c r="C19" i="13" s="1"/>
  <c r="F29" i="13"/>
  <c r="G29" i="13"/>
  <c r="L350" i="1"/>
  <c r="D29" i="13" s="1"/>
  <c r="C29" i="13" s="1"/>
  <c r="L351" i="1"/>
  <c r="L352" i="1"/>
  <c r="I359" i="1"/>
  <c r="J282" i="1"/>
  <c r="F31" i="13" s="1"/>
  <c r="J301" i="1"/>
  <c r="J320" i="1"/>
  <c r="K282" i="1"/>
  <c r="K301" i="1"/>
  <c r="K320" i="1"/>
  <c r="G31" i="13"/>
  <c r="L268" i="1"/>
  <c r="L269" i="1"/>
  <c r="L282" i="1" s="1"/>
  <c r="L270" i="1"/>
  <c r="L271" i="1"/>
  <c r="L273" i="1"/>
  <c r="L274" i="1"/>
  <c r="L275" i="1"/>
  <c r="L276" i="1"/>
  <c r="L277" i="1"/>
  <c r="L278" i="1"/>
  <c r="E115" i="2" s="1"/>
  <c r="L279" i="1"/>
  <c r="C21" i="10" s="1"/>
  <c r="L280" i="1"/>
  <c r="E117" i="2" s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G652" i="1" s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L318" i="1"/>
  <c r="L325" i="1"/>
  <c r="L326" i="1"/>
  <c r="L327" i="1"/>
  <c r="L252" i="1"/>
  <c r="H25" i="13" s="1"/>
  <c r="L253" i="1"/>
  <c r="C124" i="2" s="1"/>
  <c r="L333" i="1"/>
  <c r="L334" i="1"/>
  <c r="L247" i="1"/>
  <c r="F22" i="13" s="1"/>
  <c r="C22" i="13" s="1"/>
  <c r="L328" i="1"/>
  <c r="C11" i="13"/>
  <c r="C10" i="13"/>
  <c r="C9" i="13"/>
  <c r="C8" i="13"/>
  <c r="L353" i="1"/>
  <c r="B4" i="12"/>
  <c r="B36" i="12"/>
  <c r="C36" i="12"/>
  <c r="B40" i="12"/>
  <c r="C40" i="12"/>
  <c r="A40" i="12"/>
  <c r="B27" i="12"/>
  <c r="A31" i="12" s="1"/>
  <c r="C27" i="12"/>
  <c r="B31" i="12"/>
  <c r="C31" i="12"/>
  <c r="B9" i="12"/>
  <c r="B13" i="12"/>
  <c r="C9" i="12"/>
  <c r="C13" i="12"/>
  <c r="A13" i="12"/>
  <c r="B18" i="12"/>
  <c r="A22" i="12" s="1"/>
  <c r="B22" i="12"/>
  <c r="C18" i="12"/>
  <c r="C22" i="12"/>
  <c r="B1" i="12"/>
  <c r="L379" i="1"/>
  <c r="L380" i="1"/>
  <c r="L381" i="1"/>
  <c r="L382" i="1"/>
  <c r="L383" i="1"/>
  <c r="L384" i="1"/>
  <c r="L385" i="1"/>
  <c r="C130" i="2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G48" i="2" s="1"/>
  <c r="G55" i="2" s="1"/>
  <c r="G96" i="2" s="1"/>
  <c r="G51" i="2"/>
  <c r="G53" i="2"/>
  <c r="G54" i="2"/>
  <c r="F2" i="11"/>
  <c r="L603" i="1"/>
  <c r="L604" i="1" s="1"/>
  <c r="H653" i="1"/>
  <c r="L602" i="1"/>
  <c r="G653" i="1" s="1"/>
  <c r="L601" i="1"/>
  <c r="F653" i="1"/>
  <c r="I653" i="1" s="1"/>
  <c r="C40" i="10"/>
  <c r="F52" i="1"/>
  <c r="F104" i="1" s="1"/>
  <c r="G52" i="1"/>
  <c r="H52" i="1"/>
  <c r="I52" i="1"/>
  <c r="C35" i="10"/>
  <c r="C36" i="10" s="1"/>
  <c r="F71" i="1"/>
  <c r="C49" i="2" s="1"/>
  <c r="F86" i="1"/>
  <c r="C50" i="2" s="1"/>
  <c r="F103" i="1"/>
  <c r="G103" i="1"/>
  <c r="G104" i="1"/>
  <c r="H71" i="1"/>
  <c r="H104" i="1" s="1"/>
  <c r="H185" i="1" s="1"/>
  <c r="G619" i="1" s="1"/>
  <c r="J619" i="1" s="1"/>
  <c r="H86" i="1"/>
  <c r="H103" i="1"/>
  <c r="I103" i="1"/>
  <c r="I104" i="1"/>
  <c r="I185" i="1" s="1"/>
  <c r="G620" i="1" s="1"/>
  <c r="J620" i="1" s="1"/>
  <c r="J103" i="1"/>
  <c r="J104" i="1"/>
  <c r="C37" i="10"/>
  <c r="F113" i="1"/>
  <c r="F128" i="1"/>
  <c r="F132" i="1" s="1"/>
  <c r="G113" i="1"/>
  <c r="G132" i="1" s="1"/>
  <c r="G185" i="1" s="1"/>
  <c r="G618" i="1" s="1"/>
  <c r="J618" i="1" s="1"/>
  <c r="G128" i="1"/>
  <c r="H113" i="1"/>
  <c r="H128" i="1"/>
  <c r="H132" i="1"/>
  <c r="I113" i="1"/>
  <c r="I132" i="1" s="1"/>
  <c r="I128" i="1"/>
  <c r="J113" i="1"/>
  <c r="J128" i="1"/>
  <c r="J132" i="1" s="1"/>
  <c r="F139" i="1"/>
  <c r="F154" i="1"/>
  <c r="F161" i="1"/>
  <c r="G139" i="1"/>
  <c r="D77" i="2" s="1"/>
  <c r="D83" i="2" s="1"/>
  <c r="G154" i="1"/>
  <c r="G161" i="1"/>
  <c r="H139" i="1"/>
  <c r="H161" i="1" s="1"/>
  <c r="H154" i="1"/>
  <c r="I139" i="1"/>
  <c r="I161" i="1" s="1"/>
  <c r="I154" i="1"/>
  <c r="C15" i="10"/>
  <c r="C18" i="10"/>
  <c r="C19" i="10"/>
  <c r="L242" i="1"/>
  <c r="L324" i="1"/>
  <c r="C23" i="10" s="1"/>
  <c r="L246" i="1"/>
  <c r="L260" i="1"/>
  <c r="C26" i="10" s="1"/>
  <c r="L261" i="1"/>
  <c r="L341" i="1"/>
  <c r="L343" i="1" s="1"/>
  <c r="L342" i="1"/>
  <c r="E135" i="2" s="1"/>
  <c r="I655" i="1"/>
  <c r="I660" i="1"/>
  <c r="L221" i="1"/>
  <c r="G650" i="1" s="1"/>
  <c r="H652" i="1"/>
  <c r="I659" i="1"/>
  <c r="C6" i="10"/>
  <c r="C5" i="10"/>
  <c r="C42" i="10"/>
  <c r="L366" i="1"/>
  <c r="L367" i="1"/>
  <c r="C29" i="10" s="1"/>
  <c r="L368" i="1"/>
  <c r="L369" i="1"/>
  <c r="F122" i="2" s="1"/>
  <c r="F136" i="2" s="1"/>
  <c r="L370" i="1"/>
  <c r="L371" i="1"/>
  <c r="L372" i="1"/>
  <c r="B2" i="10"/>
  <c r="L336" i="1"/>
  <c r="L337" i="1"/>
  <c r="L338" i="1"/>
  <c r="L339" i="1"/>
  <c r="K343" i="1"/>
  <c r="L511" i="1"/>
  <c r="F539" i="1"/>
  <c r="L512" i="1"/>
  <c r="F540" i="1" s="1"/>
  <c r="L513" i="1"/>
  <c r="F541" i="1"/>
  <c r="L516" i="1"/>
  <c r="G539" i="1"/>
  <c r="G542" i="1" s="1"/>
  <c r="L517" i="1"/>
  <c r="G540" i="1" s="1"/>
  <c r="L518" i="1"/>
  <c r="G541" i="1" s="1"/>
  <c r="L521" i="1"/>
  <c r="H539" i="1" s="1"/>
  <c r="H542" i="1" s="1"/>
  <c r="L522" i="1"/>
  <c r="H540" i="1"/>
  <c r="L523" i="1"/>
  <c r="H541" i="1"/>
  <c r="L526" i="1"/>
  <c r="I539" i="1" s="1"/>
  <c r="L527" i="1"/>
  <c r="I540" i="1" s="1"/>
  <c r="L528" i="1"/>
  <c r="I541" i="1" s="1"/>
  <c r="L531" i="1"/>
  <c r="J539" i="1"/>
  <c r="J542" i="1" s="1"/>
  <c r="L532" i="1"/>
  <c r="J540" i="1"/>
  <c r="L533" i="1"/>
  <c r="L534" i="1" s="1"/>
  <c r="J541" i="1"/>
  <c r="E124" i="2"/>
  <c r="E123" i="2"/>
  <c r="K262" i="1"/>
  <c r="J262" i="1"/>
  <c r="I262" i="1"/>
  <c r="H262" i="1"/>
  <c r="G262" i="1"/>
  <c r="L262" i="1" s="1"/>
  <c r="F262" i="1"/>
  <c r="A1" i="2"/>
  <c r="A2" i="2"/>
  <c r="C9" i="2"/>
  <c r="D9" i="2"/>
  <c r="E9" i="2"/>
  <c r="F9" i="2"/>
  <c r="F19" i="2" s="1"/>
  <c r="I431" i="1"/>
  <c r="I438" i="1" s="1"/>
  <c r="G632" i="1" s="1"/>
  <c r="J9" i="1"/>
  <c r="G9" i="2"/>
  <c r="C10" i="2"/>
  <c r="D10" i="2"/>
  <c r="E10" i="2"/>
  <c r="F10" i="2"/>
  <c r="I432" i="1"/>
  <c r="J10" i="1" s="1"/>
  <c r="G10" i="2" s="1"/>
  <c r="C11" i="2"/>
  <c r="C12" i="2"/>
  <c r="C19" i="2" s="1"/>
  <c r="D12" i="2"/>
  <c r="D19" i="2" s="1"/>
  <c r="E12" i="2"/>
  <c r="E19" i="2" s="1"/>
  <c r="F12" i="2"/>
  <c r="I433" i="1"/>
  <c r="J12" i="1" s="1"/>
  <c r="G12" i="2" s="1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/>
  <c r="G18" i="2"/>
  <c r="C22" i="2"/>
  <c r="D22" i="2"/>
  <c r="E22" i="2"/>
  <c r="F22" i="2"/>
  <c r="I440" i="1"/>
  <c r="I444" i="1" s="1"/>
  <c r="I451" i="1" s="1"/>
  <c r="H632" i="1" s="1"/>
  <c r="J23" i="1"/>
  <c r="G22" i="2"/>
  <c r="C23" i="2"/>
  <c r="D23" i="2"/>
  <c r="E23" i="2"/>
  <c r="F23" i="2"/>
  <c r="I441" i="1"/>
  <c r="J24" i="1" s="1"/>
  <c r="C24" i="2"/>
  <c r="D24" i="2"/>
  <c r="D32" i="2" s="1"/>
  <c r="E24" i="2"/>
  <c r="E32" i="2" s="1"/>
  <c r="F24" i="2"/>
  <c r="F32" i="2" s="1"/>
  <c r="I442" i="1"/>
  <c r="J25" i="1" s="1"/>
  <c r="G24" i="2" s="1"/>
  <c r="C25" i="2"/>
  <c r="D25" i="2"/>
  <c r="E25" i="2"/>
  <c r="F25" i="2"/>
  <c r="C26" i="2"/>
  <c r="F26" i="2"/>
  <c r="C27" i="2"/>
  <c r="C32" i="2" s="1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C42" i="2" s="1"/>
  <c r="D34" i="2"/>
  <c r="D42" i="2" s="1"/>
  <c r="D43" i="2" s="1"/>
  <c r="E34" i="2"/>
  <c r="F34" i="2"/>
  <c r="C35" i="2"/>
  <c r="D35" i="2"/>
  <c r="E35" i="2"/>
  <c r="F35" i="2"/>
  <c r="C36" i="2"/>
  <c r="D36" i="2"/>
  <c r="E36" i="2"/>
  <c r="E42" i="2" s="1"/>
  <c r="E43" i="2" s="1"/>
  <c r="F36" i="2"/>
  <c r="F42" i="2" s="1"/>
  <c r="F43" i="2" s="1"/>
  <c r="I446" i="1"/>
  <c r="J37" i="1"/>
  <c r="G36" i="2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/>
  <c r="C41" i="2"/>
  <c r="D41" i="2"/>
  <c r="E41" i="2"/>
  <c r="F41" i="2"/>
  <c r="C48" i="2"/>
  <c r="D48" i="2"/>
  <c r="E48" i="2"/>
  <c r="F48" i="2"/>
  <c r="E49" i="2"/>
  <c r="E50" i="2"/>
  <c r="C51" i="2"/>
  <c r="D51" i="2"/>
  <c r="D54" i="2" s="1"/>
  <c r="D55" i="2" s="1"/>
  <c r="E51" i="2"/>
  <c r="E54" i="2" s="1"/>
  <c r="E55" i="2" s="1"/>
  <c r="F51" i="2"/>
  <c r="F54" i="2" s="1"/>
  <c r="F55" i="2" s="1"/>
  <c r="D52" i="2"/>
  <c r="C53" i="2"/>
  <c r="D53" i="2"/>
  <c r="E53" i="2"/>
  <c r="F53" i="2"/>
  <c r="C58" i="2"/>
  <c r="C59" i="2"/>
  <c r="C61" i="2"/>
  <c r="D61" i="2"/>
  <c r="E61" i="2"/>
  <c r="F61" i="2"/>
  <c r="G61" i="2"/>
  <c r="C62" i="2"/>
  <c r="D62" i="2"/>
  <c r="E62" i="2"/>
  <c r="F62" i="2"/>
  <c r="G62" i="2"/>
  <c r="C64" i="2"/>
  <c r="F64" i="2"/>
  <c r="C65" i="2"/>
  <c r="F65" i="2"/>
  <c r="C66" i="2"/>
  <c r="C67" i="2"/>
  <c r="C68" i="2"/>
  <c r="C70" i="2" s="1"/>
  <c r="C73" i="2" s="1"/>
  <c r="E68" i="2"/>
  <c r="E70" i="2" s="1"/>
  <c r="E73" i="2" s="1"/>
  <c r="F68" i="2"/>
  <c r="F70" i="2" s="1"/>
  <c r="F73" i="2" s="1"/>
  <c r="C69" i="2"/>
  <c r="D69" i="2"/>
  <c r="D70" i="2" s="1"/>
  <c r="D73" i="2" s="1"/>
  <c r="E69" i="2"/>
  <c r="F69" i="2"/>
  <c r="G69" i="2"/>
  <c r="G70" i="2"/>
  <c r="G73" i="2" s="1"/>
  <c r="C71" i="2"/>
  <c r="D71" i="2"/>
  <c r="E71" i="2"/>
  <c r="C72" i="2"/>
  <c r="E72" i="2"/>
  <c r="C77" i="2"/>
  <c r="E77" i="2"/>
  <c r="E83" i="2" s="1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C85" i="2"/>
  <c r="F85" i="2"/>
  <c r="F95" i="2" s="1"/>
  <c r="C86" i="2"/>
  <c r="F86" i="2"/>
  <c r="D88" i="2"/>
  <c r="E88" i="2"/>
  <c r="E95" i="2" s="1"/>
  <c r="F88" i="2"/>
  <c r="G88" i="2"/>
  <c r="G95" i="2" s="1"/>
  <c r="C89" i="2"/>
  <c r="D89" i="2"/>
  <c r="D95" i="2" s="1"/>
  <c r="E89" i="2"/>
  <c r="F89" i="2"/>
  <c r="G89" i="2"/>
  <c r="C90" i="2"/>
  <c r="D90" i="2"/>
  <c r="E90" i="2"/>
  <c r="G90" i="2"/>
  <c r="C91" i="2"/>
  <c r="D91" i="2"/>
  <c r="E91" i="2"/>
  <c r="F91" i="2"/>
  <c r="C92" i="2"/>
  <c r="C95" i="2" s="1"/>
  <c r="D92" i="2"/>
  <c r="E92" i="2"/>
  <c r="F92" i="2"/>
  <c r="C93" i="2"/>
  <c r="D93" i="2"/>
  <c r="E93" i="2"/>
  <c r="F93" i="2"/>
  <c r="C94" i="2"/>
  <c r="D94" i="2"/>
  <c r="E94" i="2"/>
  <c r="F94" i="2"/>
  <c r="E101" i="2"/>
  <c r="E102" i="2"/>
  <c r="C103" i="2"/>
  <c r="E103" i="2"/>
  <c r="E104" i="2"/>
  <c r="C105" i="2"/>
  <c r="E105" i="2"/>
  <c r="E106" i="2"/>
  <c r="D107" i="2"/>
  <c r="E107" i="2"/>
  <c r="F107" i="2"/>
  <c r="G107" i="2"/>
  <c r="C110" i="2"/>
  <c r="E110" i="2"/>
  <c r="E111" i="2"/>
  <c r="C112" i="2"/>
  <c r="E112" i="2"/>
  <c r="C113" i="2"/>
  <c r="E113" i="2"/>
  <c r="C114" i="2"/>
  <c r="E114" i="2"/>
  <c r="C116" i="2"/>
  <c r="C117" i="2"/>
  <c r="F120" i="2"/>
  <c r="F137" i="2" s="1"/>
  <c r="G120" i="2"/>
  <c r="G137" i="2" s="1"/>
  <c r="C122" i="2"/>
  <c r="E122" i="2"/>
  <c r="D126" i="2"/>
  <c r="E126" i="2"/>
  <c r="F126" i="2"/>
  <c r="K411" i="1"/>
  <c r="K419" i="1"/>
  <c r="K425" i="1"/>
  <c r="K426" i="1"/>
  <c r="G126" i="2"/>
  <c r="G136" i="2" s="1"/>
  <c r="L255" i="1"/>
  <c r="C127" i="2" s="1"/>
  <c r="E127" i="2"/>
  <c r="L256" i="1"/>
  <c r="C128" i="2" s="1"/>
  <c r="L257" i="1"/>
  <c r="C129" i="2" s="1"/>
  <c r="E129" i="2"/>
  <c r="C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B153" i="2" s="1"/>
  <c r="G153" i="2" s="1"/>
  <c r="G490" i="1"/>
  <c r="C153" i="2"/>
  <c r="H490" i="1"/>
  <c r="K490" i="1" s="1"/>
  <c r="D153" i="2"/>
  <c r="I490" i="1"/>
  <c r="E153" i="2"/>
  <c r="J490" i="1"/>
  <c r="F153" i="2" s="1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 s="1"/>
  <c r="G493" i="1"/>
  <c r="C156" i="2"/>
  <c r="H493" i="1"/>
  <c r="K493" i="1" s="1"/>
  <c r="D156" i="2"/>
  <c r="I493" i="1"/>
  <c r="E156" i="2"/>
  <c r="J493" i="1"/>
  <c r="F156" i="2" s="1"/>
  <c r="F19" i="1"/>
  <c r="G19" i="1"/>
  <c r="H19" i="1"/>
  <c r="I19" i="1"/>
  <c r="F33" i="1"/>
  <c r="G33" i="1"/>
  <c r="G44" i="1" s="1"/>
  <c r="H608" i="1" s="1"/>
  <c r="J608" i="1" s="1"/>
  <c r="H33" i="1"/>
  <c r="H44" i="1" s="1"/>
  <c r="H609" i="1" s="1"/>
  <c r="I33" i="1"/>
  <c r="I44" i="1" s="1"/>
  <c r="H610" i="1" s="1"/>
  <c r="F43" i="1"/>
  <c r="F44" i="1" s="1"/>
  <c r="H607" i="1" s="1"/>
  <c r="J607" i="1" s="1"/>
  <c r="G43" i="1"/>
  <c r="H43" i="1"/>
  <c r="I43" i="1"/>
  <c r="F169" i="1"/>
  <c r="F184" i="1" s="1"/>
  <c r="I169" i="1"/>
  <c r="I184" i="1" s="1"/>
  <c r="F175" i="1"/>
  <c r="G175" i="1"/>
  <c r="H175" i="1"/>
  <c r="I175" i="1"/>
  <c r="J175" i="1"/>
  <c r="F180" i="1"/>
  <c r="G180" i="1"/>
  <c r="H180" i="1"/>
  <c r="I180" i="1"/>
  <c r="G184" i="1"/>
  <c r="H184" i="1"/>
  <c r="J184" i="1"/>
  <c r="F203" i="1"/>
  <c r="G203" i="1"/>
  <c r="H203" i="1"/>
  <c r="I203" i="1"/>
  <c r="J203" i="1"/>
  <c r="J249" i="1" s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/>
  <c r="F249" i="1"/>
  <c r="F263" i="1" s="1"/>
  <c r="G249" i="1"/>
  <c r="G263" i="1" s="1"/>
  <c r="H249" i="1"/>
  <c r="H263" i="1" s="1"/>
  <c r="I249" i="1"/>
  <c r="I263" i="1" s="1"/>
  <c r="F282" i="1"/>
  <c r="F330" i="1" s="1"/>
  <c r="F344" i="1" s="1"/>
  <c r="G282" i="1"/>
  <c r="H282" i="1"/>
  <c r="I282" i="1"/>
  <c r="F301" i="1"/>
  <c r="G301" i="1"/>
  <c r="H301" i="1"/>
  <c r="I301" i="1"/>
  <c r="F320" i="1"/>
  <c r="G320" i="1"/>
  <c r="G330" i="1" s="1"/>
  <c r="G344" i="1" s="1"/>
  <c r="H320" i="1"/>
  <c r="H330" i="1" s="1"/>
  <c r="H344" i="1" s="1"/>
  <c r="I320" i="1"/>
  <c r="I330" i="1" s="1"/>
  <c r="I344" i="1" s="1"/>
  <c r="F329" i="1"/>
  <c r="L329" i="1" s="1"/>
  <c r="G329" i="1"/>
  <c r="H329" i="1"/>
  <c r="I329" i="1"/>
  <c r="J329" i="1"/>
  <c r="K329" i="1"/>
  <c r="J330" i="1"/>
  <c r="J344" i="1" s="1"/>
  <c r="K330" i="1"/>
  <c r="K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G400" i="1" s="1"/>
  <c r="H635" i="1" s="1"/>
  <c r="J635" i="1" s="1"/>
  <c r="H393" i="1"/>
  <c r="H400" i="1" s="1"/>
  <c r="H634" i="1" s="1"/>
  <c r="J634" i="1" s="1"/>
  <c r="I393" i="1"/>
  <c r="I400" i="1" s="1"/>
  <c r="F399" i="1"/>
  <c r="G399" i="1"/>
  <c r="H399" i="1"/>
  <c r="I399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H411" i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F426" i="1"/>
  <c r="G426" i="1"/>
  <c r="H426" i="1"/>
  <c r="I426" i="1"/>
  <c r="J426" i="1"/>
  <c r="F438" i="1"/>
  <c r="G438" i="1"/>
  <c r="H438" i="1"/>
  <c r="F444" i="1"/>
  <c r="G444" i="1"/>
  <c r="H444" i="1"/>
  <c r="H451" i="1" s="1"/>
  <c r="H631" i="1" s="1"/>
  <c r="J631" i="1" s="1"/>
  <c r="F450" i="1"/>
  <c r="F451" i="1" s="1"/>
  <c r="H629" i="1" s="1"/>
  <c r="G450" i="1"/>
  <c r="G451" i="1" s="1"/>
  <c r="H630" i="1" s="1"/>
  <c r="J630" i="1" s="1"/>
  <c r="H450" i="1"/>
  <c r="I450" i="1"/>
  <c r="F460" i="1"/>
  <c r="G460" i="1"/>
  <c r="H460" i="1"/>
  <c r="H466" i="1" s="1"/>
  <c r="H614" i="1" s="1"/>
  <c r="I460" i="1"/>
  <c r="I466" i="1" s="1"/>
  <c r="H615" i="1" s="1"/>
  <c r="J615" i="1" s="1"/>
  <c r="J460" i="1"/>
  <c r="J466" i="1" s="1"/>
  <c r="H616" i="1" s="1"/>
  <c r="F464" i="1"/>
  <c r="F466" i="1" s="1"/>
  <c r="H612" i="1" s="1"/>
  <c r="J612" i="1" s="1"/>
  <c r="G464" i="1"/>
  <c r="G466" i="1" s="1"/>
  <c r="H613" i="1" s="1"/>
  <c r="H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G535" i="1" s="1"/>
  <c r="H514" i="1"/>
  <c r="H535" i="1" s="1"/>
  <c r="I514" i="1"/>
  <c r="I535" i="1" s="1"/>
  <c r="J514" i="1"/>
  <c r="K514" i="1"/>
  <c r="L514" i="1"/>
  <c r="F519" i="1"/>
  <c r="G519" i="1"/>
  <c r="H519" i="1"/>
  <c r="I519" i="1"/>
  <c r="J519" i="1"/>
  <c r="K519" i="1"/>
  <c r="K535" i="1" s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J535" i="1"/>
  <c r="L547" i="1"/>
  <c r="L548" i="1"/>
  <c r="L549" i="1"/>
  <c r="F550" i="1"/>
  <c r="G550" i="1"/>
  <c r="H550" i="1"/>
  <c r="I550" i="1"/>
  <c r="J550" i="1"/>
  <c r="J561" i="1" s="1"/>
  <c r="K550" i="1"/>
  <c r="K561" i="1" s="1"/>
  <c r="L550" i="1"/>
  <c r="L552" i="1"/>
  <c r="L553" i="1"/>
  <c r="L554" i="1"/>
  <c r="F555" i="1"/>
  <c r="G555" i="1"/>
  <c r="H555" i="1"/>
  <c r="I555" i="1"/>
  <c r="J555" i="1"/>
  <c r="K555" i="1"/>
  <c r="L555" i="1"/>
  <c r="L557" i="1"/>
  <c r="L560" i="1" s="1"/>
  <c r="L558" i="1"/>
  <c r="L559" i="1"/>
  <c r="F560" i="1"/>
  <c r="G560" i="1"/>
  <c r="H560" i="1"/>
  <c r="I560" i="1"/>
  <c r="J560" i="1"/>
  <c r="K560" i="1"/>
  <c r="F561" i="1"/>
  <c r="G561" i="1"/>
  <c r="H561" i="1"/>
  <c r="I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8" i="1" s="1"/>
  <c r="G637" i="1" s="1"/>
  <c r="J637" i="1" s="1"/>
  <c r="K584" i="1"/>
  <c r="K585" i="1"/>
  <c r="K586" i="1"/>
  <c r="K587" i="1"/>
  <c r="H588" i="1"/>
  <c r="H639" i="1" s="1"/>
  <c r="J639" i="1" s="1"/>
  <c r="I588" i="1"/>
  <c r="J588" i="1"/>
  <c r="K592" i="1"/>
  <c r="K593" i="1"/>
  <c r="K594" i="1"/>
  <c r="H595" i="1"/>
  <c r="I595" i="1"/>
  <c r="J595" i="1"/>
  <c r="K595" i="1"/>
  <c r="G638" i="1" s="1"/>
  <c r="F604" i="1"/>
  <c r="G604" i="1"/>
  <c r="H604" i="1"/>
  <c r="I604" i="1"/>
  <c r="J604" i="1"/>
  <c r="K604" i="1"/>
  <c r="G607" i="1"/>
  <c r="G608" i="1"/>
  <c r="G609" i="1"/>
  <c r="G610" i="1"/>
  <c r="G612" i="1"/>
  <c r="G613" i="1"/>
  <c r="J613" i="1" s="1"/>
  <c r="G614" i="1"/>
  <c r="G615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G629" i="1"/>
  <c r="J629" i="1" s="1"/>
  <c r="G630" i="1"/>
  <c r="G631" i="1"/>
  <c r="G633" i="1"/>
  <c r="J633" i="1" s="1"/>
  <c r="G634" i="1"/>
  <c r="G635" i="1"/>
  <c r="H637" i="1"/>
  <c r="G639" i="1"/>
  <c r="G640" i="1"/>
  <c r="H640" i="1"/>
  <c r="J640" i="1"/>
  <c r="G641" i="1"/>
  <c r="J641" i="1" s="1"/>
  <c r="H641" i="1"/>
  <c r="G642" i="1"/>
  <c r="H642" i="1"/>
  <c r="J642" i="1"/>
  <c r="G643" i="1"/>
  <c r="H643" i="1"/>
  <c r="J643" i="1"/>
  <c r="G644" i="1"/>
  <c r="H644" i="1"/>
  <c r="J644" i="1"/>
  <c r="G645" i="1"/>
  <c r="J645" i="1" s="1"/>
  <c r="H645" i="1"/>
  <c r="G42" i="2" l="1"/>
  <c r="J185" i="1"/>
  <c r="F33" i="13"/>
  <c r="L561" i="1"/>
  <c r="C43" i="2"/>
  <c r="C13" i="13"/>
  <c r="E33" i="13"/>
  <c r="D35" i="13" s="1"/>
  <c r="G19" i="2"/>
  <c r="J19" i="1"/>
  <c r="G611" i="1" s="1"/>
  <c r="I542" i="1"/>
  <c r="K540" i="1"/>
  <c r="F542" i="1"/>
  <c r="F185" i="1"/>
  <c r="G617" i="1" s="1"/>
  <c r="J617" i="1" s="1"/>
  <c r="C133" i="2"/>
  <c r="H650" i="1"/>
  <c r="F96" i="2"/>
  <c r="J632" i="1"/>
  <c r="K539" i="1"/>
  <c r="K542" i="1" s="1"/>
  <c r="L400" i="1"/>
  <c r="H638" i="1"/>
  <c r="J263" i="1"/>
  <c r="E96" i="2"/>
  <c r="C25" i="13"/>
  <c r="H33" i="13"/>
  <c r="J614" i="1"/>
  <c r="D96" i="2"/>
  <c r="J638" i="1"/>
  <c r="G156" i="2"/>
  <c r="L330" i="1"/>
  <c r="L344" i="1" s="1"/>
  <c r="G623" i="1" s="1"/>
  <c r="J623" i="1" s="1"/>
  <c r="D31" i="13"/>
  <c r="C31" i="13" s="1"/>
  <c r="G23" i="2"/>
  <c r="G32" i="2" s="1"/>
  <c r="J33" i="1"/>
  <c r="C39" i="10"/>
  <c r="C38" i="10"/>
  <c r="J610" i="1"/>
  <c r="K541" i="1"/>
  <c r="J609" i="1"/>
  <c r="C54" i="2"/>
  <c r="C55" i="2" s="1"/>
  <c r="C96" i="2" s="1"/>
  <c r="C5" i="13"/>
  <c r="D33" i="13"/>
  <c r="D36" i="13" s="1"/>
  <c r="L519" i="1"/>
  <c r="L535" i="1" s="1"/>
  <c r="C101" i="2"/>
  <c r="L203" i="1"/>
  <c r="C17" i="10"/>
  <c r="E134" i="2"/>
  <c r="E136" i="2" s="1"/>
  <c r="F652" i="1"/>
  <c r="I652" i="1" s="1"/>
  <c r="C16" i="10"/>
  <c r="C106" i="2"/>
  <c r="C25" i="10"/>
  <c r="D119" i="2"/>
  <c r="D120" i="2" s="1"/>
  <c r="D137" i="2" s="1"/>
  <c r="H651" i="1"/>
  <c r="C24" i="10"/>
  <c r="C13" i="10"/>
  <c r="C102" i="2"/>
  <c r="C32" i="10"/>
  <c r="G651" i="1"/>
  <c r="G654" i="1" s="1"/>
  <c r="J43" i="1"/>
  <c r="C111" i="2"/>
  <c r="F651" i="1"/>
  <c r="L354" i="1"/>
  <c r="E116" i="2"/>
  <c r="E120" i="2" s="1"/>
  <c r="E137" i="2" s="1"/>
  <c r="C10" i="10"/>
  <c r="L374" i="1"/>
  <c r="G626" i="1" s="1"/>
  <c r="J626" i="1" s="1"/>
  <c r="C123" i="2"/>
  <c r="D14" i="13"/>
  <c r="C14" i="13" s="1"/>
  <c r="C115" i="2"/>
  <c r="G657" i="1" l="1"/>
  <c r="G662" i="1"/>
  <c r="L249" i="1"/>
  <c r="L263" i="1" s="1"/>
  <c r="G622" i="1" s="1"/>
  <c r="J622" i="1" s="1"/>
  <c r="F650" i="1"/>
  <c r="D38" i="10"/>
  <c r="C107" i="2"/>
  <c r="D39" i="10"/>
  <c r="C136" i="2"/>
  <c r="H654" i="1"/>
  <c r="C41" i="10"/>
  <c r="C27" i="10"/>
  <c r="G625" i="1"/>
  <c r="J625" i="1" s="1"/>
  <c r="I651" i="1"/>
  <c r="G621" i="1"/>
  <c r="J621" i="1" s="1"/>
  <c r="G636" i="1"/>
  <c r="C120" i="2"/>
  <c r="G43" i="2"/>
  <c r="G616" i="1"/>
  <c r="J616" i="1" s="1"/>
  <c r="J44" i="1"/>
  <c r="H611" i="1" s="1"/>
  <c r="G627" i="1"/>
  <c r="J627" i="1" s="1"/>
  <c r="H636" i="1"/>
  <c r="J611" i="1"/>
  <c r="H646" i="1"/>
  <c r="H657" i="1" l="1"/>
  <c r="H662" i="1"/>
  <c r="J636" i="1"/>
  <c r="C137" i="2"/>
  <c r="I650" i="1"/>
  <c r="I654" i="1" s="1"/>
  <c r="F654" i="1"/>
  <c r="D37" i="10"/>
  <c r="D40" i="10"/>
  <c r="D36" i="10"/>
  <c r="D35" i="10"/>
  <c r="D41" i="10" s="1"/>
  <c r="C28" i="10"/>
  <c r="D15" i="10" l="1"/>
  <c r="C30" i="10"/>
  <c r="D22" i="10"/>
  <c r="D18" i="10"/>
  <c r="D26" i="10"/>
  <c r="D20" i="10"/>
  <c r="D19" i="10"/>
  <c r="D21" i="10"/>
  <c r="D23" i="10"/>
  <c r="D12" i="10"/>
  <c r="D11" i="10"/>
  <c r="D10" i="10"/>
  <c r="D28" i="10" s="1"/>
  <c r="D17" i="10"/>
  <c r="D25" i="10"/>
  <c r="D13" i="10"/>
  <c r="D24" i="10"/>
  <c r="D16" i="10"/>
  <c r="F662" i="1"/>
  <c r="C4" i="10" s="1"/>
  <c r="F657" i="1"/>
  <c r="D27" i="10"/>
  <c r="I662" i="1"/>
  <c r="C7" i="10" s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35E74EF2-F7F7-44A9-9F0B-0C55817F0A72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54D7AEAA-F591-4136-8AA9-62E3EE034CD7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BB14D091-8FF7-4C3D-8C6E-C22B35D7F34D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0F7FAD82-937C-4F3C-96A2-833B4B1C4800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C136168A-900F-44A4-AA04-BEC80A2E2A96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6AD8EE2B-52EA-4CA4-BC2B-F79E773F26FB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30E0AD22-A1DF-49ED-956B-3858498DE6F0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CFB5940A-0C07-47DC-A590-0E88B6DDBD84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0FEEE1C3-9BF5-41BB-AD9F-8F6B5A24906B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0D42AA1E-0CA6-4297-A199-A7B85899FF3F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A284E326-82F0-47AD-BE5D-86A60386364E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C0EEA1C7-6F31-4F09-9E48-FB2653694391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<sst xmlns="http://schemas.openxmlformats.org/spreadsheetml/2006/main" count="3864" uniqueCount="898">
  <si>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</si>
  <si>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</si>
  <si>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</si>
  <si>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</si>
  <si>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</si>
  <si>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</si>
  <si>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</si>
  <si>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</si>
  <si>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</si>
  <si>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</si>
  <si>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</si>
  <si>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</si>
  <si>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</si>
  <si>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</si>
  <si>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</si>
  <si>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</si>
  <si>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</si>
  <si>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</si>
  <si>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</si>
  <si>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</si>
  <si>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</si>
  <si>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</si>
  <si>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</si>
  <si>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</si>
  <si>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</si>
  <si>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</si>
  <si>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</si>
  <si>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</si>
  <si>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</si>
  <si>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</si>
  <si>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</si>
  <si>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</si>
  <si>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</si>
  <si>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</si>
  <si>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</si>
  <si>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</si>
  <si>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</si>
  <si>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</si>
  <si>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</si>
  <si>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</si>
  <si>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</si>
  <si>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</si>
  <si>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</si>
  <si>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</si>
  <si>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</si>
  <si>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</si>
  <si>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</si>
  <si>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</si>
  <si>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</si>
  <si>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</si>
  <si>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</si>
  <si>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</si>
  <si>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</si>
  <si>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</si>
  <si>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</si>
  <si>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</si>
  <si>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</si>
  <si>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</si>
  <si>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</si>
  <si>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</si>
  <si>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</si>
  <si>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</si>
  <si>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</si>
  <si>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</si>
  <si>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</si>
  <si>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</si>
  <si>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</si>
  <si>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</si>
  <si>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</si>
  <si>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</si>
  <si>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</si>
  <si>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</si>
  <si>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</si>
  <si>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</si>
  <si>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</si>
  <si>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</si>
  <si>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</si>
  <si>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</si>
  <si>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</si>
  <si>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</si>
  <si>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</si>
  <si>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</si>
  <si>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</si>
  <si>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</si>
  <si>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</si>
  <si>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</si>
  <si>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</si>
  <si>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</si>
  <si>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</si>
  <si>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</si>
  <si>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</si>
  <si>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</si>
  <si>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</si>
  <si>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</si>
  <si>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</si>
  <si>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</si>
  <si>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</si>
  <si>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</si>
  <si>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</si>
  <si>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</si>
  <si>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</si>
  <si>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</si>
  <si>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</si>
  <si>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</si>
  <si>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</si>
  <si>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</si>
  <si>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</si>
  <si>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</si>
  <si>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</si>
  <si>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</si>
  <si>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</si>
  <si>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</si>
  <si>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</si>
  <si>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</si>
  <si>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</si>
  <si>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</si>
  <si>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</si>
  <si>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</si>
  <si>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</si>
  <si>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</si>
  <si>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</si>
  <si>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</si>
  <si>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</si>
  <si>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</si>
  <si>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</si>
  <si>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</si>
  <si>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</si>
  <si>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</si>
  <si>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</si>
  <si>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</si>
  <si>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</si>
  <si>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</si>
  <si>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</si>
  <si>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</si>
  <si>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</si>
  <si>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</si>
  <si>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</si>
  <si>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</si>
  <si>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</si>
  <si>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</si>
  <si>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</si>
  <si>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</si>
  <si>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</si>
  <si>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</si>
  <si>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</si>
  <si>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</si>
  <si>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</si>
  <si>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</si>
  <si>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</si>
  <si>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</si>
  <si>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</si>
  <si>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</si>
  <si>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</si>
  <si>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</si>
  <si>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</si>
  <si>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</si>
  <si>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</si>
  <si>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</si>
  <si>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</si>
  <si>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</si>
  <si>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</si>
  <si>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</si>
  <si>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</si>
  <si>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</si>
  <si>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</si>
  <si>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</si>
  <si>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</si>
  <si>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</si>
  <si>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</si>
  <si>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</si>
  <si>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</si>
  <si>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</si>
  <si>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</si>
  <si>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</si>
  <si>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</si>
  <si>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</si>
  <si>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</si>
  <si>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</si>
  <si>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</si>
  <si>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</si>
  <si>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</si>
  <si>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</si>
  <si>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</si>
  <si>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</si>
  <si>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</si>
  <si>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</si>
  <si>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</si>
  <si>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</si>
  <si>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</si>
  <si>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</si>
  <si>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</si>
  <si>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</si>
  <si>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</si>
  <si>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</si>
  <si>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</si>
  <si>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</si>
  <si>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</si>
  <si>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</si>
  <si>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</si>
  <si>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</si>
  <si>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</si>
  <si>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</si>
  <si>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</si>
  <si>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</si>
  <si>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</si>
  <si>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</si>
  <si>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</si>
  <si>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</si>
  <si>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</si>
  <si>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</si>
  <si>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</si>
  <si>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</si>
  <si>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</si>
  <si>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</si>
  <si>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</si>
  <si>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</si>
  <si>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</si>
  <si>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</si>
  <si>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</si>
  <si>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</si>
  <si>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</si>
  <si>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</si>
  <si>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</si>
  <si>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</si>
  <si>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</si>
  <si>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</si>
  <si>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</si>
  <si>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</si>
  <si>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</si>
  <si>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</si>
  <si>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</si>
  <si>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</si>
  <si>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</si>
  <si>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</si>
  <si>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</si>
  <si>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</si>
  <si>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</si>
  <si>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</si>
  <si>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</si>
  <si>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</si>
  <si>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</si>
  <si>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</si>
  <si>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</si>
  <si>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</si>
  <si>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</si>
  <si>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</si>
  <si>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</si>
  <si>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</si>
  <si>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</si>
  <si>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</si>
  <si>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</si>
  <si>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</si>
  <si>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</si>
  <si>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</si>
  <si>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</si>
  <si>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</si>
  <si>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</si>
  <si>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</si>
  <si>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</si>
  <si>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</si>
  <si>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</si>
  <si>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</si>
  <si>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</si>
  <si>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</si>
  <si>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</si>
  <si>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</si>
  <si>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</si>
  <si>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</si>
  <si>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</si>
  <si>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</si>
  <si>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</si>
  <si>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</si>
  <si>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</si>
  <si>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</si>
  <si>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</si>
  <si>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</si>
  <si>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</si>
  <si>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</si>
  <si>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</si>
  <si>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</si>
  <si>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</si>
  <si>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</si>
  <si>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</si>
  <si>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</si>
  <si>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</si>
  <si>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</si>
  <si>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</si>
  <si>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</si>
  <si>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</si>
  <si>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</si>
  <si>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</si>
  <si>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</si>
  <si>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</si>
  <si>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</si>
  <si>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</si>
  <si>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</si>
  <si>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</si>
  <si>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</si>
  <si>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</si>
  <si>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</si>
  <si>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</si>
  <si>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</si>
  <si>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</si>
  <si>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</si>
  <si>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</si>
  <si>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</si>
  <si>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</si>
  <si>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</si>
  <si>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</si>
  <si>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</si>
  <si>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</si>
  <si>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</si>
  <si>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</si>
  <si>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</si>
  <si>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</si>
  <si>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</si>
  <si>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</si>
  <si>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</si>
  <si>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</si>
  <si>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</si>
  <si>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</si>
  <si>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</si>
  <si>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</si>
  <si>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</si>
  <si>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</si>
  <si>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</si>
  <si>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</si>
  <si>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</si>
  <si>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</si>
  <si>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</si>
  <si>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</si>
  <si>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</si>
  <si>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</si>
  <si>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</si>
  <si>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</si>
  <si>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</si>
  <si>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</si>
  <si>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</si>
  <si>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</si>
  <si>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</si>
  <si>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</si>
  <si>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</si>
  <si>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</si>
  <si>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</si>
  <si>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</si>
  <si>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</si>
  <si>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</si>
  <si>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</si>
  <si>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</si>
  <si>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</si>
  <si>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</si>
  <si>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</si>
  <si>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</si>
  <si>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</si>
  <si>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</si>
  <si>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</si>
  <si>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</si>
  <si>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</si>
  <si>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</si>
  <si>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</si>
  <si>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</si>
  <si>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</si>
  <si>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</si>
  <si>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</si>
  <si>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</si>
  <si>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</si>
  <si>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</si>
  <si>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</si>
  <si>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</si>
  <si>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</si>
  <si>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</si>
  <si>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</si>
  <si>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</si>
  <si>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</si>
  <si>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</si>
  <si>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</si>
  <si>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</si>
  <si>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</si>
  <si>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</si>
  <si>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</si>
  <si>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</si>
  <si>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</si>
  <si>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</si>
  <si>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</si>
  <si>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</si>
  <si>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</si>
  <si>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</si>
  <si>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</si>
  <si>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</si>
  <si>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</si>
  <si>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</si>
  <si>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</si>
  <si>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</si>
  <si>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</si>
  <si>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</si>
  <si>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</si>
  <si>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</si>
  <si>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</si>
  <si>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</si>
  <si>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</si>
  <si>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</si>
  <si>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</si>
  <si>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</si>
  <si>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</si>
  <si>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</si>
  <si>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</si>
  <si>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</si>
  <si>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</si>
  <si>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</si>
  <si>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</si>
  <si>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</si>
  <si>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</si>
  <si>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</si>
  <si>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</si>
  <si>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</si>
  <si>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</si>
  <si>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</si>
  <si>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</si>
  <si>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</si>
  <si>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</si>
  <si>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</si>
  <si>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</si>
  <si>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</si>
  <si>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</si>
  <si>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</si>
  <si>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</si>
  <si>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</si>
  <si>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</si>
  <si>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</si>
  <si>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</si>
  <si>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</si>
  <si>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</si>
  <si>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</si>
  <si>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</si>
  <si>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</si>
  <si>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</si>
  <si>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</si>
  <si>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</si>
  <si>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</si>
  <si>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</si>
  <si>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</si>
  <si>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</si>
  <si>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</si>
  <si>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</si>
  <si>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</si>
  <si>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</si>
  <si>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</si>
  <si>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</si>
  <si>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</si>
  <si>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</si>
  <si>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</si>
  <si>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</si>
  <si>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</si>
  <si>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</si>
  <si>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</si>
  <si>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</si>
  <si>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</si>
  <si>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</si>
  <si>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</si>
  <si>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</si>
  <si>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</si>
  <si>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</si>
  <si>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</si>
  <si>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</si>
  <si>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</si>
  <si>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</si>
  <si>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</si>
  <si>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</si>
  <si>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</si>
  <si>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</si>
  <si>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</si>
  <si>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</si>
  <si>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</si>
  <si>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</si>
  <si>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</si>
  <si>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</si>
  <si>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</si>
  <si>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</si>
  <si>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</si>
  <si>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</si>
  <si>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</si>
  <si>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</si>
  <si>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</si>
  <si>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</si>
  <si>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</si>
  <si>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</si>
  <si>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</si>
  <si>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</si>
  <si>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</si>
  <si>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</si>
  <si>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</si>
  <si>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</si>
  <si>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</si>
  <si>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</si>
  <si>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</si>
  <si>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</si>
  <si>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</si>
  <si>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</si>
  <si>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</si>
  <si>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</si>
  <si>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</si>
  <si>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</si>
  <si>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</si>
  <si>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</si>
  <si>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</si>
  <si>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</si>
  <si>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</si>
  <si>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</si>
  <si>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</si>
  <si>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</si>
  <si>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</si>
  <si>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</si>
  <si>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</si>
  <si>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</si>
  <si>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</si>
  <si>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</si>
  <si>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</si>
  <si>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</si>
  <si>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</si>
  <si>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</si>
  <si>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</si>
  <si>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</si>
  <si>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</si>
  <si>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</si>
  <si>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</si>
  <si>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</si>
  <si>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</si>
  <si>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</si>
  <si>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</si>
  <si>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</si>
  <si>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</si>
  <si>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</si>
  <si>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</si>
  <si>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</si>
  <si>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</si>
  <si>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</si>
  <si>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</si>
  <si>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</si>
  <si>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</si>
  <si>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</si>
  <si>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</si>
  <si>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</si>
  <si>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</si>
  <si>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</si>
  <si>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</si>
  <si>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</si>
  <si>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</si>
  <si>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</si>
  <si>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</si>
  <si>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</si>
  <si>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</si>
  <si>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</si>
  <si>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</si>
  <si>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</si>
  <si>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</si>
  <si>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</si>
  <si>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</si>
  <si>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</si>
  <si>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</si>
  <si>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</si>
  <si>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</si>
  <si>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</si>
  <si>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</si>
  <si>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</si>
  <si>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</si>
  <si>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</si>
  <si>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</si>
  <si>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</si>
  <si>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</si>
  <si>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</si>
  <si>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</si>
  <si>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</si>
  <si>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</si>
  <si>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</si>
  <si>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</si>
  <si>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</si>
  <si>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</si>
  <si>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</si>
  <si>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</si>
  <si>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</si>
  <si>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</si>
  <si>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</si>
  <si>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</si>
  <si>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</si>
  <si>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</si>
  <si>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</si>
  <si>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</si>
  <si>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</si>
  <si>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</si>
  <si>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</si>
  <si>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</si>
  <si>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</si>
  <si>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</si>
  <si>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</si>
  <si>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</si>
  <si>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</si>
  <si>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</si>
  <si>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</si>
  <si>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</si>
  <si>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</si>
  <si>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</si>
  <si>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</si>
  <si>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</si>
  <si>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</si>
  <si>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</si>
  <si>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</si>
  <si>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</si>
  <si>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</si>
  <si>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</si>
  <si>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</si>
  <si>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</si>
  <si>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</si>
  <si>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</si>
  <si>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</si>
  <si>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</si>
  <si>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</si>
  <si>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</si>
  <si>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</si>
  <si>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</si>
  <si>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</si>
  <si>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</si>
  <si>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</si>
  <si>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</si>
  <si>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</si>
  <si>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</si>
  <si>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</si>
  <si>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</si>
  <si>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</si>
  <si>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</si>
  <si>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</si>
  <si>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</si>
  <si>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</si>
  <si>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</si>
  <si>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</si>
  <si>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</si>
  <si>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</si>
  <si>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</si>
  <si>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</si>
  <si>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</si>
  <si>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</si>
  <si>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</si>
  <si>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</si>
  <si>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</si>
  <si>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</si>
  <si>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</si>
  <si>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</si>
  <si>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</si>
  <si>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</si>
  <si>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</si>
  <si>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</si>
  <si>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</si>
  <si>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</si>
  <si>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</si>
  <si>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</si>
  <si>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</si>
  <si>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</si>
  <si>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</si>
  <si>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</si>
  <si>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</si>
  <si>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</si>
  <si>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</si>
  <si>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</si>
  <si>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</si>
  <si>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</si>
  <si>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</si>
  <si>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</si>
  <si>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</si>
  <si>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</si>
  <si>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</si>
  <si>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</si>
  <si>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</si>
  <si>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</si>
  <si>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</si>
  <si>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</si>
  <si>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</si>
  <si>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</si>
  <si>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</si>
  <si>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</si>
  <si>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</si>
  <si>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</si>
  <si>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</si>
  <si>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</si>
  <si>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</si>
  <si>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</si>
  <si>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</si>
  <si>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</si>
  <si>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</si>
  <si>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</si>
  <si>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</si>
  <si>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</si>
  <si>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</si>
  <si>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</si>
  <si>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</si>
  <si>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</si>
  <si>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</si>
  <si>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</si>
  <si>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</si>
  <si>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</si>
  <si>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</si>
  <si>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</si>
  <si>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</si>
  <si>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</si>
  <si>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</si>
  <si>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</si>
  <si>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</si>
  <si>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</si>
  <si>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</si>
  <si>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</si>
  <si>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</si>
  <si>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</si>
  <si>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</si>
  <si>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</si>
  <si>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</si>
  <si>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</si>
  <si>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</si>
  <si>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</si>
  <si>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</si>
  <si>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</si>
  <si>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</si>
  <si>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</si>
  <si>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</si>
  <si>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</si>
  <si>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</si>
  <si>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</si>
  <si>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</si>
  <si>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</si>
  <si>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</si>
  <si>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</si>
  <si>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</si>
  <si>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</si>
  <si>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</si>
  <si>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</si>
  <si>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</si>
  <si>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</si>
  <si>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</si>
  <si>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</si>
  <si>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</si>
  <si>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</si>
  <si>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</si>
  <si>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</si>
  <si>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</si>
  <si>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</si>
  <si>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</si>
  <si>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</si>
  <si>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</si>
  <si>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</si>
  <si>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</si>
  <si>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</si>
  <si>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</si>
  <si>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</si>
  <si>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</si>
  <si>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</si>
  <si>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</si>
  <si>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</si>
  <si>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</si>
  <si>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</si>
  <si>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</si>
  <si>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</si>
  <si>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</si>
  <si>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</si>
  <si>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</si>
  <si>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</si>
  <si>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</si>
  <si>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</si>
  <si>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</si>
  <si>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</si>
  <si>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</si>
  <si>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</si>
  <si>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</si>
  <si>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</si>
  <si>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</si>
  <si>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</si>
  <si>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</si>
  <si>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</si>
  <si>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</si>
  <si>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</si>
  <si>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</si>
  <si>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</si>
  <si>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</si>
  <si>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</si>
  <si>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</si>
  <si>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</si>
  <si>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</si>
  <si>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</si>
  <si>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</si>
  <si>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</si>
  <si>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</si>
  <si>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</si>
  <si>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</si>
  <si>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</si>
  <si>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</si>
  <si>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</si>
  <si>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</si>
  <si>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</si>
  <si>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</si>
  <si>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</si>
  <si>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</si>
  <si>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</si>
  <si>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</si>
  <si>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</si>
  <si>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</si>
  <si>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</si>
  <si>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</si>
  <si>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</si>
  <si>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</si>
  <si>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</si>
  <si>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</si>
  <si>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</si>
  <si>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</si>
  <si>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</si>
  <si>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</si>
  <si>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</si>
  <si>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</si>
  <si>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</si>
  <si>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</si>
  <si>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</si>
  <si>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</si>
  <si>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</si>
  <si>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</si>
  <si>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</si>
  <si>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</si>
  <si>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</si>
  <si>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</si>
  <si>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</si>
  <si>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</si>
  <si>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</si>
  <si>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</si>
  <si>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</si>
  <si>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</si>
  <si>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</si>
  <si>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</si>
  <si>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</si>
  <si>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</si>
  <si>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</si>
  <si>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</si>
  <si>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</si>
  <si>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</si>
  <si>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</si>
  <si>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</si>
  <si>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</si>
  <si>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</si>
  <si>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</si>
  <si>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</si>
  <si>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</si>
  <si>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</si>
  <si>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</si>
  <si>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</si>
  <si>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</si>
  <si>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</si>
  <si>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</si>
  <si>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</si>
  <si>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</si>
  <si>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</si>
  <si>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</si>
  <si>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</si>
  <si>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</si>
  <si>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</si>
  <si>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</si>
  <si>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</si>
  <si>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</si>
  <si>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</si>
  <si>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</si>
  <si>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</si>
  <si>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</si>
  <si>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</si>
  <si>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</si>
  <si>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</si>
  <si>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</si>
  <si>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</si>
  <si>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</si>
  <si>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</si>
  <si>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</si>
  <si>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</si>
  <si>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</si>
  <si>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</si>
  <si>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</si>
  <si>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</si>
  <si>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</si>
  <si>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</si>
  <si>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</si>
  <si>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</si>
  <si>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</si>
  <si>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</si>
  <si>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</si>
  <si>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</si>
  <si>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</si>
  <si>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</si>
  <si>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</si>
  <si>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</si>
  <si>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</si>
  <si>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</si>
  <si>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</si>
  <si>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</si>
  <si>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</si>
  <si>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8/2001</t>
  </si>
  <si>
    <t>8/2021</t>
  </si>
  <si>
    <t>Brentwood SD</t>
  </si>
  <si>
    <t>Field trip expenditures covered through PTA.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</si>
</sst>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E83A2-F802-4449-A47D-ED0D58794EB9}">
  <sheetPr transitionEvaluation="1" transitionEntry="1" codeName="Sheet1">
    <tabColor indexed="56"/>
  </sheetPr>
  <dimension ref="A1:AQ666"/>
  <sheetViews>
    <sheetView tabSelected="1" workbookViewId="0">
      <pane xSplit="5" ySplit="3" topLeftCell="F645" activePane="bottomRight" state="frozen"/>
      <selection pane="topRight" activeCell="F1" sqref="F1"/>
      <selection pane="bottomLeft" activeCell="A4" sqref="A4"/>
      <selection pane="bottomRight" activeCell="F655" sqref="F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63</v>
      </c>
      <c r="C2" s="21">
        <v>63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403513.66</v>
      </c>
      <c r="G9" s="18"/>
      <c r="H9" s="18">
        <v>10983.53</v>
      </c>
      <c r="I9" s="18"/>
      <c r="J9" s="67">
        <f>SUM(I431)</f>
        <v>360028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>
        <v>53070.73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8111.9</v>
      </c>
      <c r="G14" s="18">
        <v>4104.68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5040.83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411625.56</v>
      </c>
      <c r="G19" s="41">
        <f>SUM(G9:G18)</f>
        <v>62216.240000000005</v>
      </c>
      <c r="H19" s="41">
        <f>SUM(H9:H18)</f>
        <v>10983.53</v>
      </c>
      <c r="I19" s="41">
        <f>SUM(I9:I18)</f>
        <v>0</v>
      </c>
      <c r="J19" s="41">
        <f>SUM(J9:J18)</f>
        <v>360028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64054.26</v>
      </c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163237.07</v>
      </c>
      <c r="G25" s="18">
        <v>11301.46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 t="s">
        <v>310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19874.740000000002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247166.07</v>
      </c>
      <c r="G33" s="41">
        <f>SUM(G23:G32)</f>
        <v>11301.46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50914.78</v>
      </c>
      <c r="H41" s="18">
        <v>10983.53</v>
      </c>
      <c r="I41" s="18"/>
      <c r="J41" s="13">
        <f>SUM(I449)</f>
        <v>360028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164459.49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164459.49</v>
      </c>
      <c r="G43" s="41">
        <f>SUM(G35:G42)</f>
        <v>50914.78</v>
      </c>
      <c r="H43" s="41">
        <f>SUM(H35:H42)</f>
        <v>10983.53</v>
      </c>
      <c r="I43" s="41">
        <f>SUM(I35:I42)</f>
        <v>0</v>
      </c>
      <c r="J43" s="41">
        <f>SUM(J35:J42)</f>
        <v>360028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411625.56</v>
      </c>
      <c r="G44" s="41">
        <f>G43+G33</f>
        <v>62216.24</v>
      </c>
      <c r="H44" s="41">
        <f>H43+H33</f>
        <v>10983.53</v>
      </c>
      <c r="I44" s="41">
        <f>I43+I33</f>
        <v>0</v>
      </c>
      <c r="J44" s="41">
        <f>J43+J33</f>
        <v>360028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3271356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3271356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13300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13300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774.26</v>
      </c>
      <c r="G88" s="18"/>
      <c r="H88" s="18"/>
      <c r="I88" s="18"/>
      <c r="J88" s="18">
        <v>954.87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101978.04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9699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7295.59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8069.85</v>
      </c>
      <c r="G103" s="41">
        <f>SUM(G88:G102)</f>
        <v>101978.04</v>
      </c>
      <c r="H103" s="41">
        <f>SUM(H88:H102)</f>
        <v>9699</v>
      </c>
      <c r="I103" s="41">
        <f>SUM(I88:I102)</f>
        <v>0</v>
      </c>
      <c r="J103" s="41">
        <f>SUM(J88:J102)</f>
        <v>954.87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3292725.85</v>
      </c>
      <c r="G104" s="41">
        <f>G52+G103</f>
        <v>101978.04</v>
      </c>
      <c r="H104" s="41">
        <f>H52+H71+H86+H103</f>
        <v>9699</v>
      </c>
      <c r="I104" s="41">
        <f>I52+I103</f>
        <v>0</v>
      </c>
      <c r="J104" s="41">
        <f>J52+J103</f>
        <v>954.87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595996.80000000005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499284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228666.2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1323947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94005.78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17420.45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1446.78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111426.23</v>
      </c>
      <c r="G128" s="41">
        <f>SUM(G115:G127)</f>
        <v>1446.78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1435373.23</v>
      </c>
      <c r="G132" s="41">
        <f>G113+SUM(G128:G129)</f>
        <v>1446.78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21205.41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53186.53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53186.53</v>
      </c>
      <c r="G154" s="41">
        <f>SUM(G142:G153)</f>
        <v>21205.41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53186.53</v>
      </c>
      <c r="G161" s="41">
        <f>G139+G154+SUM(G155:G160)</f>
        <v>21205.41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4781285.6100000003</v>
      </c>
      <c r="G185" s="47">
        <f>G104+G132+G161+G184</f>
        <v>124630.23</v>
      </c>
      <c r="H185" s="47">
        <f>H104+H132+H161+H184</f>
        <v>9699</v>
      </c>
      <c r="I185" s="47">
        <f>I104+I132+I161+I184</f>
        <v>0</v>
      </c>
      <c r="J185" s="47">
        <f>J104+J132+J184</f>
        <v>954.87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1566894.6</v>
      </c>
      <c r="G189" s="18">
        <v>529103.4</v>
      </c>
      <c r="H189" s="18">
        <v>886</v>
      </c>
      <c r="I189" s="18">
        <v>57923.35</v>
      </c>
      <c r="J189" s="18">
        <v>6792.22</v>
      </c>
      <c r="K189" s="18"/>
      <c r="L189" s="19">
        <f>SUM(F189:K189)</f>
        <v>2161599.5700000003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603382.15</v>
      </c>
      <c r="G190" s="18">
        <v>131445.46</v>
      </c>
      <c r="H190" s="18">
        <v>4875.84</v>
      </c>
      <c r="I190" s="18">
        <v>6634.08</v>
      </c>
      <c r="J190" s="18">
        <v>5128.99</v>
      </c>
      <c r="K190" s="18"/>
      <c r="L190" s="19">
        <f>SUM(F190:K190)</f>
        <v>751466.5199999999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>
        <v>1270</v>
      </c>
      <c r="L192" s="19">
        <f>SUM(F192:K192)</f>
        <v>1270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340425.36</v>
      </c>
      <c r="G194" s="18">
        <v>74869.5</v>
      </c>
      <c r="H194" s="18">
        <v>9326.73</v>
      </c>
      <c r="I194" s="18">
        <v>3359.09</v>
      </c>
      <c r="J194" s="18">
        <v>1978.98</v>
      </c>
      <c r="K194" s="18"/>
      <c r="L194" s="19">
        <f t="shared" ref="L194:L200" si="0">SUM(F194:K194)</f>
        <v>429959.66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88072.9</v>
      </c>
      <c r="G195" s="18">
        <v>29193.9</v>
      </c>
      <c r="H195" s="18">
        <v>26437.85</v>
      </c>
      <c r="I195" s="18">
        <v>14147.29</v>
      </c>
      <c r="J195" s="18">
        <v>12834.55</v>
      </c>
      <c r="K195" s="18"/>
      <c r="L195" s="19">
        <f t="shared" si="0"/>
        <v>170686.49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1198</v>
      </c>
      <c r="G196" s="18">
        <v>3443.65</v>
      </c>
      <c r="H196" s="18">
        <v>124186.41</v>
      </c>
      <c r="I196" s="18"/>
      <c r="J196" s="18"/>
      <c r="K196" s="18"/>
      <c r="L196" s="19">
        <f t="shared" si="0"/>
        <v>128828.06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247161</v>
      </c>
      <c r="G197" s="18">
        <v>23812.53</v>
      </c>
      <c r="H197" s="18">
        <v>18755.02</v>
      </c>
      <c r="I197" s="18">
        <v>1498.18</v>
      </c>
      <c r="J197" s="18">
        <v>155.94999999999999</v>
      </c>
      <c r="K197" s="18">
        <v>1708</v>
      </c>
      <c r="L197" s="19">
        <f t="shared" si="0"/>
        <v>293090.68000000005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149899.60999999999</v>
      </c>
      <c r="G199" s="18">
        <v>18217.169999999998</v>
      </c>
      <c r="H199" s="18">
        <v>75399.81</v>
      </c>
      <c r="I199" s="18">
        <v>119501.45</v>
      </c>
      <c r="J199" s="18"/>
      <c r="K199" s="18"/>
      <c r="L199" s="19">
        <f t="shared" si="0"/>
        <v>363018.04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174134.61</v>
      </c>
      <c r="I200" s="18"/>
      <c r="J200" s="18"/>
      <c r="K200" s="18"/>
      <c r="L200" s="19">
        <f t="shared" si="0"/>
        <v>174134.61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2997033.6199999996</v>
      </c>
      <c r="G203" s="41">
        <f t="shared" si="1"/>
        <v>810085.6100000001</v>
      </c>
      <c r="H203" s="41">
        <f t="shared" si="1"/>
        <v>434002.27</v>
      </c>
      <c r="I203" s="41">
        <f t="shared" si="1"/>
        <v>203063.44</v>
      </c>
      <c r="J203" s="41">
        <f t="shared" si="1"/>
        <v>26890.69</v>
      </c>
      <c r="K203" s="41">
        <f t="shared" si="1"/>
        <v>2978</v>
      </c>
      <c r="L203" s="41">
        <f t="shared" si="1"/>
        <v>4474053.6300000008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2997033.6199999996</v>
      </c>
      <c r="G249" s="41">
        <f t="shared" si="8"/>
        <v>810085.6100000001</v>
      </c>
      <c r="H249" s="41">
        <f t="shared" si="8"/>
        <v>434002.27</v>
      </c>
      <c r="I249" s="41">
        <f t="shared" si="8"/>
        <v>203063.44</v>
      </c>
      <c r="J249" s="41">
        <f t="shared" si="8"/>
        <v>26890.69</v>
      </c>
      <c r="K249" s="41">
        <f t="shared" si="8"/>
        <v>2978</v>
      </c>
      <c r="L249" s="41">
        <f t="shared" si="8"/>
        <v>4474053.6300000008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233530.27</v>
      </c>
      <c r="L252" s="19">
        <f>SUM(F252:K252)</f>
        <v>233530.27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109324.74</v>
      </c>
      <c r="L253" s="19">
        <f>SUM(F253:K253)</f>
        <v>109324.74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342855.01</v>
      </c>
      <c r="L262" s="41">
        <f t="shared" si="9"/>
        <v>342855.01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2997033.6199999996</v>
      </c>
      <c r="G263" s="42">
        <f t="shared" si="11"/>
        <v>810085.6100000001</v>
      </c>
      <c r="H263" s="42">
        <f t="shared" si="11"/>
        <v>434002.27</v>
      </c>
      <c r="I263" s="42">
        <f t="shared" si="11"/>
        <v>203063.44</v>
      </c>
      <c r="J263" s="42">
        <f t="shared" si="11"/>
        <v>26890.69</v>
      </c>
      <c r="K263" s="42">
        <f t="shared" si="11"/>
        <v>345833.01</v>
      </c>
      <c r="L263" s="42">
        <f t="shared" si="11"/>
        <v>4816908.6400000006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7124.28</v>
      </c>
      <c r="G268" s="18"/>
      <c r="H268" s="18"/>
      <c r="I268" s="18"/>
      <c r="J268" s="18"/>
      <c r="K268" s="18"/>
      <c r="L268" s="19">
        <f>SUM(F268:K268)</f>
        <v>7124.28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7124.28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7124.28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7124.28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7124.28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7124.28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7124.28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50700.82</v>
      </c>
      <c r="G350" s="18">
        <v>5677.98</v>
      </c>
      <c r="H350" s="18">
        <v>1935.14</v>
      </c>
      <c r="I350" s="18">
        <v>50129.55</v>
      </c>
      <c r="J350" s="18"/>
      <c r="K350" s="18"/>
      <c r="L350" s="13">
        <f>SUM(F350:K350)</f>
        <v>108443.49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50700.82</v>
      </c>
      <c r="G354" s="47">
        <f t="shared" si="22"/>
        <v>5677.98</v>
      </c>
      <c r="H354" s="47">
        <f t="shared" si="22"/>
        <v>1935.14</v>
      </c>
      <c r="I354" s="47">
        <f t="shared" si="22"/>
        <v>50129.55</v>
      </c>
      <c r="J354" s="47">
        <f t="shared" si="22"/>
        <v>0</v>
      </c>
      <c r="K354" s="47">
        <f t="shared" si="22"/>
        <v>0</v>
      </c>
      <c r="L354" s="47">
        <f t="shared" si="22"/>
        <v>108443.49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46502.54</v>
      </c>
      <c r="G359" s="18"/>
      <c r="H359" s="18"/>
      <c r="I359" s="56">
        <f>SUM(F359:H359)</f>
        <v>46502.54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3627.01</v>
      </c>
      <c r="G360" s="63"/>
      <c r="H360" s="63"/>
      <c r="I360" s="56">
        <f>SUM(F360:H360)</f>
        <v>3627.01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50129.55</v>
      </c>
      <c r="G361" s="47">
        <f>SUM(G359:G360)</f>
        <v>0</v>
      </c>
      <c r="H361" s="47">
        <f>SUM(H359:H360)</f>
        <v>0</v>
      </c>
      <c r="I361" s="47">
        <f>SUM(I359:I360)</f>
        <v>50129.55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685.1</v>
      </c>
      <c r="I380" s="18"/>
      <c r="J380" s="24" t="s">
        <v>312</v>
      </c>
      <c r="K380" s="24" t="s">
        <v>312</v>
      </c>
      <c r="L380" s="56">
        <f t="shared" si="25"/>
        <v>685.1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 t="s">
        <v>310</v>
      </c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685.1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685.1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105</v>
      </c>
      <c r="I388" s="18"/>
      <c r="J388" s="24" t="s">
        <v>312</v>
      </c>
      <c r="K388" s="24" t="s">
        <v>312</v>
      </c>
      <c r="L388" s="56">
        <f t="shared" si="26"/>
        <v>105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164.77</v>
      </c>
      <c r="I389" s="18"/>
      <c r="J389" s="24" t="s">
        <v>312</v>
      </c>
      <c r="K389" s="24" t="s">
        <v>312</v>
      </c>
      <c r="L389" s="56">
        <f t="shared" si="26"/>
        <v>164.77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269.77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269.77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954.87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954.87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>
        <v>6800</v>
      </c>
      <c r="K414" s="18"/>
      <c r="L414" s="56">
        <f t="shared" si="29"/>
        <v>6800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6800</v>
      </c>
      <c r="K419" s="47">
        <f t="shared" si="30"/>
        <v>0</v>
      </c>
      <c r="L419" s="47">
        <f t="shared" si="30"/>
        <v>6800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6800</v>
      </c>
      <c r="K426" s="47">
        <f t="shared" si="32"/>
        <v>0</v>
      </c>
      <c r="L426" s="47">
        <f t="shared" si="32"/>
        <v>6800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360028</v>
      </c>
      <c r="G431" s="18"/>
      <c r="H431" s="18"/>
      <c r="I431" s="56">
        <f t="shared" ref="I431:I437" si="33">SUM(F431:H431)</f>
        <v>360028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360028</v>
      </c>
      <c r="G438" s="13">
        <f>SUM(G431:G437)</f>
        <v>0</v>
      </c>
      <c r="H438" s="13">
        <f>SUM(H431:H437)</f>
        <v>0</v>
      </c>
      <c r="I438" s="13">
        <f>SUM(I431:I437)</f>
        <v>360028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360028</v>
      </c>
      <c r="G449" s="18"/>
      <c r="H449" s="18"/>
      <c r="I449" s="56">
        <f>SUM(F449:H449)</f>
        <v>360028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360028</v>
      </c>
      <c r="G450" s="83">
        <f>SUM(G446:G449)</f>
        <v>0</v>
      </c>
      <c r="H450" s="83">
        <f>SUM(H446:H449)</f>
        <v>0</v>
      </c>
      <c r="I450" s="83">
        <f>SUM(I446:I449)</f>
        <v>360028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360028</v>
      </c>
      <c r="G451" s="42">
        <f>G444+G450</f>
        <v>0</v>
      </c>
      <c r="H451" s="42">
        <f>H444+H450</f>
        <v>0</v>
      </c>
      <c r="I451" s="42">
        <f>I444+I450</f>
        <v>360028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200082.52</v>
      </c>
      <c r="G455" s="18">
        <v>34728.04</v>
      </c>
      <c r="H455" s="18">
        <v>8408.81</v>
      </c>
      <c r="I455" s="18"/>
      <c r="J455" s="18">
        <v>365873.13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4781285.6100000003</v>
      </c>
      <c r="G458" s="18">
        <v>124630.23</v>
      </c>
      <c r="H458" s="18">
        <v>9699</v>
      </c>
      <c r="I458" s="18"/>
      <c r="J458" s="18">
        <v>954.87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4781285.6100000003</v>
      </c>
      <c r="G460" s="53">
        <f>SUM(G458:G459)</f>
        <v>124630.23</v>
      </c>
      <c r="H460" s="53">
        <f>SUM(H458:H459)</f>
        <v>9699</v>
      </c>
      <c r="I460" s="53">
        <f>SUM(I458:I459)</f>
        <v>0</v>
      </c>
      <c r="J460" s="53">
        <f>SUM(J458:J459)</f>
        <v>954.87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4816908.6399999997</v>
      </c>
      <c r="G462" s="18">
        <v>108443.49</v>
      </c>
      <c r="H462" s="18">
        <v>7124.28</v>
      </c>
      <c r="I462" s="18"/>
      <c r="J462" s="18">
        <v>6800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4816908.6399999997</v>
      </c>
      <c r="G464" s="53">
        <f>SUM(G462:G463)</f>
        <v>108443.49</v>
      </c>
      <c r="H464" s="53">
        <f>SUM(H462:H463)</f>
        <v>7124.28</v>
      </c>
      <c r="I464" s="53">
        <f>SUM(I462:I463)</f>
        <v>0</v>
      </c>
      <c r="J464" s="53">
        <f>SUM(J462:J463)</f>
        <v>6800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164459.49000000022</v>
      </c>
      <c r="G466" s="53">
        <f>(G455+G460)- G464</f>
        <v>50914.779999999984</v>
      </c>
      <c r="H466" s="53">
        <f>(H455+H460)- H464</f>
        <v>10983.529999999999</v>
      </c>
      <c r="I466" s="53">
        <f>(I455+I460)- I464</f>
        <v>0</v>
      </c>
      <c r="J466" s="53">
        <f>(J455+J460)- J464</f>
        <v>360028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4410000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4.76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2377031.59</v>
      </c>
      <c r="G485" s="18"/>
      <c r="H485" s="18"/>
      <c r="I485" s="18"/>
      <c r="J485" s="18"/>
      <c r="K485" s="53">
        <f>SUM(F485:J485)</f>
        <v>2377031.59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f>F485-F488</f>
        <v>233530.27000000002</v>
      </c>
      <c r="G487" s="18"/>
      <c r="H487" s="18"/>
      <c r="I487" s="18"/>
      <c r="J487" s="18"/>
      <c r="K487" s="53">
        <f t="shared" si="34"/>
        <v>233530.27000000002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2143501.3199999998</v>
      </c>
      <c r="G488" s="205"/>
      <c r="H488" s="205"/>
      <c r="I488" s="205"/>
      <c r="J488" s="205"/>
      <c r="K488" s="206">
        <f t="shared" si="34"/>
        <v>2143501.3199999998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2019296.82</v>
      </c>
      <c r="G489" s="18"/>
      <c r="H489" s="18"/>
      <c r="I489" s="18"/>
      <c r="J489" s="18"/>
      <c r="K489" s="53">
        <f t="shared" si="34"/>
        <v>2019296.82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4162798.1399999997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4162798.1399999997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223765.53</v>
      </c>
      <c r="G491" s="205"/>
      <c r="H491" s="205"/>
      <c r="I491" s="205"/>
      <c r="J491" s="205"/>
      <c r="K491" s="206">
        <f t="shared" si="34"/>
        <v>223765.53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120433.23</v>
      </c>
      <c r="G492" s="18"/>
      <c r="H492" s="18"/>
      <c r="I492" s="18"/>
      <c r="J492" s="18"/>
      <c r="K492" s="53">
        <f t="shared" si="34"/>
        <v>120433.23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344198.76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344198.76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603382.15</v>
      </c>
      <c r="G511" s="18">
        <v>131445.46</v>
      </c>
      <c r="H511" s="18">
        <v>4875.84</v>
      </c>
      <c r="I511" s="18">
        <v>6634.08</v>
      </c>
      <c r="J511" s="18">
        <v>5128.99</v>
      </c>
      <c r="K511" s="18"/>
      <c r="L511" s="88">
        <f>SUM(F511:K511)</f>
        <v>751466.5199999999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603382.15</v>
      </c>
      <c r="G514" s="108">
        <f t="shared" ref="G514:L514" si="35">SUM(G511:G513)</f>
        <v>131445.46</v>
      </c>
      <c r="H514" s="108">
        <f t="shared" si="35"/>
        <v>4875.84</v>
      </c>
      <c r="I514" s="108">
        <f t="shared" si="35"/>
        <v>6634.08</v>
      </c>
      <c r="J514" s="108">
        <f t="shared" si="35"/>
        <v>5128.99</v>
      </c>
      <c r="K514" s="108">
        <f t="shared" si="35"/>
        <v>0</v>
      </c>
      <c r="L514" s="89">
        <f t="shared" si="35"/>
        <v>751466.5199999999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339324.01</v>
      </c>
      <c r="G516" s="18">
        <v>88224.24</v>
      </c>
      <c r="H516" s="18">
        <v>8628.08</v>
      </c>
      <c r="I516" s="18">
        <v>3586.36</v>
      </c>
      <c r="J516" s="18">
        <v>1978.98</v>
      </c>
      <c r="K516" s="18"/>
      <c r="L516" s="88">
        <f>SUM(F516:K516)</f>
        <v>441741.67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339324.01</v>
      </c>
      <c r="G519" s="89">
        <f t="shared" ref="G519:L519" si="36">SUM(G516:G518)</f>
        <v>88224.24</v>
      </c>
      <c r="H519" s="89">
        <f t="shared" si="36"/>
        <v>8628.08</v>
      </c>
      <c r="I519" s="89">
        <f t="shared" si="36"/>
        <v>3586.36</v>
      </c>
      <c r="J519" s="89">
        <f t="shared" si="36"/>
        <v>1978.98</v>
      </c>
      <c r="K519" s="89">
        <f t="shared" si="36"/>
        <v>0</v>
      </c>
      <c r="L519" s="89">
        <f t="shared" si="36"/>
        <v>441741.67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43933.13</v>
      </c>
      <c r="G521" s="18">
        <v>11348.18</v>
      </c>
      <c r="H521" s="18">
        <v>4876.28</v>
      </c>
      <c r="I521" s="18">
        <v>389.53</v>
      </c>
      <c r="J521" s="18">
        <v>484.63</v>
      </c>
      <c r="K521" s="18"/>
      <c r="L521" s="88">
        <f>SUM(F521:K521)</f>
        <v>61031.749999999993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43933.13</v>
      </c>
      <c r="G524" s="89">
        <f t="shared" ref="G524:L524" si="37">SUM(G521:G523)</f>
        <v>11348.18</v>
      </c>
      <c r="H524" s="89">
        <f t="shared" si="37"/>
        <v>4876.28</v>
      </c>
      <c r="I524" s="89">
        <f t="shared" si="37"/>
        <v>389.53</v>
      </c>
      <c r="J524" s="89">
        <f t="shared" si="37"/>
        <v>484.63</v>
      </c>
      <c r="K524" s="89">
        <f t="shared" si="37"/>
        <v>0</v>
      </c>
      <c r="L524" s="89">
        <f t="shared" si="37"/>
        <v>61031.749999999993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923</v>
      </c>
      <c r="I526" s="18"/>
      <c r="J526" s="18"/>
      <c r="K526" s="18"/>
      <c r="L526" s="88">
        <f>SUM(F526:K526)</f>
        <v>923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923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923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35262.81</v>
      </c>
      <c r="I531" s="18"/>
      <c r="J531" s="18"/>
      <c r="K531" s="18"/>
      <c r="L531" s="88">
        <f>SUM(F531:K531)</f>
        <v>35262.81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35262.81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35262.81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986639.29</v>
      </c>
      <c r="G535" s="89">
        <f t="shared" ref="G535:L535" si="40">G514+G519+G524+G529+G534</f>
        <v>231017.88</v>
      </c>
      <c r="H535" s="89">
        <f t="shared" si="40"/>
        <v>54566.009999999995</v>
      </c>
      <c r="I535" s="89">
        <f t="shared" si="40"/>
        <v>10609.970000000001</v>
      </c>
      <c r="J535" s="89">
        <f t="shared" si="40"/>
        <v>7592.5999999999995</v>
      </c>
      <c r="K535" s="89">
        <f t="shared" si="40"/>
        <v>0</v>
      </c>
      <c r="L535" s="89">
        <f t="shared" si="40"/>
        <v>1290425.75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751466.5199999999</v>
      </c>
      <c r="G539" s="87">
        <f>L516</f>
        <v>441741.67</v>
      </c>
      <c r="H539" s="87">
        <f>L521</f>
        <v>61031.749999999993</v>
      </c>
      <c r="I539" s="87">
        <f>L526</f>
        <v>923</v>
      </c>
      <c r="J539" s="87">
        <f>L531</f>
        <v>35262.81</v>
      </c>
      <c r="K539" s="87">
        <f>SUM(F539:J539)</f>
        <v>1290425.75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751466.5199999999</v>
      </c>
      <c r="G542" s="89">
        <f t="shared" si="41"/>
        <v>441741.67</v>
      </c>
      <c r="H542" s="89">
        <f t="shared" si="41"/>
        <v>61031.749999999993</v>
      </c>
      <c r="I542" s="89">
        <f t="shared" si="41"/>
        <v>923</v>
      </c>
      <c r="J542" s="89">
        <f t="shared" si="41"/>
        <v>35262.81</v>
      </c>
      <c r="K542" s="89">
        <f t="shared" si="41"/>
        <v>1290425.75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1638.75</v>
      </c>
      <c r="G572" s="18"/>
      <c r="H572" s="18"/>
      <c r="I572" s="87">
        <f t="shared" si="46"/>
        <v>1638.75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 t="s">
        <v>310</v>
      </c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138871.79999999999</v>
      </c>
      <c r="I581" s="18"/>
      <c r="J581" s="18"/>
      <c r="K581" s="104">
        <f t="shared" ref="K581:K587" si="47">SUM(H581:J581)</f>
        <v>138871.79999999999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35262.81</v>
      </c>
      <c r="I582" s="18"/>
      <c r="J582" s="18"/>
      <c r="K582" s="104">
        <f t="shared" si="47"/>
        <v>35262.81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174134.61</v>
      </c>
      <c r="I588" s="108">
        <f>SUM(I581:I587)</f>
        <v>0</v>
      </c>
      <c r="J588" s="108">
        <f>SUM(J581:J587)</f>
        <v>0</v>
      </c>
      <c r="K588" s="108">
        <f>SUM(K581:K587)</f>
        <v>174134.61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26890.69</v>
      </c>
      <c r="I594" s="18"/>
      <c r="J594" s="18"/>
      <c r="K594" s="104">
        <f>SUM(H594:J594)</f>
        <v>26890.69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26890.69</v>
      </c>
      <c r="I595" s="108">
        <f>SUM(I592:I594)</f>
        <v>0</v>
      </c>
      <c r="J595" s="108">
        <f>SUM(J592:J594)</f>
        <v>0</v>
      </c>
      <c r="K595" s="108">
        <f>SUM(K592:K594)</f>
        <v>26890.69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411625.56</v>
      </c>
      <c r="H607" s="109">
        <f>SUM(F44)</f>
        <v>411625.56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62216.240000000005</v>
      </c>
      <c r="H608" s="109">
        <f>SUM(G44)</f>
        <v>62216.24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10983.53</v>
      </c>
      <c r="H609" s="109">
        <f>SUM(H44)</f>
        <v>10983.53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360028</v>
      </c>
      <c r="H611" s="109">
        <f>SUM(J44)</f>
        <v>360028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164459.49</v>
      </c>
      <c r="H612" s="109">
        <f>F466</f>
        <v>164459.49000000022</v>
      </c>
      <c r="I612" s="121" t="s">
        <v>106</v>
      </c>
      <c r="J612" s="109">
        <f t="shared" ref="J612:J645" si="49">G612-H612</f>
        <v>-2.3283064365386963E-10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50914.78</v>
      </c>
      <c r="H613" s="109">
        <f>G466</f>
        <v>50914.779999999984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10983.53</v>
      </c>
      <c r="H614" s="109">
        <f>H466</f>
        <v>10983.529999999999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360028</v>
      </c>
      <c r="H616" s="109">
        <f>J466</f>
        <v>360028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4781285.6100000003</v>
      </c>
      <c r="H617" s="104">
        <f>SUM(F458)</f>
        <v>4781285.6100000003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124630.23</v>
      </c>
      <c r="H618" s="104">
        <f>SUM(G458)</f>
        <v>124630.23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9699</v>
      </c>
      <c r="H619" s="104">
        <f>SUM(H458)</f>
        <v>9699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954.87</v>
      </c>
      <c r="H621" s="104">
        <f>SUM(J458)</f>
        <v>954.87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4816908.6400000006</v>
      </c>
      <c r="H622" s="104">
        <f>SUM(F462)</f>
        <v>4816908.6399999997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7124.28</v>
      </c>
      <c r="H623" s="104">
        <f>SUM(H462)</f>
        <v>7124.28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50129.55</v>
      </c>
      <c r="H624" s="104">
        <f>I361</f>
        <v>50129.55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108443.49</v>
      </c>
      <c r="H625" s="104">
        <f>SUM(G462)</f>
        <v>108443.49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954.87</v>
      </c>
      <c r="H627" s="164">
        <f>SUM(J458)</f>
        <v>954.87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6800</v>
      </c>
      <c r="H628" s="164">
        <f>SUM(J462)</f>
        <v>6800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360028</v>
      </c>
      <c r="H629" s="104">
        <f>SUM(F451)</f>
        <v>360028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360028</v>
      </c>
      <c r="H632" s="104">
        <f>SUM(I451)</f>
        <v>360028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954.87</v>
      </c>
      <c r="H634" s="104">
        <f>H400</f>
        <v>954.87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954.87</v>
      </c>
      <c r="H636" s="104">
        <f>L400</f>
        <v>954.87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174134.61</v>
      </c>
      <c r="H637" s="104">
        <f>L200+L218+L236</f>
        <v>174134.61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26890.69</v>
      </c>
      <c r="H638" s="104">
        <f>(J249+J330)-(J247+J328)</f>
        <v>26890.69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174134.61</v>
      </c>
      <c r="H639" s="104">
        <f>H588</f>
        <v>174134.61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4589621.4000000013</v>
      </c>
      <c r="G650" s="19">
        <f>(L221+L301+L351)</f>
        <v>0</v>
      </c>
      <c r="H650" s="19">
        <f>(L239+L320+L352)</f>
        <v>0</v>
      </c>
      <c r="I650" s="19">
        <f>SUM(F650:H650)</f>
        <v>4589621.4000000013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101978.04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101978.04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174134.61</v>
      </c>
      <c r="G652" s="19">
        <f>(L218+L298)-(J218+J298)</f>
        <v>0</v>
      </c>
      <c r="H652" s="19">
        <f>(L236+L317)-(J236+J317)</f>
        <v>0</v>
      </c>
      <c r="I652" s="19">
        <f>SUM(F652:H652)</f>
        <v>174134.61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28529.439999999999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28529.439999999999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4284979.3100000015</v>
      </c>
      <c r="G654" s="19">
        <f>G650-SUM(G651:G653)</f>
        <v>0</v>
      </c>
      <c r="H654" s="19">
        <f>H650-SUM(H651:H653)</f>
        <v>0</v>
      </c>
      <c r="I654" s="19">
        <f>I650-SUM(I651:I653)</f>
        <v>4284979.3100000015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364.2</v>
      </c>
      <c r="G655" s="249"/>
      <c r="H655" s="249"/>
      <c r="I655" s="19">
        <f>SUM(F655:H655)</f>
        <v>364.2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11765.46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11765.46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11765.46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11765.46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05B5E-C25C-44BB-B0DE-8D37D6966858}">
  <sheetPr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Brentwood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1574018.8800000001</v>
      </c>
      <c r="C9" s="230">
        <f>'DOE25'!G189+'DOE25'!G207+'DOE25'!G225+'DOE25'!G268+'DOE25'!G287+'DOE25'!G306</f>
        <v>529103.4</v>
      </c>
    </row>
    <row r="10" spans="1:3" x14ac:dyDescent="0.2">
      <c r="A10" t="s">
        <v>813</v>
      </c>
      <c r="B10" s="241">
        <v>1424838.72</v>
      </c>
      <c r="C10" s="241">
        <v>504725.73</v>
      </c>
    </row>
    <row r="11" spans="1:3" x14ac:dyDescent="0.2">
      <c r="A11" t="s">
        <v>814</v>
      </c>
      <c r="B11" s="241">
        <v>108569.68</v>
      </c>
      <c r="C11" s="241">
        <v>20519.669999999998</v>
      </c>
    </row>
    <row r="12" spans="1:3" x14ac:dyDescent="0.2">
      <c r="A12" t="s">
        <v>815</v>
      </c>
      <c r="B12" s="241">
        <v>40610.480000000003</v>
      </c>
      <c r="C12" s="241">
        <v>3858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1574018.88</v>
      </c>
      <c r="C13" s="232">
        <f>SUM(C10:C12)</f>
        <v>529103.4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603382.15</v>
      </c>
      <c r="C18" s="230">
        <f>'DOE25'!G190+'DOE25'!G208+'DOE25'!G226+'DOE25'!G269+'DOE25'!G288+'DOE25'!G307</f>
        <v>131445.46</v>
      </c>
    </row>
    <row r="19" spans="1:3" x14ac:dyDescent="0.2">
      <c r="A19" t="s">
        <v>813</v>
      </c>
      <c r="B19" s="241">
        <v>258191.21</v>
      </c>
      <c r="C19" s="241">
        <v>64337.64</v>
      </c>
    </row>
    <row r="20" spans="1:3" x14ac:dyDescent="0.2">
      <c r="A20" t="s">
        <v>814</v>
      </c>
      <c r="B20" s="241">
        <v>318898.94</v>
      </c>
      <c r="C20" s="241">
        <v>60271.9</v>
      </c>
    </row>
    <row r="21" spans="1:3" x14ac:dyDescent="0.2">
      <c r="A21" t="s">
        <v>815</v>
      </c>
      <c r="B21" s="241">
        <v>26292</v>
      </c>
      <c r="C21" s="241">
        <v>6835.92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603382.15</v>
      </c>
      <c r="C22" s="232">
        <f>SUM(C19:C21)</f>
        <v>131445.46000000002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6104-7BB9-4EC5-B82C-B23FE4418A65}">
  <sheetPr>
    <tabColor indexed="11"/>
  </sheetPr>
  <dimension ref="A1:I51"/>
  <sheetViews>
    <sheetView workbookViewId="0">
      <pane ySplit="4" topLeftCell="A5" activePane="bottomLeft" state="frozen"/>
      <selection pane="bottomLeft" activeCell="D28" sqref="D2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Brentwood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2914336.0900000003</v>
      </c>
      <c r="D5" s="20">
        <f>SUM('DOE25'!L189:L192)+SUM('DOE25'!L207:L210)+SUM('DOE25'!L225:L228)-F5-G5</f>
        <v>2901144.8800000004</v>
      </c>
      <c r="E5" s="244"/>
      <c r="F5" s="256">
        <f>SUM('DOE25'!J189:J192)+SUM('DOE25'!J207:J210)+SUM('DOE25'!J225:J228)</f>
        <v>11921.21</v>
      </c>
      <c r="G5" s="53">
        <f>SUM('DOE25'!K189:K192)+SUM('DOE25'!K207:K210)+SUM('DOE25'!K225:K228)</f>
        <v>1270</v>
      </c>
      <c r="H5" s="260"/>
    </row>
    <row r="6" spans="1:9" x14ac:dyDescent="0.2">
      <c r="A6" s="32">
        <v>2100</v>
      </c>
      <c r="B6" t="s">
        <v>835</v>
      </c>
      <c r="C6" s="246">
        <f t="shared" si="0"/>
        <v>429959.66</v>
      </c>
      <c r="D6" s="20">
        <f>'DOE25'!L194+'DOE25'!L212+'DOE25'!L230-F6-G6</f>
        <v>427980.68</v>
      </c>
      <c r="E6" s="244"/>
      <c r="F6" s="256">
        <f>'DOE25'!J194+'DOE25'!J212+'DOE25'!J230</f>
        <v>1978.98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170686.49</v>
      </c>
      <c r="D7" s="20">
        <f>'DOE25'!L195+'DOE25'!L213+'DOE25'!L231-F7-G7</f>
        <v>157851.94</v>
      </c>
      <c r="E7" s="244"/>
      <c r="F7" s="256">
        <f>'DOE25'!J195+'DOE25'!J213+'DOE25'!J231</f>
        <v>12834.55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111603.98999999999</v>
      </c>
      <c r="D8" s="244"/>
      <c r="E8" s="20">
        <f>'DOE25'!L196+'DOE25'!L214+'DOE25'!L232-F8-G8-D9-D11</f>
        <v>111603.98999999999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852</v>
      </c>
      <c r="C9" s="246">
        <f t="shared" si="0"/>
        <v>1325.41</v>
      </c>
      <c r="D9" s="245">
        <v>1325.41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8000</v>
      </c>
      <c r="D10" s="244"/>
      <c r="E10" s="245">
        <v>8000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15898.66</v>
      </c>
      <c r="D11" s="245">
        <v>15898.66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293090.68000000005</v>
      </c>
      <c r="D12" s="20">
        <f>'DOE25'!L197+'DOE25'!L215+'DOE25'!L233-F12-G12</f>
        <v>291226.73000000004</v>
      </c>
      <c r="E12" s="244"/>
      <c r="F12" s="256">
        <f>'DOE25'!J197+'DOE25'!J215+'DOE25'!J233</f>
        <v>155.94999999999999</v>
      </c>
      <c r="G12" s="53">
        <f>'DOE25'!K197+'DOE25'!K215+'DOE25'!K233</f>
        <v>1708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363018.04</v>
      </c>
      <c r="D14" s="20">
        <f>'DOE25'!L199+'DOE25'!L217+'DOE25'!L235-F14-G14</f>
        <v>363018.04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174134.61</v>
      </c>
      <c r="D15" s="20">
        <f>'DOE25'!L200+'DOE25'!L218+'DOE25'!L236-F15-G15</f>
        <v>174134.61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342855.01</v>
      </c>
      <c r="D25" s="244"/>
      <c r="E25" s="244"/>
      <c r="F25" s="259"/>
      <c r="G25" s="257"/>
      <c r="H25" s="258">
        <f>'DOE25'!L252+'DOE25'!L253+'DOE25'!L333+'DOE25'!L334</f>
        <v>342855.01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61940.950000000004</v>
      </c>
      <c r="D29" s="20">
        <f>'DOE25'!L350+'DOE25'!L351+'DOE25'!L352-'DOE25'!I359-F29-G29</f>
        <v>61940.950000000004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7124.28</v>
      </c>
      <c r="D31" s="20">
        <f>'DOE25'!L282+'DOE25'!L301+'DOE25'!L320+'DOE25'!L325+'DOE25'!L326+'DOE25'!L327-F31-G31</f>
        <v>7124.28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4401646.1800000016</v>
      </c>
      <c r="E33" s="247">
        <f>SUM(E5:E31)</f>
        <v>119603.98999999999</v>
      </c>
      <c r="F33" s="247">
        <f>SUM(F5:F31)</f>
        <v>26890.69</v>
      </c>
      <c r="G33" s="247">
        <f>SUM(G5:G31)</f>
        <v>2978</v>
      </c>
      <c r="H33" s="247">
        <f>SUM(H5:H31)</f>
        <v>342855.01</v>
      </c>
    </row>
    <row r="35" spans="2:8" ht="12" thickBot="1" x14ac:dyDescent="0.25">
      <c r="B35" s="254" t="s">
        <v>881</v>
      </c>
      <c r="D35" s="255">
        <f>E33</f>
        <v>119603.98999999999</v>
      </c>
      <c r="E35" s="250"/>
    </row>
    <row r="36" spans="2:8" ht="12" thickTop="1" x14ac:dyDescent="0.2">
      <c r="B36" t="s">
        <v>849</v>
      </c>
      <c r="D36" s="20">
        <f>D33</f>
        <v>4401646.1800000016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EBD5A-C853-42A0-9049-E87F24D1EC7A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Brentwood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403513.66</v>
      </c>
      <c r="D9" s="95">
        <f>'DOE25'!G9</f>
        <v>0</v>
      </c>
      <c r="E9" s="95">
        <f>'DOE25'!H9</f>
        <v>10983.53</v>
      </c>
      <c r="F9" s="95">
        <f>'DOE25'!I9</f>
        <v>0</v>
      </c>
      <c r="G9" s="95">
        <f>'DOE25'!J9</f>
        <v>360028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53070.73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8111.9</v>
      </c>
      <c r="D14" s="95">
        <f>'DOE25'!G14</f>
        <v>4104.68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5040.83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411625.56</v>
      </c>
      <c r="D19" s="41">
        <f>SUM(D9:D18)</f>
        <v>62216.240000000005</v>
      </c>
      <c r="E19" s="41">
        <f>SUM(E9:E18)</f>
        <v>10983.53</v>
      </c>
      <c r="F19" s="41">
        <f>SUM(F9:F18)</f>
        <v>0</v>
      </c>
      <c r="G19" s="41">
        <f>SUM(G9:G18)</f>
        <v>360028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64054.26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163237.07</v>
      </c>
      <c r="D24" s="95">
        <f>'DOE25'!G25</f>
        <v>11301.46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 t="str">
        <f>'DOE25'!F29</f>
        <v xml:space="preserve"> 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19874.740000000002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247166.07</v>
      </c>
      <c r="D32" s="41">
        <f>SUM(D22:D31)</f>
        <v>11301.46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50914.78</v>
      </c>
      <c r="E40" s="95">
        <f>'DOE25'!H41</f>
        <v>10983.53</v>
      </c>
      <c r="F40" s="95">
        <f>'DOE25'!I41</f>
        <v>0</v>
      </c>
      <c r="G40" s="95">
        <f>'DOE25'!J41</f>
        <v>360028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164459.49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164459.49</v>
      </c>
      <c r="D42" s="41">
        <f>SUM(D34:D41)</f>
        <v>50914.78</v>
      </c>
      <c r="E42" s="41">
        <f>SUM(E34:E41)</f>
        <v>10983.53</v>
      </c>
      <c r="F42" s="41">
        <f>SUM(F34:F41)</f>
        <v>0</v>
      </c>
      <c r="G42" s="41">
        <f>SUM(G34:G41)</f>
        <v>360028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411625.56</v>
      </c>
      <c r="D43" s="41">
        <f>D42+D32</f>
        <v>62216.24</v>
      </c>
      <c r="E43" s="41">
        <f>E42+E32</f>
        <v>10983.53</v>
      </c>
      <c r="F43" s="41">
        <f>F42+F32</f>
        <v>0</v>
      </c>
      <c r="G43" s="41">
        <f>G42+G32</f>
        <v>360028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3271356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13300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774.26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954.87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101978.04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7295.59</v>
      </c>
      <c r="D53" s="95">
        <f>SUM('DOE25'!G90:G102)</f>
        <v>0</v>
      </c>
      <c r="E53" s="95">
        <f>SUM('DOE25'!H90:H102)</f>
        <v>9699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21369.85</v>
      </c>
      <c r="D54" s="130">
        <f>SUM(D49:D53)</f>
        <v>101978.04</v>
      </c>
      <c r="E54" s="130">
        <f>SUM(E49:E53)</f>
        <v>9699</v>
      </c>
      <c r="F54" s="130">
        <f>SUM(F49:F53)</f>
        <v>0</v>
      </c>
      <c r="G54" s="130">
        <f>SUM(G49:G53)</f>
        <v>954.87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3292725.85</v>
      </c>
      <c r="D55" s="22">
        <f>D48+D54</f>
        <v>101978.04</v>
      </c>
      <c r="E55" s="22">
        <f>E48+E54</f>
        <v>9699</v>
      </c>
      <c r="F55" s="22">
        <f>F48+F54</f>
        <v>0</v>
      </c>
      <c r="G55" s="22">
        <f>G48+G54</f>
        <v>954.87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595996.80000000005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499284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228666.2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1323947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94005.78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17420.45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1446.78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111426.23</v>
      </c>
      <c r="D70" s="130">
        <f>SUM(D64:D69)</f>
        <v>1446.78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1435373.23</v>
      </c>
      <c r="D73" s="130">
        <f>SUM(D71:D72)+D70+D62</f>
        <v>1446.78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53186.53</v>
      </c>
      <c r="D80" s="95">
        <f>SUM('DOE25'!G145:G153)</f>
        <v>21205.41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53186.53</v>
      </c>
      <c r="D83" s="131">
        <f>SUM(D77:D82)</f>
        <v>21205.41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4781285.6100000003</v>
      </c>
      <c r="D96" s="86">
        <f>D55+D73+D83+D95</f>
        <v>124630.23</v>
      </c>
      <c r="E96" s="86">
        <f>E55+E73+E83+E95</f>
        <v>9699</v>
      </c>
      <c r="F96" s="86">
        <f>F55+F73+F83+F95</f>
        <v>0</v>
      </c>
      <c r="G96" s="86">
        <f>G55+G73+G95</f>
        <v>954.87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2161599.5700000003</v>
      </c>
      <c r="D101" s="24" t="s">
        <v>312</v>
      </c>
      <c r="E101" s="95">
        <f>('DOE25'!L268)+('DOE25'!L287)+('DOE25'!L306)</f>
        <v>7124.28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751466.5199999999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1270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2914336.0900000003</v>
      </c>
      <c r="D107" s="86">
        <f>SUM(D101:D106)</f>
        <v>0</v>
      </c>
      <c r="E107" s="86">
        <f>SUM(E101:E106)</f>
        <v>7124.28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429959.66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170686.49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128828.06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293090.68000000005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363018.04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174134.61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108443.49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1559717.54</v>
      </c>
      <c r="D120" s="86">
        <f>SUM(D110:D119)</f>
        <v>108443.49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233530.27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109324.74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685.1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269.77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-954.87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342855.01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4816908.6400000006</v>
      </c>
      <c r="D137" s="86">
        <f>(D107+D120+D136)</f>
        <v>108443.49</v>
      </c>
      <c r="E137" s="86">
        <f>(E107+E120+E136)</f>
        <v>7124.28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8/2001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8/2021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4410000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4.76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2377031.59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2377031.59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233530.27000000002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233530.27000000002</v>
      </c>
    </row>
    <row r="151" spans="1:7" x14ac:dyDescent="0.2">
      <c r="A151" s="22" t="s">
        <v>35</v>
      </c>
      <c r="B151" s="137">
        <f>'DOE25'!F488</f>
        <v>2143501.3199999998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2143501.3199999998</v>
      </c>
    </row>
    <row r="152" spans="1:7" x14ac:dyDescent="0.2">
      <c r="A152" s="22" t="s">
        <v>36</v>
      </c>
      <c r="B152" s="137">
        <f>'DOE25'!F489</f>
        <v>2019296.82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2019296.82</v>
      </c>
    </row>
    <row r="153" spans="1:7" x14ac:dyDescent="0.2">
      <c r="A153" s="22" t="s">
        <v>37</v>
      </c>
      <c r="B153" s="137">
        <f>'DOE25'!F490</f>
        <v>4162798.1399999997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4162798.1399999997</v>
      </c>
    </row>
    <row r="154" spans="1:7" x14ac:dyDescent="0.2">
      <c r="A154" s="22" t="s">
        <v>38</v>
      </c>
      <c r="B154" s="137">
        <f>'DOE25'!F491</f>
        <v>223765.53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223765.53</v>
      </c>
    </row>
    <row r="155" spans="1:7" x14ac:dyDescent="0.2">
      <c r="A155" s="22" t="s">
        <v>39</v>
      </c>
      <c r="B155" s="137">
        <f>'DOE25'!F492</f>
        <v>120433.23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120433.23</v>
      </c>
    </row>
    <row r="156" spans="1:7" x14ac:dyDescent="0.2">
      <c r="A156" s="22" t="s">
        <v>269</v>
      </c>
      <c r="B156" s="137">
        <f>'DOE25'!F493</f>
        <v>344198.76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344198.76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268E-A368-4D57-B71C-E1ED3AC5BDE4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Brentwood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11765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11765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2168724</v>
      </c>
      <c r="D10" s="182">
        <f>ROUND((C10/$C$28)*100,1)</f>
        <v>47.2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751467</v>
      </c>
      <c r="D11" s="182">
        <f>ROUND((C11/$C$28)*100,1)</f>
        <v>16.3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1270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429960</v>
      </c>
      <c r="D15" s="182">
        <f t="shared" ref="D15:D27" si="0">ROUND((C15/$C$28)*100,1)</f>
        <v>9.4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170686</v>
      </c>
      <c r="D16" s="182">
        <f t="shared" si="0"/>
        <v>3.7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128828</v>
      </c>
      <c r="D17" s="182">
        <f t="shared" si="0"/>
        <v>2.8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293091</v>
      </c>
      <c r="D18" s="182">
        <f t="shared" si="0"/>
        <v>6.4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363018</v>
      </c>
      <c r="D20" s="182">
        <f t="shared" si="0"/>
        <v>7.9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174135</v>
      </c>
      <c r="D21" s="182">
        <f t="shared" si="0"/>
        <v>3.8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109325</v>
      </c>
      <c r="D25" s="182">
        <f t="shared" si="0"/>
        <v>2.4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6464.9600000000064</v>
      </c>
      <c r="D27" s="182">
        <f t="shared" si="0"/>
        <v>0.1</v>
      </c>
    </row>
    <row r="28" spans="1:4" x14ac:dyDescent="0.2">
      <c r="B28" s="187" t="s">
        <v>754</v>
      </c>
      <c r="C28" s="180">
        <f>SUM(C10:C27)</f>
        <v>4596968.96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4596968.96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233530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3271356</v>
      </c>
      <c r="D35" s="182">
        <f t="shared" ref="D35:D40" si="1">ROUND((C35/$C$41)*100,1)</f>
        <v>67.900000000000006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32023.720000000205</v>
      </c>
      <c r="D36" s="182">
        <f t="shared" si="1"/>
        <v>0.7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1095281</v>
      </c>
      <c r="D37" s="182">
        <f t="shared" si="1"/>
        <v>22.7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341539</v>
      </c>
      <c r="D38" s="182">
        <f t="shared" si="1"/>
        <v>7.1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74392</v>
      </c>
      <c r="D39" s="182">
        <f t="shared" si="1"/>
        <v>1.5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4814591.7200000007</v>
      </c>
      <c r="D41" s="184">
        <f>SUM(D35:D40)</f>
        <v>99.9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51F7-59EE-4F26-B42B-117442ED5A6A}">
  <sheetPr>
    <tabColor indexed="17"/>
  </sheetPr>
  <dimension ref="A1:IV90"/>
  <sheetViews>
    <sheetView workbookViewId="0">
      <pane ySplit="3" topLeftCell="A4" activePane="bottomLeft" state="frozen"/>
      <selection pane="bottomLeft" activeCell="A4" sqref="A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Brentwood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23</v>
      </c>
      <c r="B4" s="220">
        <v>5</v>
      </c>
      <c r="C4" s="280" t="s">
        <v>897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2010-09-14T12:50:14Z</cp:lastPrinted>
  <dcterms:created xsi:type="dcterms:W3CDTF">1997-12-04T19:04:30Z</dcterms:created>
  <dcterms:modified xsi:type="dcterms:W3CDTF">2025-01-02T14:25:07Z</dcterms:modified>
</cp:coreProperties>
</file>