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2DA5C726-4D8B-4685-8743-F88525F16E47}" xr6:coauthVersionLast="47" xr6:coauthVersionMax="47" xr10:uidLastSave="{00000000-0000-0000-0000-000000000000}"/>
  <workbookProtection workbookPassword="B70A" lockStructure="1"/>
  <bookViews>
    <workbookView xWindow="1815" yWindow="1815" windowWidth="21600" windowHeight="11505" tabRatio="855" xr2:uid="{F8779C97-F3C7-45C1-B7DA-FC39669BB5C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9" i="1" l="1"/>
  <c r="G434" i="1"/>
  <c r="I434" i="1" s="1"/>
  <c r="J13" i="1" s="1"/>
  <c r="G13" i="2" s="1"/>
  <c r="H41" i="1"/>
  <c r="G89" i="1"/>
  <c r="G41" i="1"/>
  <c r="F492" i="1"/>
  <c r="F491" i="1"/>
  <c r="F487" i="1"/>
  <c r="F488" i="1"/>
  <c r="B151" i="2" s="1"/>
  <c r="G151" i="2" s="1"/>
  <c r="I521" i="1"/>
  <c r="H521" i="1"/>
  <c r="G521" i="1"/>
  <c r="L521" i="1" s="1"/>
  <c r="F521" i="1"/>
  <c r="G516" i="1"/>
  <c r="G511" i="1"/>
  <c r="F511" i="1"/>
  <c r="F516" i="1"/>
  <c r="H516" i="1"/>
  <c r="I516" i="1"/>
  <c r="J511" i="1"/>
  <c r="I511" i="1"/>
  <c r="H511" i="1"/>
  <c r="L511" i="1" s="1"/>
  <c r="H594" i="1"/>
  <c r="G203" i="1"/>
  <c r="G249" i="1" s="1"/>
  <c r="G263" i="1" s="1"/>
  <c r="J199" i="1"/>
  <c r="I199" i="1"/>
  <c r="H199" i="1"/>
  <c r="L199" i="1" s="1"/>
  <c r="H197" i="1"/>
  <c r="L197" i="1" s="1"/>
  <c r="H196" i="1"/>
  <c r="J195" i="1"/>
  <c r="L195" i="1" s="1"/>
  <c r="I195" i="1"/>
  <c r="J194" i="1"/>
  <c r="I194" i="1"/>
  <c r="L194" i="1" s="1"/>
  <c r="J190" i="1"/>
  <c r="L190" i="1" s="1"/>
  <c r="I190" i="1"/>
  <c r="J189" i="1"/>
  <c r="L189" i="1" s="1"/>
  <c r="I189" i="1"/>
  <c r="I268" i="1"/>
  <c r="I282" i="1" s="1"/>
  <c r="I330" i="1" s="1"/>
  <c r="I344" i="1" s="1"/>
  <c r="J268" i="1"/>
  <c r="H142" i="1"/>
  <c r="H154" i="1" s="1"/>
  <c r="H151" i="1"/>
  <c r="H147" i="1"/>
  <c r="F55" i="1"/>
  <c r="F42" i="1"/>
  <c r="F25" i="1"/>
  <c r="C24" i="2" s="1"/>
  <c r="H462" i="1"/>
  <c r="H623" i="1" s="1"/>
  <c r="H458" i="1"/>
  <c r="F462" i="1"/>
  <c r="H622" i="1" s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/>
  <c r="C16" i="13" s="1"/>
  <c r="F5" i="13"/>
  <c r="G5" i="13"/>
  <c r="L191" i="1"/>
  <c r="C103" i="2" s="1"/>
  <c r="L192" i="1"/>
  <c r="L207" i="1"/>
  <c r="L221" i="1" s="1"/>
  <c r="G650" i="1" s="1"/>
  <c r="L208" i="1"/>
  <c r="L209" i="1"/>
  <c r="L210" i="1"/>
  <c r="C104" i="2" s="1"/>
  <c r="L225" i="1"/>
  <c r="L239" i="1" s="1"/>
  <c r="L226" i="1"/>
  <c r="L227" i="1"/>
  <c r="L228" i="1"/>
  <c r="F6" i="13"/>
  <c r="G6" i="13"/>
  <c r="L212" i="1"/>
  <c r="L230" i="1"/>
  <c r="F7" i="13"/>
  <c r="G7" i="13"/>
  <c r="L213" i="1"/>
  <c r="L231" i="1"/>
  <c r="F12" i="13"/>
  <c r="G12" i="13"/>
  <c r="L215" i="1"/>
  <c r="L233" i="1"/>
  <c r="F14" i="13"/>
  <c r="G14" i="13"/>
  <c r="L217" i="1"/>
  <c r="L235" i="1"/>
  <c r="F15" i="13"/>
  <c r="G15" i="13"/>
  <c r="L200" i="1"/>
  <c r="C21" i="10" s="1"/>
  <c r="L218" i="1"/>
  <c r="L236" i="1"/>
  <c r="F17" i="13"/>
  <c r="G17" i="13"/>
  <c r="L243" i="1"/>
  <c r="D17" i="13"/>
  <c r="C17" i="13" s="1"/>
  <c r="F18" i="13"/>
  <c r="G18" i="13"/>
  <c r="D18" i="13" s="1"/>
  <c r="C18" i="13" s="1"/>
  <c r="L244" i="1"/>
  <c r="F19" i="13"/>
  <c r="D19" i="13" s="1"/>
  <c r="C19" i="13" s="1"/>
  <c r="G19" i="13"/>
  <c r="L245" i="1"/>
  <c r="F29" i="13"/>
  <c r="G29" i="13"/>
  <c r="L350" i="1"/>
  <c r="L351" i="1"/>
  <c r="D29" i="13" s="1"/>
  <c r="C29" i="13" s="1"/>
  <c r="L352" i="1"/>
  <c r="I359" i="1"/>
  <c r="J282" i="1"/>
  <c r="F31" i="13" s="1"/>
  <c r="J301" i="1"/>
  <c r="J320" i="1"/>
  <c r="K282" i="1"/>
  <c r="K301" i="1"/>
  <c r="G31" i="13" s="1"/>
  <c r="K320" i="1"/>
  <c r="L268" i="1"/>
  <c r="E101" i="2" s="1"/>
  <c r="L269" i="1"/>
  <c r="L270" i="1"/>
  <c r="L271" i="1"/>
  <c r="L273" i="1"/>
  <c r="L274" i="1"/>
  <c r="L275" i="1"/>
  <c r="L276" i="1"/>
  <c r="L277" i="1"/>
  <c r="L278" i="1"/>
  <c r="E115" i="2" s="1"/>
  <c r="L279" i="1"/>
  <c r="E116" i="2" s="1"/>
  <c r="L280" i="1"/>
  <c r="L282" i="1"/>
  <c r="L287" i="1"/>
  <c r="L288" i="1"/>
  <c r="L301" i="1" s="1"/>
  <c r="L289" i="1"/>
  <c r="L290" i="1"/>
  <c r="L292" i="1"/>
  <c r="L293" i="1"/>
  <c r="L294" i="1"/>
  <c r="L295" i="1"/>
  <c r="L296" i="1"/>
  <c r="E114" i="2" s="1"/>
  <c r="E120" i="2" s="1"/>
  <c r="L297" i="1"/>
  <c r="L298" i="1"/>
  <c r="L299" i="1"/>
  <c r="E117" i="2" s="1"/>
  <c r="L306" i="1"/>
  <c r="L307" i="1"/>
  <c r="L308" i="1"/>
  <c r="L309" i="1"/>
  <c r="L311" i="1"/>
  <c r="L312" i="1"/>
  <c r="L313" i="1"/>
  <c r="L314" i="1"/>
  <c r="L320" i="1" s="1"/>
  <c r="L315" i="1"/>
  <c r="L316" i="1"/>
  <c r="L317" i="1"/>
  <c r="H652" i="1" s="1"/>
  <c r="L318" i="1"/>
  <c r="L325" i="1"/>
  <c r="E106" i="2" s="1"/>
  <c r="L326" i="1"/>
  <c r="L327" i="1"/>
  <c r="L252" i="1"/>
  <c r="H25" i="13" s="1"/>
  <c r="L253" i="1"/>
  <c r="L333" i="1"/>
  <c r="E123" i="2" s="1"/>
  <c r="L334" i="1"/>
  <c r="L247" i="1"/>
  <c r="C29" i="10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C27" i="12"/>
  <c r="A31" i="12" s="1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L400" i="1" s="1"/>
  <c r="C130" i="2"/>
  <c r="C133" i="2" s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4" i="2" s="1"/>
  <c r="G53" i="2"/>
  <c r="F2" i="11"/>
  <c r="L603" i="1"/>
  <c r="H653" i="1" s="1"/>
  <c r="L602" i="1"/>
  <c r="G653" i="1" s="1"/>
  <c r="L601" i="1"/>
  <c r="F653" i="1" s="1"/>
  <c r="C40" i="10"/>
  <c r="F52" i="1"/>
  <c r="F104" i="1" s="1"/>
  <c r="G52" i="1"/>
  <c r="D48" i="2" s="1"/>
  <c r="H52" i="1"/>
  <c r="I52" i="1"/>
  <c r="C35" i="10"/>
  <c r="F71" i="1"/>
  <c r="C49" i="2" s="1"/>
  <c r="C54" i="2" s="1"/>
  <c r="F86" i="1"/>
  <c r="F103" i="1"/>
  <c r="G103" i="1"/>
  <c r="G104" i="1" s="1"/>
  <c r="H71" i="1"/>
  <c r="H104" i="1" s="1"/>
  <c r="H185" i="1" s="1"/>
  <c r="G619" i="1" s="1"/>
  <c r="J619" i="1" s="1"/>
  <c r="H86" i="1"/>
  <c r="H103" i="1"/>
  <c r="I103" i="1"/>
  <c r="I104" i="1"/>
  <c r="J103" i="1"/>
  <c r="C37" i="10"/>
  <c r="F113" i="1"/>
  <c r="F132" i="1" s="1"/>
  <c r="F128" i="1"/>
  <c r="G113" i="1"/>
  <c r="G132" i="1" s="1"/>
  <c r="G128" i="1"/>
  <c r="H113" i="1"/>
  <c r="H128" i="1"/>
  <c r="H132" i="1"/>
  <c r="I113" i="1"/>
  <c r="I128" i="1"/>
  <c r="I132" i="1" s="1"/>
  <c r="J113" i="1"/>
  <c r="J132" i="1" s="1"/>
  <c r="J128" i="1"/>
  <c r="F139" i="1"/>
  <c r="F161" i="1" s="1"/>
  <c r="F154" i="1"/>
  <c r="G139" i="1"/>
  <c r="D77" i="2" s="1"/>
  <c r="D83" i="2" s="1"/>
  <c r="G154" i="1"/>
  <c r="H139" i="1"/>
  <c r="H161" i="1" s="1"/>
  <c r="I139" i="1"/>
  <c r="I161" i="1" s="1"/>
  <c r="I154" i="1"/>
  <c r="L242" i="1"/>
  <c r="C23" i="10" s="1"/>
  <c r="L324" i="1"/>
  <c r="L246" i="1"/>
  <c r="C24" i="10"/>
  <c r="C25" i="10"/>
  <c r="L260" i="1"/>
  <c r="L261" i="1"/>
  <c r="L341" i="1"/>
  <c r="E134" i="2" s="1"/>
  <c r="L342" i="1"/>
  <c r="C26" i="10"/>
  <c r="I655" i="1"/>
  <c r="I660" i="1"/>
  <c r="G652" i="1"/>
  <c r="I659" i="1"/>
  <c r="C6" i="10"/>
  <c r="C5" i="10"/>
  <c r="C42" i="10"/>
  <c r="L366" i="1"/>
  <c r="L374" i="1" s="1"/>
  <c r="G626" i="1" s="1"/>
  <c r="J626" i="1" s="1"/>
  <c r="L367" i="1"/>
  <c r="L368" i="1"/>
  <c r="L369" i="1"/>
  <c r="F122" i="2" s="1"/>
  <c r="F136" i="2" s="1"/>
  <c r="L370" i="1"/>
  <c r="L371" i="1"/>
  <c r="L372" i="1"/>
  <c r="B2" i="10"/>
  <c r="L336" i="1"/>
  <c r="L337" i="1"/>
  <c r="E127" i="2" s="1"/>
  <c r="L338" i="1"/>
  <c r="L339" i="1"/>
  <c r="K343" i="1"/>
  <c r="L512" i="1"/>
  <c r="F540" i="1" s="1"/>
  <c r="L513" i="1"/>
  <c r="F541" i="1" s="1"/>
  <c r="L516" i="1"/>
  <c r="L519" i="1" s="1"/>
  <c r="G539" i="1"/>
  <c r="G542" i="1" s="1"/>
  <c r="L517" i="1"/>
  <c r="G540" i="1"/>
  <c r="L518" i="1"/>
  <c r="G541" i="1"/>
  <c r="L522" i="1"/>
  <c r="H540" i="1" s="1"/>
  <c r="L523" i="1"/>
  <c r="H541" i="1"/>
  <c r="L526" i="1"/>
  <c r="I539" i="1"/>
  <c r="I542" i="1" s="1"/>
  <c r="L527" i="1"/>
  <c r="I540" i="1"/>
  <c r="L528" i="1"/>
  <c r="I541" i="1"/>
  <c r="L531" i="1"/>
  <c r="J539" i="1" s="1"/>
  <c r="L532" i="1"/>
  <c r="J540" i="1"/>
  <c r="L533" i="1"/>
  <c r="L534" i="1" s="1"/>
  <c r="E124" i="2"/>
  <c r="K262" i="1"/>
  <c r="J262" i="1"/>
  <c r="I262" i="1"/>
  <c r="H262" i="1"/>
  <c r="G262" i="1"/>
  <c r="F262" i="1"/>
  <c r="L262" i="1" s="1"/>
  <c r="C124" i="2"/>
  <c r="A1" i="2"/>
  <c r="A2" i="2"/>
  <c r="C9" i="2"/>
  <c r="D9" i="2"/>
  <c r="D19" i="2" s="1"/>
  <c r="E9" i="2"/>
  <c r="F9" i="2"/>
  <c r="I431" i="1"/>
  <c r="I438" i="1" s="1"/>
  <c r="G632" i="1" s="1"/>
  <c r="J9" i="1"/>
  <c r="C10" i="2"/>
  <c r="D10" i="2"/>
  <c r="E10" i="2"/>
  <c r="F10" i="2"/>
  <c r="I432" i="1"/>
  <c r="J10" i="1" s="1"/>
  <c r="G10" i="2" s="1"/>
  <c r="C11" i="2"/>
  <c r="C12" i="2"/>
  <c r="D12" i="2"/>
  <c r="E12" i="2"/>
  <c r="E19" i="2" s="1"/>
  <c r="F12" i="2"/>
  <c r="I433" i="1"/>
  <c r="J12" i="1" s="1"/>
  <c r="G12" i="2" s="1"/>
  <c r="C13" i="2"/>
  <c r="D13" i="2"/>
  <c r="E13" i="2"/>
  <c r="F13" i="2"/>
  <c r="C14" i="2"/>
  <c r="D14" i="2"/>
  <c r="E14" i="2"/>
  <c r="F14" i="2"/>
  <c r="I435" i="1"/>
  <c r="J14" i="1"/>
  <c r="G14" i="2"/>
  <c r="F15" i="2"/>
  <c r="C16" i="2"/>
  <c r="D16" i="2"/>
  <c r="E16" i="2"/>
  <c r="F16" i="2"/>
  <c r="F19" i="2" s="1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19" i="2"/>
  <c r="C22" i="2"/>
  <c r="D22" i="2"/>
  <c r="E22" i="2"/>
  <c r="F22" i="2"/>
  <c r="I440" i="1"/>
  <c r="I444" i="1" s="1"/>
  <c r="J23" i="1"/>
  <c r="G22" i="2" s="1"/>
  <c r="C23" i="2"/>
  <c r="C32" i="2" s="1"/>
  <c r="D23" i="2"/>
  <c r="E23" i="2"/>
  <c r="E32" i="2" s="1"/>
  <c r="F23" i="2"/>
  <c r="F32" i="2" s="1"/>
  <c r="I441" i="1"/>
  <c r="J24" i="1" s="1"/>
  <c r="G23" i="2" s="1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E34" i="2"/>
  <c r="E42" i="2" s="1"/>
  <c r="E43" i="2" s="1"/>
  <c r="F34" i="2"/>
  <c r="C35" i="2"/>
  <c r="D35" i="2"/>
  <c r="E35" i="2"/>
  <c r="F35" i="2"/>
  <c r="C36" i="2"/>
  <c r="D36" i="2"/>
  <c r="E36" i="2"/>
  <c r="F36" i="2"/>
  <c r="F42" i="2" s="1"/>
  <c r="I446" i="1"/>
  <c r="J37" i="1" s="1"/>
  <c r="C37" i="2"/>
  <c r="D37" i="2"/>
  <c r="E37" i="2"/>
  <c r="F37" i="2"/>
  <c r="I447" i="1"/>
  <c r="J38" i="1"/>
  <c r="G37" i="2" s="1"/>
  <c r="C38" i="2"/>
  <c r="D38" i="2"/>
  <c r="D42" i="2" s="1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C55" i="2" s="1"/>
  <c r="C96" i="2" s="1"/>
  <c r="E48" i="2"/>
  <c r="E55" i="2" s="1"/>
  <c r="F48" i="2"/>
  <c r="E49" i="2"/>
  <c r="E54" i="2" s="1"/>
  <c r="C50" i="2"/>
  <c r="E50" i="2"/>
  <c r="C51" i="2"/>
  <c r="D51" i="2"/>
  <c r="D54" i="2" s="1"/>
  <c r="E51" i="2"/>
  <c r="F51" i="2"/>
  <c r="D52" i="2"/>
  <c r="C53" i="2"/>
  <c r="D53" i="2"/>
  <c r="E53" i="2"/>
  <c r="F53" i="2"/>
  <c r="F54" i="2" s="1"/>
  <c r="F55" i="2" s="1"/>
  <c r="C58" i="2"/>
  <c r="C62" i="2" s="1"/>
  <c r="C59" i="2"/>
  <c r="C61" i="2"/>
  <c r="D61" i="2"/>
  <c r="E61" i="2"/>
  <c r="F61" i="2"/>
  <c r="F62" i="2" s="1"/>
  <c r="G61" i="2"/>
  <c r="D62" i="2"/>
  <c r="E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C70" i="2" s="1"/>
  <c r="C73" i="2" s="1"/>
  <c r="D69" i="2"/>
  <c r="E69" i="2"/>
  <c r="E70" i="2" s="1"/>
  <c r="E73" i="2" s="1"/>
  <c r="F69" i="2"/>
  <c r="G69" i="2"/>
  <c r="G70" i="2" s="1"/>
  <c r="G73" i="2" s="1"/>
  <c r="D70" i="2"/>
  <c r="D73" i="2" s="1"/>
  <c r="C71" i="2"/>
  <c r="D71" i="2"/>
  <c r="E71" i="2"/>
  <c r="C72" i="2"/>
  <c r="E72" i="2"/>
  <c r="C77" i="2"/>
  <c r="F77" i="2"/>
  <c r="F83" i="2" s="1"/>
  <c r="C79" i="2"/>
  <c r="C83" i="2" s="1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E102" i="2"/>
  <c r="E103" i="2"/>
  <c r="E104" i="2"/>
  <c r="C105" i="2"/>
  <c r="E105" i="2"/>
  <c r="C106" i="2"/>
  <c r="D107" i="2"/>
  <c r="F107" i="2"/>
  <c r="F137" i="2" s="1"/>
  <c r="G107" i="2"/>
  <c r="E110" i="2"/>
  <c r="E111" i="2"/>
  <c r="C112" i="2"/>
  <c r="E112" i="2"/>
  <c r="E113" i="2"/>
  <c r="C116" i="2"/>
  <c r="C117" i="2"/>
  <c r="F120" i="2"/>
  <c r="G120" i="2"/>
  <c r="C122" i="2"/>
  <c r="E122" i="2"/>
  <c r="D126" i="2"/>
  <c r="E126" i="2"/>
  <c r="F126" i="2"/>
  <c r="K411" i="1"/>
  <c r="K419" i="1"/>
  <c r="K425" i="1"/>
  <c r="K426" i="1"/>
  <c r="G126" i="2"/>
  <c r="G136" i="2" s="1"/>
  <c r="G137" i="2" s="1"/>
  <c r="L255" i="1"/>
  <c r="C127" i="2"/>
  <c r="L256" i="1"/>
  <c r="C128" i="2" s="1"/>
  <c r="L257" i="1"/>
  <c r="C129" i="2" s="1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C151" i="2"/>
  <c r="D151" i="2"/>
  <c r="E151" i="2"/>
  <c r="F151" i="2"/>
  <c r="B152" i="2"/>
  <c r="G152" i="2" s="1"/>
  <c r="C152" i="2"/>
  <c r="D152" i="2"/>
  <c r="E152" i="2"/>
  <c r="F152" i="2"/>
  <c r="G490" i="1"/>
  <c r="C153" i="2" s="1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156" i="2" s="1"/>
  <c r="G493" i="1"/>
  <c r="C156" i="2"/>
  <c r="H493" i="1"/>
  <c r="D156" i="2"/>
  <c r="I493" i="1"/>
  <c r="K493" i="1" s="1"/>
  <c r="E156" i="2"/>
  <c r="J493" i="1"/>
  <c r="F156" i="2"/>
  <c r="F19" i="1"/>
  <c r="G19" i="1"/>
  <c r="G608" i="1" s="1"/>
  <c r="J608" i="1" s="1"/>
  <c r="H19" i="1"/>
  <c r="I19" i="1"/>
  <c r="G610" i="1" s="1"/>
  <c r="G33" i="1"/>
  <c r="H33" i="1"/>
  <c r="I33" i="1"/>
  <c r="F43" i="1"/>
  <c r="G43" i="1"/>
  <c r="H43" i="1"/>
  <c r="G614" i="1" s="1"/>
  <c r="I43" i="1"/>
  <c r="I44" i="1" s="1"/>
  <c r="H610" i="1" s="1"/>
  <c r="G44" i="1"/>
  <c r="H608" i="1" s="1"/>
  <c r="F169" i="1"/>
  <c r="F184" i="1" s="1"/>
  <c r="I169" i="1"/>
  <c r="F175" i="1"/>
  <c r="G175" i="1"/>
  <c r="H175" i="1"/>
  <c r="H184" i="1" s="1"/>
  <c r="I175" i="1"/>
  <c r="J175" i="1"/>
  <c r="J184" i="1" s="1"/>
  <c r="F180" i="1"/>
  <c r="G180" i="1"/>
  <c r="H180" i="1"/>
  <c r="I180" i="1"/>
  <c r="G184" i="1"/>
  <c r="I184" i="1"/>
  <c r="F203" i="1"/>
  <c r="H203" i="1"/>
  <c r="I203" i="1"/>
  <c r="K203" i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H249" i="1"/>
  <c r="H263" i="1" s="1"/>
  <c r="I249" i="1"/>
  <c r="I263" i="1" s="1"/>
  <c r="K249" i="1"/>
  <c r="K263" i="1" s="1"/>
  <c r="F282" i="1"/>
  <c r="F330" i="1" s="1"/>
  <c r="F344" i="1" s="1"/>
  <c r="G282" i="1"/>
  <c r="H282" i="1"/>
  <c r="H330" i="1" s="1"/>
  <c r="H344" i="1" s="1"/>
  <c r="F301" i="1"/>
  <c r="G301" i="1"/>
  <c r="G330" i="1" s="1"/>
  <c r="G344" i="1" s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J633" i="1" s="1"/>
  <c r="G399" i="1"/>
  <c r="H399" i="1"/>
  <c r="H400" i="1" s="1"/>
  <c r="H634" i="1" s="1"/>
  <c r="J634" i="1" s="1"/>
  <c r="I399" i="1"/>
  <c r="G400" i="1"/>
  <c r="H635" i="1" s="1"/>
  <c r="L405" i="1"/>
  <c r="L406" i="1"/>
  <c r="L407" i="1"/>
  <c r="L411" i="1" s="1"/>
  <c r="L426" i="1" s="1"/>
  <c r="G628" i="1" s="1"/>
  <c r="J628" i="1" s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F426" i="1"/>
  <c r="J426" i="1"/>
  <c r="F438" i="1"/>
  <c r="G438" i="1"/>
  <c r="G630" i="1" s="1"/>
  <c r="H438" i="1"/>
  <c r="F444" i="1"/>
  <c r="F451" i="1" s="1"/>
  <c r="H629" i="1" s="1"/>
  <c r="J629" i="1" s="1"/>
  <c r="G444" i="1"/>
  <c r="H444" i="1"/>
  <c r="H451" i="1" s="1"/>
  <c r="H631" i="1" s="1"/>
  <c r="F450" i="1"/>
  <c r="G450" i="1"/>
  <c r="H450" i="1"/>
  <c r="G451" i="1"/>
  <c r="H630" i="1" s="1"/>
  <c r="F460" i="1"/>
  <c r="G460" i="1"/>
  <c r="H460" i="1"/>
  <c r="I460" i="1"/>
  <c r="J460" i="1"/>
  <c r="G464" i="1"/>
  <c r="G466" i="1" s="1"/>
  <c r="H613" i="1" s="1"/>
  <c r="J613" i="1" s="1"/>
  <c r="H464" i="1"/>
  <c r="H466" i="1" s="1"/>
  <c r="H614" i="1" s="1"/>
  <c r="I464" i="1"/>
  <c r="J464" i="1"/>
  <c r="J466" i="1" s="1"/>
  <c r="H616" i="1" s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I514" i="1"/>
  <c r="I535" i="1" s="1"/>
  <c r="J514" i="1"/>
  <c r="K514" i="1"/>
  <c r="K535" i="1" s="1"/>
  <c r="F519" i="1"/>
  <c r="F535" i="1" s="1"/>
  <c r="G519" i="1"/>
  <c r="H519" i="1"/>
  <c r="I519" i="1"/>
  <c r="J519" i="1"/>
  <c r="K519" i="1"/>
  <c r="F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J535" i="1"/>
  <c r="L547" i="1"/>
  <c r="L548" i="1"/>
  <c r="L549" i="1"/>
  <c r="F550" i="1"/>
  <c r="F561" i="1" s="1"/>
  <c r="G550" i="1"/>
  <c r="G561" i="1" s="1"/>
  <c r="H550" i="1"/>
  <c r="I550" i="1"/>
  <c r="J550" i="1"/>
  <c r="J561" i="1" s="1"/>
  <c r="K550" i="1"/>
  <c r="L550" i="1"/>
  <c r="L552" i="1"/>
  <c r="L553" i="1"/>
  <c r="L555" i="1" s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J588" i="1"/>
  <c r="H641" i="1" s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9" i="1"/>
  <c r="G613" i="1"/>
  <c r="G615" i="1"/>
  <c r="J615" i="1" s="1"/>
  <c r="H617" i="1"/>
  <c r="H618" i="1"/>
  <c r="H619" i="1"/>
  <c r="H620" i="1"/>
  <c r="H621" i="1"/>
  <c r="H625" i="1"/>
  <c r="H626" i="1"/>
  <c r="H627" i="1"/>
  <c r="H628" i="1"/>
  <c r="G629" i="1"/>
  <c r="G631" i="1"/>
  <c r="G633" i="1"/>
  <c r="G634" i="1"/>
  <c r="G635" i="1"/>
  <c r="J635" i="1" s="1"/>
  <c r="H637" i="1"/>
  <c r="G639" i="1"/>
  <c r="G640" i="1"/>
  <c r="H640" i="1"/>
  <c r="J640" i="1"/>
  <c r="G641" i="1"/>
  <c r="G642" i="1"/>
  <c r="H642" i="1"/>
  <c r="J642" i="1" s="1"/>
  <c r="G643" i="1"/>
  <c r="J643" i="1" s="1"/>
  <c r="H643" i="1"/>
  <c r="G644" i="1"/>
  <c r="H644" i="1"/>
  <c r="J644" i="1"/>
  <c r="G645" i="1"/>
  <c r="H645" i="1"/>
  <c r="J645" i="1"/>
  <c r="L524" i="1" l="1"/>
  <c r="H539" i="1"/>
  <c r="H542" i="1" s="1"/>
  <c r="C11" i="10"/>
  <c r="C102" i="2"/>
  <c r="L514" i="1"/>
  <c r="L535" i="1" s="1"/>
  <c r="F539" i="1"/>
  <c r="F44" i="1"/>
  <c r="H607" i="1" s="1"/>
  <c r="E136" i="2"/>
  <c r="C110" i="2"/>
  <c r="C15" i="10"/>
  <c r="D6" i="13"/>
  <c r="C6" i="13" s="1"/>
  <c r="C10" i="10"/>
  <c r="L203" i="1"/>
  <c r="C101" i="2"/>
  <c r="J639" i="1"/>
  <c r="J610" i="1"/>
  <c r="J43" i="1"/>
  <c r="G36" i="2"/>
  <c r="G42" i="2" s="1"/>
  <c r="G43" i="2" s="1"/>
  <c r="C43" i="2"/>
  <c r="D5" i="13"/>
  <c r="J542" i="1"/>
  <c r="J630" i="1"/>
  <c r="F96" i="2"/>
  <c r="F43" i="2"/>
  <c r="J19" i="1"/>
  <c r="G611" i="1" s="1"/>
  <c r="K540" i="1"/>
  <c r="C38" i="10"/>
  <c r="G96" i="2"/>
  <c r="H33" i="13"/>
  <c r="C25" i="13"/>
  <c r="G32" i="2"/>
  <c r="C39" i="10"/>
  <c r="G627" i="1"/>
  <c r="J627" i="1" s="1"/>
  <c r="H636" i="1"/>
  <c r="D7" i="13"/>
  <c r="C7" i="13" s="1"/>
  <c r="C111" i="2"/>
  <c r="C16" i="10"/>
  <c r="J624" i="1"/>
  <c r="E33" i="13"/>
  <c r="D35" i="13" s="1"/>
  <c r="C8" i="13"/>
  <c r="L561" i="1"/>
  <c r="D43" i="2"/>
  <c r="I185" i="1"/>
  <c r="G620" i="1" s="1"/>
  <c r="J620" i="1" s="1"/>
  <c r="D55" i="2"/>
  <c r="D96" i="2" s="1"/>
  <c r="H650" i="1"/>
  <c r="D12" i="13"/>
  <c r="C12" i="13" s="1"/>
  <c r="C113" i="2"/>
  <c r="C18" i="10"/>
  <c r="J631" i="1"/>
  <c r="F185" i="1"/>
  <c r="G617" i="1" s="1"/>
  <c r="J617" i="1" s="1"/>
  <c r="C36" i="10"/>
  <c r="D31" i="13"/>
  <c r="C31" i="13" s="1"/>
  <c r="E107" i="2"/>
  <c r="E137" i="2" s="1"/>
  <c r="D14" i="13"/>
  <c r="C14" i="13" s="1"/>
  <c r="C20" i="10"/>
  <c r="C115" i="2"/>
  <c r="J614" i="1"/>
  <c r="I653" i="1"/>
  <c r="G33" i="13"/>
  <c r="L330" i="1"/>
  <c r="J33" i="1"/>
  <c r="E79" i="2"/>
  <c r="G9" i="2"/>
  <c r="G19" i="2" s="1"/>
  <c r="J541" i="1"/>
  <c r="K541" i="1" s="1"/>
  <c r="C19" i="10"/>
  <c r="G161" i="1"/>
  <c r="G185" i="1" s="1"/>
  <c r="G618" i="1" s="1"/>
  <c r="J618" i="1" s="1"/>
  <c r="J104" i="1"/>
  <c r="J185" i="1" s="1"/>
  <c r="H514" i="1"/>
  <c r="H535" i="1" s="1"/>
  <c r="C17" i="10"/>
  <c r="G524" i="1"/>
  <c r="G535" i="1" s="1"/>
  <c r="I450" i="1"/>
  <c r="I451" i="1" s="1"/>
  <c r="H632" i="1" s="1"/>
  <c r="J632" i="1" s="1"/>
  <c r="F464" i="1"/>
  <c r="F466" i="1" s="1"/>
  <c r="H612" i="1" s="1"/>
  <c r="E77" i="2"/>
  <c r="L343" i="1"/>
  <c r="F652" i="1"/>
  <c r="I652" i="1" s="1"/>
  <c r="D15" i="13"/>
  <c r="C15" i="13" s="1"/>
  <c r="C114" i="2"/>
  <c r="G612" i="1"/>
  <c r="H44" i="1"/>
  <c r="H609" i="1" s="1"/>
  <c r="J609" i="1" s="1"/>
  <c r="F33" i="1"/>
  <c r="F33" i="13"/>
  <c r="J203" i="1"/>
  <c r="J249" i="1" s="1"/>
  <c r="J607" i="1"/>
  <c r="D119" i="2"/>
  <c r="D120" i="2" s="1"/>
  <c r="D137" i="2" s="1"/>
  <c r="H651" i="1"/>
  <c r="C13" i="10"/>
  <c r="F22" i="13"/>
  <c r="C22" i="13" s="1"/>
  <c r="C32" i="10"/>
  <c r="G651" i="1"/>
  <c r="G654" i="1" s="1"/>
  <c r="C12" i="10"/>
  <c r="F490" i="1"/>
  <c r="F651" i="1"/>
  <c r="L354" i="1"/>
  <c r="L604" i="1"/>
  <c r="C123" i="2"/>
  <c r="C136" i="2" s="1"/>
  <c r="G662" i="1" l="1"/>
  <c r="G657" i="1"/>
  <c r="C5" i="13"/>
  <c r="D33" i="13"/>
  <c r="D36" i="13" s="1"/>
  <c r="C120" i="2"/>
  <c r="H654" i="1"/>
  <c r="E83" i="2"/>
  <c r="E96" i="2" s="1"/>
  <c r="K539" i="1"/>
  <c r="K542" i="1" s="1"/>
  <c r="F542" i="1"/>
  <c r="L344" i="1"/>
  <c r="G623" i="1" s="1"/>
  <c r="J623" i="1" s="1"/>
  <c r="G616" i="1"/>
  <c r="J616" i="1" s="1"/>
  <c r="J44" i="1"/>
  <c r="H611" i="1" s="1"/>
  <c r="J611" i="1" s="1"/>
  <c r="H638" i="1"/>
  <c r="J638" i="1" s="1"/>
  <c r="J263" i="1"/>
  <c r="C27" i="10"/>
  <c r="G625" i="1"/>
  <c r="J625" i="1" s="1"/>
  <c r="I651" i="1"/>
  <c r="C41" i="10"/>
  <c r="D36" i="10"/>
  <c r="C107" i="2"/>
  <c r="B153" i="2"/>
  <c r="G153" i="2" s="1"/>
  <c r="K490" i="1"/>
  <c r="L249" i="1"/>
  <c r="L263" i="1" s="1"/>
  <c r="G622" i="1" s="1"/>
  <c r="J622" i="1" s="1"/>
  <c r="F650" i="1"/>
  <c r="G636" i="1"/>
  <c r="J636" i="1" s="1"/>
  <c r="G621" i="1"/>
  <c r="J621" i="1" s="1"/>
  <c r="D39" i="10"/>
  <c r="J612" i="1"/>
  <c r="H662" i="1" l="1"/>
  <c r="H657" i="1"/>
  <c r="I650" i="1"/>
  <c r="I654" i="1" s="1"/>
  <c r="F654" i="1"/>
  <c r="C28" i="10"/>
  <c r="D37" i="10"/>
  <c r="D35" i="10"/>
  <c r="D40" i="10"/>
  <c r="C137" i="2"/>
  <c r="H646" i="1"/>
  <c r="D38" i="10"/>
  <c r="C30" i="10" l="1"/>
  <c r="D25" i="10"/>
  <c r="D22" i="10"/>
  <c r="D21" i="10"/>
  <c r="D26" i="10"/>
  <c r="D23" i="10"/>
  <c r="D24" i="10"/>
  <c r="D18" i="10"/>
  <c r="D19" i="10"/>
  <c r="D17" i="10"/>
  <c r="D10" i="10"/>
  <c r="D15" i="10"/>
  <c r="D16" i="10"/>
  <c r="D13" i="10"/>
  <c r="D11" i="10"/>
  <c r="D12" i="10"/>
  <c r="D20" i="10"/>
  <c r="D41" i="10"/>
  <c r="I662" i="1"/>
  <c r="C7" i="10" s="1"/>
  <c r="I657" i="1"/>
  <c r="F662" i="1"/>
  <c r="C4" i="10" s="1"/>
  <c r="F657" i="1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450E319-E0F9-4B6A-AE7C-0DB40C213D2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B64603B-9EB8-42B7-8A0F-B19AD15F5F7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81238D2-1E62-4B66-9110-6A28FC1E6BB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803800B-80C2-4C1A-A246-8A603034635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8314821A-1246-47EC-8F56-44D67D2C601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298EB4C-DFC9-45C1-8541-D0C881849B5D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AAC159F-BBF6-40EA-82AD-9136AE5DD58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32BB6F6-06AF-444F-8E07-BB310AF498C6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F495B80-F678-46C4-A3C9-1F1E0FB2D18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18A674E-8AAB-4F85-8DBE-418B9D8848C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AC7B029-E663-4FB8-B684-AA2951F5E30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3262DD0-B3E4-4A49-A6F2-BD202392BDE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<sst xmlns="http://schemas.openxmlformats.org/spreadsheetml/2006/main" count="3861" uniqueCount="898">
  <si>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</si>
  <si>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</si>
  <si>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</si>
  <si>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</si>
  <si>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</si>
  <si>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</si>
  <si>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</si>
  <si>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</si>
  <si>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</si>
  <si>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</si>
  <si>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</si>
  <si>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</si>
  <si>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</si>
  <si>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</si>
  <si>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</si>
  <si>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</si>
  <si>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</si>
  <si>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</si>
  <si>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</si>
  <si>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</si>
  <si>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</si>
  <si>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</si>
  <si>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</si>
  <si>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</si>
  <si>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</si>
  <si>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</si>
  <si>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</si>
  <si>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</si>
  <si>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</si>
  <si>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</si>
  <si>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</si>
  <si>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</si>
  <si>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</si>
  <si>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</si>
  <si>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</si>
  <si>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</si>
  <si>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</si>
  <si>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</si>
  <si>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</si>
  <si>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</si>
  <si>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</si>
  <si>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</si>
  <si>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</si>
  <si>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</si>
  <si>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</si>
  <si>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</si>
  <si>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</si>
  <si>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</si>
  <si>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</si>
  <si>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</si>
  <si>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</si>
  <si>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</si>
  <si>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</si>
  <si>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</si>
  <si>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</si>
  <si>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</si>
  <si>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</si>
  <si>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</si>
  <si>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</si>
  <si>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</si>
  <si>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</si>
  <si>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</si>
  <si>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</si>
  <si>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</si>
  <si>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</si>
  <si>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</si>
  <si>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</si>
  <si>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</si>
  <si>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</si>
  <si>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</si>
  <si>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</si>
  <si>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</si>
  <si>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</si>
  <si>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</si>
  <si>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</si>
  <si>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</si>
  <si>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</si>
  <si>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</si>
  <si>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</si>
  <si>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</si>
  <si>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</si>
  <si>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</si>
  <si>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</si>
  <si>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</si>
  <si>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</si>
  <si>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</si>
  <si>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</si>
  <si>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</si>
  <si>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</si>
  <si>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</si>
  <si>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</si>
  <si>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</si>
  <si>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</si>
  <si>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</si>
  <si>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</si>
  <si>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</si>
  <si>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</si>
  <si>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</si>
  <si>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</si>
  <si>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</si>
  <si>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</si>
  <si>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</si>
  <si>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</si>
  <si>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</si>
  <si>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</si>
  <si>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</si>
  <si>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</si>
  <si>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</si>
  <si>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</si>
  <si>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</si>
  <si>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</si>
  <si>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</si>
  <si>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</si>
  <si>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</si>
  <si>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</si>
  <si>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</si>
  <si>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</si>
  <si>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</si>
  <si>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</si>
  <si>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</si>
  <si>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</si>
  <si>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</si>
  <si>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</si>
  <si>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</si>
  <si>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</si>
  <si>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</si>
  <si>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</si>
  <si>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</si>
  <si>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</si>
  <si>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</si>
  <si>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</si>
  <si>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</si>
  <si>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</si>
  <si>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</si>
  <si>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</si>
  <si>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</si>
  <si>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</si>
  <si>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</si>
  <si>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</si>
  <si>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</si>
  <si>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</si>
  <si>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</si>
  <si>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</si>
  <si>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</si>
  <si>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</si>
  <si>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</si>
  <si>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</si>
  <si>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</si>
  <si>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</si>
  <si>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</si>
  <si>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</si>
  <si>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</si>
  <si>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</si>
  <si>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</si>
  <si>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</si>
  <si>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</si>
  <si>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</si>
  <si>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</si>
  <si>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</si>
  <si>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</si>
  <si>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</si>
  <si>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</si>
  <si>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</si>
  <si>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</si>
  <si>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</si>
  <si>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</si>
  <si>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</si>
  <si>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</si>
  <si>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</si>
  <si>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</si>
  <si>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</si>
  <si>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</si>
  <si>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</si>
  <si>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</si>
  <si>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</si>
  <si>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</si>
  <si>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</si>
  <si>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</si>
  <si>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</si>
  <si>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</si>
  <si>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</si>
  <si>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</si>
  <si>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</si>
  <si>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</si>
  <si>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</si>
  <si>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</si>
  <si>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</si>
  <si>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</si>
  <si>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</si>
  <si>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</si>
  <si>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</si>
  <si>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</si>
  <si>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</si>
  <si>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</si>
  <si>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</si>
  <si>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</si>
  <si>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</si>
  <si>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</si>
  <si>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</si>
  <si>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</si>
  <si>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</si>
  <si>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</si>
  <si>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</si>
  <si>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</si>
  <si>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</si>
  <si>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</si>
  <si>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</si>
  <si>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</si>
  <si>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</si>
  <si>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</si>
  <si>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</si>
  <si>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</si>
  <si>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</si>
  <si>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</si>
  <si>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</si>
  <si>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</si>
  <si>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</si>
  <si>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</si>
  <si>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</si>
  <si>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</si>
  <si>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</si>
  <si>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</si>
  <si>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</si>
  <si>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</si>
  <si>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</si>
  <si>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</si>
  <si>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</si>
  <si>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</si>
  <si>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</si>
  <si>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</si>
  <si>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</si>
  <si>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</si>
  <si>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</si>
  <si>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</si>
  <si>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</si>
  <si>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</si>
  <si>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</si>
  <si>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</si>
  <si>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</si>
  <si>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</si>
  <si>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</si>
  <si>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</si>
  <si>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</si>
  <si>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</si>
  <si>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</si>
  <si>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</si>
  <si>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</si>
  <si>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</si>
  <si>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</si>
  <si>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</si>
  <si>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</si>
  <si>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</si>
  <si>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</si>
  <si>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</si>
  <si>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</si>
  <si>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</si>
  <si>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</si>
  <si>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</si>
  <si>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</si>
  <si>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</si>
  <si>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</si>
  <si>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</si>
  <si>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</si>
  <si>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</si>
  <si>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</si>
  <si>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</si>
  <si>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</si>
  <si>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</si>
  <si>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</si>
  <si>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</si>
  <si>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</si>
  <si>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</si>
  <si>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</si>
  <si>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</si>
  <si>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</si>
  <si>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</si>
  <si>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</si>
  <si>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</si>
  <si>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</si>
  <si>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</si>
  <si>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</si>
  <si>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</si>
  <si>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</si>
  <si>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</si>
  <si>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</si>
  <si>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</si>
  <si>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</si>
  <si>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</si>
  <si>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</si>
  <si>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</si>
  <si>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</si>
  <si>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</si>
  <si>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</si>
  <si>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</si>
  <si>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</si>
  <si>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</si>
  <si>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</si>
  <si>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</si>
  <si>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</si>
  <si>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</si>
  <si>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</si>
  <si>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</si>
  <si>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</si>
  <si>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</si>
  <si>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</si>
  <si>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</si>
  <si>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</si>
  <si>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</si>
  <si>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</si>
  <si>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</si>
  <si>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</si>
  <si>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</si>
  <si>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</si>
  <si>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</si>
  <si>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</si>
  <si>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</si>
  <si>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</si>
  <si>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</si>
  <si>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</si>
  <si>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</si>
  <si>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</si>
  <si>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</si>
  <si>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</si>
  <si>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</si>
  <si>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</si>
  <si>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</si>
  <si>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</si>
  <si>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</si>
  <si>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</si>
  <si>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</si>
  <si>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</si>
  <si>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</si>
  <si>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</si>
  <si>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</si>
  <si>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</si>
  <si>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</si>
  <si>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</si>
  <si>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</si>
  <si>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</si>
  <si>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</si>
  <si>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</si>
  <si>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</si>
  <si>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</si>
  <si>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</si>
  <si>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</si>
  <si>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</si>
  <si>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</si>
  <si>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</si>
  <si>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</si>
  <si>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</si>
  <si>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</si>
  <si>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</si>
  <si>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</si>
  <si>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</si>
  <si>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</si>
  <si>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</si>
  <si>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</si>
  <si>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</si>
  <si>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</si>
  <si>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</si>
  <si>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</si>
  <si>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</si>
  <si>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</si>
  <si>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</si>
  <si>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</si>
  <si>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</si>
  <si>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</si>
  <si>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</si>
  <si>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</si>
  <si>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</si>
  <si>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</si>
  <si>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</si>
  <si>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</si>
  <si>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</si>
  <si>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</si>
  <si>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</si>
  <si>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</si>
  <si>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</si>
  <si>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</si>
  <si>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</si>
  <si>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</si>
  <si>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</si>
  <si>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</si>
  <si>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</si>
  <si>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</si>
  <si>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</si>
  <si>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</si>
  <si>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</si>
  <si>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</si>
  <si>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</si>
  <si>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</si>
  <si>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</si>
  <si>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</si>
  <si>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</si>
  <si>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</si>
  <si>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</si>
  <si>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</si>
  <si>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</si>
  <si>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</si>
  <si>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</si>
  <si>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</si>
  <si>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</si>
  <si>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</si>
  <si>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</si>
  <si>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</si>
  <si>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</si>
  <si>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</si>
  <si>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</si>
  <si>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</si>
  <si>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</si>
  <si>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</si>
  <si>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</si>
  <si>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</si>
  <si>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</si>
  <si>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</si>
  <si>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</si>
  <si>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</si>
  <si>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</si>
  <si>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</si>
  <si>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</si>
  <si>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</si>
  <si>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</si>
  <si>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</si>
  <si>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</si>
  <si>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</si>
  <si>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</si>
  <si>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</si>
  <si>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</si>
  <si>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</si>
  <si>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</si>
  <si>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</si>
  <si>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</si>
  <si>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</si>
  <si>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</si>
  <si>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</si>
  <si>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</si>
  <si>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</si>
  <si>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</si>
  <si>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</si>
  <si>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</si>
  <si>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</si>
  <si>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</si>
  <si>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</si>
  <si>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</si>
  <si>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</si>
  <si>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</si>
  <si>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</si>
  <si>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</si>
  <si>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</si>
  <si>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</si>
  <si>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</si>
  <si>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</si>
  <si>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</si>
  <si>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</si>
  <si>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</si>
  <si>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</si>
  <si>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</si>
  <si>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</si>
  <si>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</si>
  <si>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</si>
  <si>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</si>
  <si>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</si>
  <si>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</si>
  <si>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</si>
  <si>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</si>
  <si>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</si>
  <si>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</si>
  <si>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</si>
  <si>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</si>
  <si>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</si>
  <si>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</si>
  <si>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</si>
  <si>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</si>
  <si>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</si>
  <si>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</si>
  <si>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</si>
  <si>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</si>
  <si>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</si>
  <si>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</si>
  <si>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</si>
  <si>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</si>
  <si>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</si>
  <si>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</si>
  <si>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</si>
  <si>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</si>
  <si>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</si>
  <si>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</si>
  <si>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</si>
  <si>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</si>
  <si>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</si>
  <si>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</si>
  <si>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</si>
  <si>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</si>
  <si>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</si>
  <si>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</si>
  <si>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</si>
  <si>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</si>
  <si>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</si>
  <si>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</si>
  <si>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</si>
  <si>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</si>
  <si>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</si>
  <si>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</si>
  <si>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</si>
  <si>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</si>
  <si>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</si>
  <si>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</si>
  <si>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</si>
  <si>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</si>
  <si>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</si>
  <si>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</si>
  <si>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</si>
  <si>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</si>
  <si>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</si>
  <si>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</si>
  <si>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</si>
  <si>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</si>
  <si>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</si>
  <si>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</si>
  <si>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</si>
  <si>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</si>
  <si>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</si>
  <si>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</si>
  <si>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</si>
  <si>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</si>
  <si>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</si>
  <si>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</si>
  <si>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</si>
  <si>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</si>
  <si>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</si>
  <si>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</si>
  <si>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</si>
  <si>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</si>
  <si>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</si>
  <si>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</si>
  <si>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</si>
  <si>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</si>
  <si>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</si>
  <si>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</si>
  <si>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</si>
  <si>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</si>
  <si>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</si>
  <si>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</si>
  <si>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</si>
  <si>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</si>
  <si>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</si>
  <si>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</si>
  <si>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</si>
  <si>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</si>
  <si>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</si>
  <si>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</si>
  <si>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</si>
  <si>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</si>
  <si>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</si>
  <si>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</si>
  <si>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</si>
  <si>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</si>
  <si>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</si>
  <si>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</si>
  <si>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</si>
  <si>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</si>
  <si>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</si>
  <si>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</si>
  <si>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</si>
  <si>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</si>
  <si>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</si>
  <si>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</si>
  <si>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</si>
  <si>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</si>
  <si>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</si>
  <si>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</si>
  <si>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</si>
  <si>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</si>
  <si>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</si>
  <si>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</si>
  <si>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</si>
  <si>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</si>
  <si>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</si>
  <si>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</si>
  <si>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</si>
  <si>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</si>
  <si>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</si>
  <si>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</si>
  <si>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</si>
  <si>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</si>
  <si>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</si>
  <si>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</si>
  <si>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</si>
  <si>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</si>
  <si>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</si>
  <si>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</si>
  <si>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</si>
  <si>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</si>
  <si>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</si>
  <si>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</si>
  <si>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</si>
  <si>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</si>
  <si>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</si>
  <si>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</si>
  <si>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</si>
  <si>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</si>
  <si>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</si>
  <si>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</si>
  <si>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</si>
  <si>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</si>
  <si>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</si>
  <si>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</si>
  <si>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</si>
  <si>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</si>
  <si>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</si>
  <si>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</si>
  <si>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</si>
  <si>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</si>
  <si>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</si>
  <si>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</si>
  <si>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</si>
  <si>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</si>
  <si>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</si>
  <si>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</si>
  <si>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</si>
  <si>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</si>
  <si>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</si>
  <si>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</si>
  <si>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</si>
  <si>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</si>
  <si>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</si>
  <si>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</si>
  <si>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</si>
  <si>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</si>
  <si>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</si>
  <si>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</si>
  <si>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</si>
  <si>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</si>
  <si>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</si>
  <si>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</si>
  <si>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</si>
  <si>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</si>
  <si>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</si>
  <si>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</si>
  <si>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</si>
  <si>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</si>
  <si>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</si>
  <si>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</si>
  <si>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</si>
  <si>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</si>
  <si>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</si>
  <si>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</si>
  <si>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</si>
  <si>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</si>
  <si>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</si>
  <si>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</si>
  <si>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</si>
  <si>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</si>
  <si>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</si>
  <si>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</si>
  <si>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</si>
  <si>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</si>
  <si>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</si>
  <si>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</si>
  <si>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</si>
  <si>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</si>
  <si>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</si>
  <si>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</si>
  <si>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</si>
  <si>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</si>
  <si>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</si>
  <si>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</si>
  <si>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</si>
  <si>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</si>
  <si>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</si>
  <si>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</si>
  <si>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</si>
  <si>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</si>
  <si>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</si>
  <si>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</si>
  <si>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</si>
  <si>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</si>
  <si>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</si>
  <si>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</si>
  <si>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</si>
  <si>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</si>
  <si>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</si>
  <si>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</si>
  <si>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</si>
  <si>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</si>
  <si>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</si>
  <si>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</si>
  <si>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</si>
  <si>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</si>
  <si>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</si>
  <si>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</si>
  <si>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</si>
  <si>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</si>
  <si>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</si>
  <si>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</si>
  <si>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</si>
  <si>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</si>
  <si>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</si>
  <si>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</si>
  <si>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</si>
  <si>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</si>
  <si>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</si>
  <si>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</si>
  <si>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</si>
  <si>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</si>
  <si>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</si>
  <si>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</si>
  <si>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</si>
  <si>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</si>
  <si>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</si>
  <si>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</si>
  <si>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</si>
  <si>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</si>
  <si>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</si>
  <si>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</si>
  <si>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</si>
  <si>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</si>
  <si>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</si>
  <si>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</si>
  <si>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</si>
  <si>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</si>
  <si>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</si>
  <si>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</si>
  <si>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</si>
  <si>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</si>
  <si>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</si>
  <si>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</si>
  <si>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</si>
  <si>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</si>
  <si>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</si>
  <si>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</si>
  <si>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</si>
  <si>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</si>
  <si>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</si>
  <si>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</si>
  <si>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</si>
  <si>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</si>
  <si>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</si>
  <si>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</si>
  <si>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</si>
  <si>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</si>
  <si>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</si>
  <si>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</si>
  <si>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</si>
  <si>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</si>
  <si>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</si>
  <si>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</si>
  <si>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</si>
  <si>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</si>
  <si>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</si>
  <si>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</si>
  <si>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</si>
  <si>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</si>
  <si>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</si>
  <si>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</si>
  <si>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</si>
  <si>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</si>
  <si>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</si>
  <si>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</si>
  <si>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</si>
  <si>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</si>
  <si>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</si>
  <si>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</si>
  <si>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</si>
  <si>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</si>
  <si>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</si>
  <si>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</si>
  <si>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</si>
  <si>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</si>
  <si>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</si>
  <si>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</si>
  <si>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</si>
  <si>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</si>
  <si>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</si>
  <si>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</si>
  <si>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</si>
  <si>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</si>
  <si>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</si>
  <si>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</si>
  <si>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</si>
  <si>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</si>
  <si>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</si>
  <si>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</si>
  <si>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</si>
  <si>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</si>
  <si>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</si>
  <si>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</si>
  <si>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</si>
  <si>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</si>
  <si>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</si>
  <si>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</si>
  <si>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</si>
  <si>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</si>
  <si>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</si>
  <si>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</si>
  <si>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</si>
  <si>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</si>
  <si>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</si>
  <si>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</si>
  <si>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</si>
  <si>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</si>
  <si>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</si>
  <si>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</si>
  <si>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</si>
  <si>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</si>
  <si>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</si>
  <si>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</si>
  <si>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</si>
  <si>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</si>
  <si>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</si>
  <si>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</si>
  <si>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</si>
  <si>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</si>
  <si>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</si>
  <si>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</si>
  <si>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</si>
  <si>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</si>
  <si>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</si>
  <si>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</si>
  <si>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</si>
  <si>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</si>
  <si>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</si>
  <si>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</si>
  <si>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</si>
  <si>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</si>
  <si>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</si>
  <si>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</si>
  <si>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</si>
  <si>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</si>
  <si>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</si>
  <si>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</si>
  <si>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</si>
  <si>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</si>
  <si>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</si>
  <si>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</si>
  <si>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</si>
  <si>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</si>
  <si>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</si>
  <si>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</si>
  <si>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</si>
  <si>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</si>
  <si>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</si>
  <si>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</si>
  <si>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</si>
  <si>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</si>
  <si>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</si>
  <si>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</si>
  <si>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</si>
  <si>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</si>
  <si>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</si>
  <si>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</si>
  <si>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</si>
  <si>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</si>
  <si>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</si>
  <si>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</si>
  <si>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</si>
  <si>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</si>
  <si>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</si>
  <si>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</si>
  <si>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</si>
  <si>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</si>
  <si>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</si>
  <si>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</si>
  <si>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</si>
  <si>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</si>
  <si>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</si>
  <si>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</si>
  <si>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</si>
  <si>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</si>
  <si>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</si>
  <si>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</si>
  <si>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</si>
  <si>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</si>
  <si>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</si>
  <si>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</si>
  <si>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</si>
  <si>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</si>
  <si>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</si>
  <si>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</si>
  <si>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</si>
  <si>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</si>
  <si>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</si>
  <si>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</si>
  <si>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</si>
  <si>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</si>
  <si>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</si>
  <si>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</si>
  <si>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</si>
  <si>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</si>
  <si>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</si>
  <si>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</si>
  <si>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</si>
  <si>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</si>
  <si>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</si>
  <si>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BROOKLINE SCHOOL DISTRICT</t>
  </si>
  <si>
    <t>08/2019</t>
  </si>
  <si>
    <t>09/1999</t>
  </si>
  <si>
    <t>Impact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</si>
</sst>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E107-4C88-47D6-822D-B5023244D405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71</v>
      </c>
      <c r="C2" s="21">
        <v>71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409467.67</v>
      </c>
      <c r="G9" s="18">
        <v>19483.09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199774.41</v>
      </c>
      <c r="G12" s="18"/>
      <c r="H12" s="18">
        <v>23278.799999999999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8963.8799999999992</v>
      </c>
      <c r="G13" s="18">
        <v>7478.6</v>
      </c>
      <c r="H13" s="18">
        <v>127519.28</v>
      </c>
      <c r="I13" s="18"/>
      <c r="J13" s="67">
        <f>SUM(I434)</f>
        <v>52983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3978.75</v>
      </c>
      <c r="G14" s="18"/>
      <c r="H14" s="18">
        <v>226.7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1959.5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624144.21</v>
      </c>
      <c r="G19" s="41">
        <f>SUM(G9:G18)</f>
        <v>26961.690000000002</v>
      </c>
      <c r="H19" s="41">
        <f>SUM(H9:H18)</f>
        <v>151024.78</v>
      </c>
      <c r="I19" s="41">
        <f>SUM(I9:I18)</f>
        <v>0</v>
      </c>
      <c r="J19" s="41">
        <f>SUM(J9:J18)</f>
        <v>52983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58963.16</v>
      </c>
      <c r="G23" s="18">
        <v>23460.69</v>
      </c>
      <c r="H23" s="18">
        <v>9478.25</v>
      </c>
      <c r="I23" s="18"/>
      <c r="J23" s="67">
        <f>SUM(I440)</f>
        <v>15209.85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13001.94</v>
      </c>
      <c r="G24" s="18"/>
      <c r="H24" s="18">
        <v>115941.26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26535.9+182.66</f>
        <v>26718.560000000001</v>
      </c>
      <c r="G25" s="18"/>
      <c r="H25" s="18">
        <v>519.79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16602.53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30835.21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2130</v>
      </c>
      <c r="G31" s="18">
        <v>3501</v>
      </c>
      <c r="H31" s="18">
        <v>1579.98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148251.4</v>
      </c>
      <c r="G33" s="41">
        <f>SUM(G23:G32)</f>
        <v>26961.69</v>
      </c>
      <c r="H33" s="41">
        <f>SUM(H23:H32)</f>
        <v>127519.27999999998</v>
      </c>
      <c r="I33" s="41">
        <f>SUM(I23:I32)</f>
        <v>0</v>
      </c>
      <c r="J33" s="41">
        <f>SUM(J23:J32)</f>
        <v>15209.85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161870.6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190443.14-190443.14</f>
        <v>0</v>
      </c>
      <c r="H41" s="18">
        <f>195203.56-195203.56+24427.45+16785.12-17707.07</f>
        <v>23505.5</v>
      </c>
      <c r="I41" s="18"/>
      <c r="J41" s="13">
        <f>SUM(I449)</f>
        <v>37773.15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288176.98+7816107.08-7731298.69-26749.92-32213.24</f>
        <v>314022.21000000014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475892.81000000017</v>
      </c>
      <c r="G43" s="41">
        <f>SUM(G35:G42)</f>
        <v>0</v>
      </c>
      <c r="H43" s="41">
        <f>SUM(H35:H42)</f>
        <v>23505.5</v>
      </c>
      <c r="I43" s="41">
        <f>SUM(I35:I42)</f>
        <v>0</v>
      </c>
      <c r="J43" s="41">
        <f>SUM(J35:J42)</f>
        <v>37773.15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624144.2100000002</v>
      </c>
      <c r="G44" s="41">
        <f>G43+G33</f>
        <v>26961.69</v>
      </c>
      <c r="H44" s="41">
        <f>H43+H33</f>
        <v>151024.77999999997</v>
      </c>
      <c r="I44" s="41">
        <f>I43+I33</f>
        <v>0</v>
      </c>
      <c r="J44" s="41">
        <f>J43+J33</f>
        <v>52983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4880861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10453.85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4891314.8499999996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6240+14040</f>
        <v>20280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-9972.1299999999992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10307.870000000001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2785.12</v>
      </c>
      <c r="G88" s="18">
        <v>180.06</v>
      </c>
      <c r="H88" s="18"/>
      <c r="I88" s="18"/>
      <c r="J88" s="18">
        <v>25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445.95+56771.7+71630.45-3268</f>
        <v>125580.09999999999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1820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4610.72</v>
      </c>
      <c r="G94" s="18"/>
      <c r="H94" s="18">
        <v>16785.12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300.55</v>
      </c>
      <c r="G102" s="18">
        <v>277.5</v>
      </c>
      <c r="H102" s="18"/>
      <c r="I102" s="18"/>
      <c r="J102" s="18">
        <v>-15209.85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9516.39</v>
      </c>
      <c r="G103" s="41">
        <f>SUM(G88:G102)</f>
        <v>126037.65999999999</v>
      </c>
      <c r="H103" s="41">
        <f>SUM(H88:H102)</f>
        <v>16785.12</v>
      </c>
      <c r="I103" s="41">
        <f>SUM(I88:I102)</f>
        <v>0</v>
      </c>
      <c r="J103" s="41">
        <f>SUM(J88:J102)</f>
        <v>-15184.85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4911139.1099999994</v>
      </c>
      <c r="G104" s="41">
        <f>G52+G103</f>
        <v>126037.65999999999</v>
      </c>
      <c r="H104" s="41">
        <f>H52+H71+H86+H103</f>
        <v>16785.12</v>
      </c>
      <c r="I104" s="41">
        <f>I52+I103</f>
        <v>0</v>
      </c>
      <c r="J104" s="41">
        <f>J52+J103</f>
        <v>-15184.85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1488540.52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611333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571107.48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2670981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79096.570000000007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54173.48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2346.16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133270.05000000002</v>
      </c>
      <c r="G128" s="41">
        <f>SUM(G115:G127)</f>
        <v>2346.16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2804251.05</v>
      </c>
      <c r="G132" s="41">
        <f>G113+SUM(G128:G129)</f>
        <v>2346.16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12877.28+47634+1362.27</f>
        <v>61873.549999999996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7218.71+1677.27+830.07+10737.96</f>
        <v>20464.009999999998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36801.61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107891+4975</f>
        <v>112866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100716.92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100716.92</v>
      </c>
      <c r="G154" s="41">
        <f>SUM(G142:G153)</f>
        <v>36801.61</v>
      </c>
      <c r="H154" s="41">
        <f>SUM(H142:H153)</f>
        <v>195203.56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100716.92</v>
      </c>
      <c r="G161" s="41">
        <f>G139+G154+SUM(G155:G160)</f>
        <v>36801.61</v>
      </c>
      <c r="H161" s="41">
        <f>H139+H154+SUM(H155:H160)</f>
        <v>195203.56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25257.71</v>
      </c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25257.71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25257.71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7816107.0799999991</v>
      </c>
      <c r="G185" s="47">
        <f>G104+G132+G161+G184</f>
        <v>190443.13999999998</v>
      </c>
      <c r="H185" s="47">
        <f>H104+H132+H161+H184</f>
        <v>211988.68</v>
      </c>
      <c r="I185" s="47">
        <f>I104+I132+I161+I184</f>
        <v>0</v>
      </c>
      <c r="J185" s="47">
        <f>J104+J132+J184</f>
        <v>-5184.8500000000004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2325193.7999999998</v>
      </c>
      <c r="G189" s="18">
        <v>733737.52</v>
      </c>
      <c r="H189" s="18">
        <v>48296.08</v>
      </c>
      <c r="I189" s="18">
        <f>42903.19+3725.42</f>
        <v>46628.61</v>
      </c>
      <c r="J189" s="18">
        <f>5207.91+28.92</f>
        <v>5236.83</v>
      </c>
      <c r="K189" s="18">
        <v>356.5</v>
      </c>
      <c r="L189" s="19">
        <f>SUM(F189:K189)</f>
        <v>3159449.34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863923.09</v>
      </c>
      <c r="G190" s="18">
        <v>272619.34000000003</v>
      </c>
      <c r="H190" s="18">
        <v>335608.5</v>
      </c>
      <c r="I190" s="18">
        <f>15563.09+188.87</f>
        <v>15751.960000000001</v>
      </c>
      <c r="J190" s="18">
        <f>11833.16+464.73</f>
        <v>12297.89</v>
      </c>
      <c r="K190" s="18"/>
      <c r="L190" s="19">
        <f>SUM(F190:K190)</f>
        <v>1500200.7799999998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429680.89</v>
      </c>
      <c r="G194" s="18">
        <v>135589.98000000001</v>
      </c>
      <c r="H194" s="18">
        <v>92698.65</v>
      </c>
      <c r="I194" s="18">
        <f>13084.76+407.63</f>
        <v>13492.39</v>
      </c>
      <c r="J194" s="18">
        <f>921.5+329.99</f>
        <v>1251.49</v>
      </c>
      <c r="K194" s="18"/>
      <c r="L194" s="19">
        <f t="shared" ref="L194:L200" si="0">SUM(F194:K194)</f>
        <v>672713.4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117702</v>
      </c>
      <c r="G195" s="18">
        <v>37142.01</v>
      </c>
      <c r="H195" s="18">
        <v>138.94</v>
      </c>
      <c r="I195" s="18">
        <f>17964.1+119.18</f>
        <v>18083.28</v>
      </c>
      <c r="J195" s="18">
        <f>1935.64+2185.99</f>
        <v>4121.63</v>
      </c>
      <c r="K195" s="18"/>
      <c r="L195" s="19">
        <f t="shared" si="0"/>
        <v>177187.86000000002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f>267195.85+3444</f>
        <v>270639.84999999998</v>
      </c>
      <c r="I196" s="18">
        <v>1487.91</v>
      </c>
      <c r="J196" s="18"/>
      <c r="K196" s="18">
        <v>3384.91</v>
      </c>
      <c r="L196" s="19">
        <f t="shared" si="0"/>
        <v>275512.66999999993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336735.55</v>
      </c>
      <c r="G197" s="18">
        <v>106260.18</v>
      </c>
      <c r="H197" s="18">
        <f>44051.07+296.56</f>
        <v>44347.63</v>
      </c>
      <c r="I197" s="18">
        <v>3579.69</v>
      </c>
      <c r="J197" s="18">
        <v>168.88</v>
      </c>
      <c r="K197" s="18">
        <v>2318.94</v>
      </c>
      <c r="L197" s="19">
        <f t="shared" si="0"/>
        <v>493410.87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6455.42</v>
      </c>
      <c r="I198" s="18"/>
      <c r="J198" s="18"/>
      <c r="K198" s="18"/>
      <c r="L198" s="19">
        <f t="shared" si="0"/>
        <v>6455.42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217165.62</v>
      </c>
      <c r="G199" s="18">
        <v>68528.72</v>
      </c>
      <c r="H199" s="18">
        <f>133064.05+13702.6</f>
        <v>146766.65</v>
      </c>
      <c r="I199" s="18">
        <f>163778.93+2197.19</f>
        <v>165976.12</v>
      </c>
      <c r="J199" s="18">
        <f>5668.73+698</f>
        <v>6366.73</v>
      </c>
      <c r="K199" s="18"/>
      <c r="L199" s="19">
        <f t="shared" si="0"/>
        <v>604803.83999999997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372104.2</v>
      </c>
      <c r="I200" s="18">
        <v>32013.34</v>
      </c>
      <c r="J200" s="18"/>
      <c r="K200" s="18"/>
      <c r="L200" s="19">
        <f t="shared" si="0"/>
        <v>404117.54000000004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4290400.9499999993</v>
      </c>
      <c r="G203" s="41">
        <f t="shared" si="1"/>
        <v>1353877.75</v>
      </c>
      <c r="H203" s="41">
        <f t="shared" si="1"/>
        <v>1317055.9200000002</v>
      </c>
      <c r="I203" s="41">
        <f t="shared" si="1"/>
        <v>297013.3</v>
      </c>
      <c r="J203" s="41">
        <f t="shared" si="1"/>
        <v>29443.450000000004</v>
      </c>
      <c r="K203" s="41">
        <f t="shared" si="1"/>
        <v>6060.35</v>
      </c>
      <c r="L203" s="41">
        <f t="shared" si="1"/>
        <v>7293851.7199999997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1440</v>
      </c>
      <c r="K247" s="18"/>
      <c r="L247" s="19">
        <f t="shared" si="6"/>
        <v>1440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1440</v>
      </c>
      <c r="K248" s="41">
        <f t="shared" si="7"/>
        <v>0</v>
      </c>
      <c r="L248" s="41">
        <f>SUM(F248:K248)</f>
        <v>1440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4290400.9499999993</v>
      </c>
      <c r="G249" s="41">
        <f t="shared" si="8"/>
        <v>1353877.75</v>
      </c>
      <c r="H249" s="41">
        <f t="shared" si="8"/>
        <v>1317055.9200000002</v>
      </c>
      <c r="I249" s="41">
        <f t="shared" si="8"/>
        <v>297013.3</v>
      </c>
      <c r="J249" s="41">
        <f t="shared" si="8"/>
        <v>30883.450000000004</v>
      </c>
      <c r="K249" s="41">
        <f t="shared" si="8"/>
        <v>6060.35</v>
      </c>
      <c r="L249" s="41">
        <f t="shared" si="8"/>
        <v>7295291.7199999997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256937.21</v>
      </c>
      <c r="L252" s="19">
        <f>SUM(F252:K252)</f>
        <v>256937.21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176025.29</v>
      </c>
      <c r="L253" s="19">
        <f>SUM(F253:K253)</f>
        <v>176025.29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25257.71</v>
      </c>
      <c r="L255" s="19">
        <f>SUM(F255:K255)</f>
        <v>25257.71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468220.21</v>
      </c>
      <c r="L262" s="41">
        <f t="shared" si="9"/>
        <v>468220.21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4290400.9499999993</v>
      </c>
      <c r="G263" s="42">
        <f t="shared" si="11"/>
        <v>1353877.75</v>
      </c>
      <c r="H263" s="42">
        <f t="shared" si="11"/>
        <v>1317055.9200000002</v>
      </c>
      <c r="I263" s="42">
        <f t="shared" si="11"/>
        <v>297013.3</v>
      </c>
      <c r="J263" s="42">
        <f t="shared" si="11"/>
        <v>30883.450000000004</v>
      </c>
      <c r="K263" s="42">
        <f t="shared" si="11"/>
        <v>474280.56</v>
      </c>
      <c r="L263" s="42">
        <f t="shared" si="11"/>
        <v>7763511.9299999997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2892.5</v>
      </c>
      <c r="G268" s="18"/>
      <c r="H268" s="18">
        <v>500</v>
      </c>
      <c r="I268" s="18">
        <f>19891.82+1254.13</f>
        <v>21145.95</v>
      </c>
      <c r="J268" s="18">
        <f>8395.98+14416.06</f>
        <v>22812.04</v>
      </c>
      <c r="K268" s="18"/>
      <c r="L268" s="19">
        <f>SUM(F268:K268)</f>
        <v>47350.490000000005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34980</v>
      </c>
      <c r="G269" s="18">
        <v>2508</v>
      </c>
      <c r="H269" s="18"/>
      <c r="I269" s="18">
        <v>10733.28</v>
      </c>
      <c r="J269" s="18"/>
      <c r="K269" s="18"/>
      <c r="L269" s="19">
        <f>SUM(F269:K269)</f>
        <v>48221.279999999999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70073</v>
      </c>
      <c r="G273" s="18">
        <v>5305</v>
      </c>
      <c r="H273" s="18"/>
      <c r="I273" s="18">
        <v>834.75</v>
      </c>
      <c r="J273" s="18"/>
      <c r="K273" s="18"/>
      <c r="L273" s="19">
        <f t="shared" ref="L273:L279" si="12">SUM(F273:K273)</f>
        <v>76212.75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v>39089.230000000003</v>
      </c>
      <c r="H274" s="18">
        <v>1950</v>
      </c>
      <c r="I274" s="18">
        <v>86.88</v>
      </c>
      <c r="J274" s="18"/>
      <c r="K274" s="18"/>
      <c r="L274" s="19">
        <f t="shared" si="12"/>
        <v>41126.11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107945.5</v>
      </c>
      <c r="G282" s="42">
        <f t="shared" si="13"/>
        <v>46902.23</v>
      </c>
      <c r="H282" s="42">
        <f t="shared" si="13"/>
        <v>2450</v>
      </c>
      <c r="I282" s="42">
        <f t="shared" si="13"/>
        <v>32800.86</v>
      </c>
      <c r="J282" s="42">
        <f t="shared" si="13"/>
        <v>22812.04</v>
      </c>
      <c r="K282" s="42">
        <f t="shared" si="13"/>
        <v>0</v>
      </c>
      <c r="L282" s="41">
        <f t="shared" si="13"/>
        <v>212910.63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107945.5</v>
      </c>
      <c r="G330" s="41">
        <f t="shared" si="20"/>
        <v>46902.23</v>
      </c>
      <c r="H330" s="41">
        <f t="shared" si="20"/>
        <v>2450</v>
      </c>
      <c r="I330" s="41">
        <f t="shared" si="20"/>
        <v>32800.86</v>
      </c>
      <c r="J330" s="41">
        <f t="shared" si="20"/>
        <v>22812.04</v>
      </c>
      <c r="K330" s="41">
        <f t="shared" si="20"/>
        <v>0</v>
      </c>
      <c r="L330" s="41">
        <f t="shared" si="20"/>
        <v>212910.63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107945.5</v>
      </c>
      <c r="G344" s="41">
        <f>G330</f>
        <v>46902.23</v>
      </c>
      <c r="H344" s="41">
        <f>H330</f>
        <v>2450</v>
      </c>
      <c r="I344" s="41">
        <f>I330</f>
        <v>32800.86</v>
      </c>
      <c r="J344" s="41">
        <f>J330</f>
        <v>22812.04</v>
      </c>
      <c r="K344" s="47">
        <f>K330+K343</f>
        <v>0</v>
      </c>
      <c r="L344" s="41">
        <f>L330+L343</f>
        <v>212910.63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187328.25</v>
      </c>
      <c r="I350" s="18">
        <v>3114.89</v>
      </c>
      <c r="J350" s="18"/>
      <c r="K350" s="18"/>
      <c r="L350" s="13">
        <f>SUM(F350:K350)</f>
        <v>190443.14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187328.25</v>
      </c>
      <c r="I354" s="47">
        <f t="shared" si="22"/>
        <v>3114.89</v>
      </c>
      <c r="J354" s="47">
        <f t="shared" si="22"/>
        <v>0</v>
      </c>
      <c r="K354" s="47">
        <f t="shared" si="22"/>
        <v>0</v>
      </c>
      <c r="L354" s="47">
        <f t="shared" si="22"/>
        <v>190443.14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3114.89</v>
      </c>
      <c r="G360" s="63"/>
      <c r="H360" s="63"/>
      <c r="I360" s="56">
        <f>SUM(F360:H360)</f>
        <v>3114.89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3114.89</v>
      </c>
      <c r="G361" s="47">
        <f>SUM(G359:G360)</f>
        <v>0</v>
      </c>
      <c r="H361" s="47">
        <f>SUM(H359:H360)</f>
        <v>0</v>
      </c>
      <c r="I361" s="47">
        <f>SUM(I359:I360)</f>
        <v>3114.89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25</v>
      </c>
      <c r="I381" s="18"/>
      <c r="J381" s="24" t="s">
        <v>312</v>
      </c>
      <c r="K381" s="24" t="s">
        <v>312</v>
      </c>
      <c r="L381" s="56">
        <f t="shared" si="25"/>
        <v>25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10000</v>
      </c>
      <c r="H384" s="18"/>
      <c r="I384" s="18">
        <v>-15209.85</v>
      </c>
      <c r="J384" s="24" t="s">
        <v>312</v>
      </c>
      <c r="K384" s="24" t="s">
        <v>312</v>
      </c>
      <c r="L384" s="56">
        <f t="shared" si="25"/>
        <v>-5209.8500000000004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</v>
      </c>
      <c r="H385" s="139">
        <f>SUM(H379:H384)</f>
        <v>25</v>
      </c>
      <c r="I385" s="65">
        <f>SUM(I379:I384)</f>
        <v>-15209.85</v>
      </c>
      <c r="J385" s="45" t="s">
        <v>312</v>
      </c>
      <c r="K385" s="45" t="s">
        <v>312</v>
      </c>
      <c r="L385" s="47">
        <f>SUM(L379:L384)</f>
        <v>-5184.8500000000004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25</v>
      </c>
      <c r="I400" s="47">
        <f>I385+I393+I399</f>
        <v>-15209.85</v>
      </c>
      <c r="J400" s="24" t="s">
        <v>312</v>
      </c>
      <c r="K400" s="24" t="s">
        <v>312</v>
      </c>
      <c r="L400" s="47">
        <f>L385+L393+L399</f>
        <v>-5184.8500000000004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f>10025+42958</f>
        <v>52983</v>
      </c>
      <c r="H434" s="18"/>
      <c r="I434" s="56">
        <f t="shared" si="33"/>
        <v>52983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52983</v>
      </c>
      <c r="H438" s="13">
        <f>SUM(H431:H437)</f>
        <v>0</v>
      </c>
      <c r="I438" s="13">
        <f>SUM(I431:I437)</f>
        <v>52983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15209.85</v>
      </c>
      <c r="H440" s="18"/>
      <c r="I440" s="56">
        <f>SUM(F440:H440)</f>
        <v>15209.85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15209.85</v>
      </c>
      <c r="H444" s="72">
        <f>SUM(H440:H443)</f>
        <v>0</v>
      </c>
      <c r="I444" s="72">
        <f>SUM(I440:I443)</f>
        <v>15209.85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-5184.85+42958</f>
        <v>37773.15</v>
      </c>
      <c r="H449" s="18"/>
      <c r="I449" s="56">
        <f>SUM(F449:H449)</f>
        <v>37773.15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37773.15</v>
      </c>
      <c r="H450" s="83">
        <f>SUM(H446:H449)</f>
        <v>0</v>
      </c>
      <c r="I450" s="83">
        <f>SUM(I446:I449)</f>
        <v>37773.15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52983</v>
      </c>
      <c r="H451" s="42">
        <f>H444+H450</f>
        <v>0</v>
      </c>
      <c r="I451" s="42">
        <f>I444+I450</f>
        <v>52983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423297.66</v>
      </c>
      <c r="G455" s="18">
        <v>0</v>
      </c>
      <c r="H455" s="18">
        <v>24427.45</v>
      </c>
      <c r="I455" s="18">
        <v>0</v>
      </c>
      <c r="J455" s="18">
        <v>42958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7816107.0800000001</v>
      </c>
      <c r="G458" s="18">
        <v>190443.14</v>
      </c>
      <c r="H458" s="18">
        <f>195203.56+16785.12</f>
        <v>211988.68</v>
      </c>
      <c r="I458" s="18"/>
      <c r="J458" s="18">
        <v>-5184.8500000000004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7816107.0800000001</v>
      </c>
      <c r="G460" s="53">
        <f>SUM(G458:G459)</f>
        <v>190443.14</v>
      </c>
      <c r="H460" s="53">
        <f>SUM(H458:H459)</f>
        <v>211988.68</v>
      </c>
      <c r="I460" s="53">
        <f>SUM(I458:I459)</f>
        <v>0</v>
      </c>
      <c r="J460" s="53">
        <f>SUM(J458:J459)</f>
        <v>-5184.8500000000004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7731298.69+32213.24</f>
        <v>7763511.9300000006</v>
      </c>
      <c r="G462" s="18">
        <v>190443.14</v>
      </c>
      <c r="H462" s="18">
        <f>195203.56+17707.07</f>
        <v>212910.63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7763511.9300000006</v>
      </c>
      <c r="G464" s="53">
        <f>SUM(G462:G463)</f>
        <v>190443.14</v>
      </c>
      <c r="H464" s="53">
        <f>SUM(H462:H463)</f>
        <v>212910.63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475892.80999999959</v>
      </c>
      <c r="G466" s="53">
        <f>(G455+G460)- G464</f>
        <v>0</v>
      </c>
      <c r="H466" s="53">
        <f>(H455+H460)- H464</f>
        <v>23505.5</v>
      </c>
      <c r="I466" s="53">
        <f>(I455+I460)- I464</f>
        <v>0</v>
      </c>
      <c r="J466" s="53">
        <f>(J455+J460)- J464</f>
        <v>37773.15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5367912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2178573.83</v>
      </c>
      <c r="G485" s="18"/>
      <c r="H485" s="18"/>
      <c r="I485" s="18"/>
      <c r="J485" s="18"/>
      <c r="K485" s="53">
        <f>SUM(F485:J485)</f>
        <v>2178573.83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205657.73+51279.48</f>
        <v>256937.21000000002</v>
      </c>
      <c r="G487" s="18"/>
      <c r="H487" s="18"/>
      <c r="I487" s="18"/>
      <c r="J487" s="18"/>
      <c r="K487" s="53">
        <f t="shared" si="34"/>
        <v>256937.21000000002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1921636.62</v>
      </c>
      <c r="G488" s="205"/>
      <c r="H488" s="205"/>
      <c r="I488" s="205"/>
      <c r="J488" s="205"/>
      <c r="K488" s="206">
        <f t="shared" si="34"/>
        <v>1921636.62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2396488.38</v>
      </c>
      <c r="G489" s="18"/>
      <c r="H489" s="18"/>
      <c r="I489" s="18"/>
      <c r="J489" s="18"/>
      <c r="K489" s="53">
        <f t="shared" si="34"/>
        <v>2396488.38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4318125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4318125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f>200147.84+44871.74</f>
        <v>245019.58</v>
      </c>
      <c r="G491" s="205"/>
      <c r="H491" s="205"/>
      <c r="I491" s="205"/>
      <c r="J491" s="205"/>
      <c r="K491" s="206">
        <f t="shared" si="34"/>
        <v>245019.58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153052.16+36372.01</f>
        <v>189424.17</v>
      </c>
      <c r="G492" s="18"/>
      <c r="H492" s="18"/>
      <c r="I492" s="18"/>
      <c r="J492" s="18"/>
      <c r="K492" s="53">
        <f t="shared" si="34"/>
        <v>189424.17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434443.75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434443.75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759827.38+37915.2+66180.51+31004+3976</f>
        <v>898903.09</v>
      </c>
      <c r="G511" s="18">
        <f>2204+304+279557.79</f>
        <v>282065.78999999998</v>
      </c>
      <c r="H511" s="18">
        <f>335608.5</f>
        <v>335608.5</v>
      </c>
      <c r="I511" s="18">
        <f>6536.96+9026.13+188.87</f>
        <v>15751.960000000001</v>
      </c>
      <c r="J511" s="18">
        <f>11833.16+464.73</f>
        <v>12297.89</v>
      </c>
      <c r="K511" s="18"/>
      <c r="L511" s="88">
        <f>SUM(F511:K511)</f>
        <v>1544627.2299999997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898903.09</v>
      </c>
      <c r="G514" s="108">
        <f t="shared" ref="G514:L514" si="35">SUM(G511:G513)</f>
        <v>282065.78999999998</v>
      </c>
      <c r="H514" s="108">
        <f t="shared" si="35"/>
        <v>335608.5</v>
      </c>
      <c r="I514" s="108">
        <f t="shared" si="35"/>
        <v>15751.960000000001</v>
      </c>
      <c r="J514" s="108">
        <f t="shared" si="35"/>
        <v>12297.89</v>
      </c>
      <c r="K514" s="108">
        <f t="shared" si="35"/>
        <v>0</v>
      </c>
      <c r="L514" s="89">
        <f t="shared" si="35"/>
        <v>1544627.2299999997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40540+103149.44+66423.52+19077+32105+18891</f>
        <v>280185.96000000002</v>
      </c>
      <c r="G516" s="18">
        <f>1459+2402+1444+139040.89</f>
        <v>144345.89000000001</v>
      </c>
      <c r="H516" s="18">
        <f>1092.4+7869.67+8619.91+24240.3+15833.14+9462.23+9500.16+16080.84</f>
        <v>92698.65</v>
      </c>
      <c r="I516" s="18">
        <f>911.95+834.75</f>
        <v>1746.7</v>
      </c>
      <c r="J516" s="18"/>
      <c r="K516" s="18"/>
      <c r="L516" s="88">
        <f>SUM(F516:K516)</f>
        <v>518977.2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280185.96000000002</v>
      </c>
      <c r="G519" s="89">
        <f t="shared" ref="G519:L519" si="36">SUM(G516:G518)</f>
        <v>144345.89000000001</v>
      </c>
      <c r="H519" s="89">
        <f t="shared" si="36"/>
        <v>92698.65</v>
      </c>
      <c r="I519" s="89">
        <f t="shared" si="36"/>
        <v>1746.7</v>
      </c>
      <c r="J519" s="89">
        <f t="shared" si="36"/>
        <v>0</v>
      </c>
      <c r="K519" s="89">
        <f t="shared" si="36"/>
        <v>0</v>
      </c>
      <c r="L519" s="89">
        <f t="shared" si="36"/>
        <v>518977.2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32296.44+66425.44</f>
        <v>98721.88</v>
      </c>
      <c r="G521" s="18">
        <f>12381.04+13378.08</f>
        <v>25759.120000000003</v>
      </c>
      <c r="H521" s="18">
        <f>32.67+9500.16</f>
        <v>9532.83</v>
      </c>
      <c r="I521" s="18">
        <f>84.23</f>
        <v>84.23</v>
      </c>
      <c r="J521" s="18"/>
      <c r="K521" s="18">
        <v>98.74</v>
      </c>
      <c r="L521" s="88">
        <f>SUM(F521:K521)</f>
        <v>134196.79999999999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98721.88</v>
      </c>
      <c r="G524" s="89">
        <f t="shared" ref="G524:L524" si="37">SUM(G521:G523)</f>
        <v>25759.120000000003</v>
      </c>
      <c r="H524" s="89">
        <f t="shared" si="37"/>
        <v>9532.83</v>
      </c>
      <c r="I524" s="89">
        <f t="shared" si="37"/>
        <v>84.23</v>
      </c>
      <c r="J524" s="89">
        <f t="shared" si="37"/>
        <v>0</v>
      </c>
      <c r="K524" s="89">
        <f t="shared" si="37"/>
        <v>98.74</v>
      </c>
      <c r="L524" s="89">
        <f t="shared" si="37"/>
        <v>134196.79999999999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161157.4</v>
      </c>
      <c r="I531" s="18"/>
      <c r="J531" s="18"/>
      <c r="K531" s="18"/>
      <c r="L531" s="88">
        <f>SUM(F531:K531)</f>
        <v>161157.4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161157.4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161157.4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1277810.9300000002</v>
      </c>
      <c r="G535" s="89">
        <f t="shared" ref="G535:L535" si="40">G514+G519+G524+G529+G534</f>
        <v>452170.8</v>
      </c>
      <c r="H535" s="89">
        <f t="shared" si="40"/>
        <v>598997.38</v>
      </c>
      <c r="I535" s="89">
        <f t="shared" si="40"/>
        <v>17582.89</v>
      </c>
      <c r="J535" s="89">
        <f t="shared" si="40"/>
        <v>12297.89</v>
      </c>
      <c r="K535" s="89">
        <f t="shared" si="40"/>
        <v>98.74</v>
      </c>
      <c r="L535" s="89">
        <f t="shared" si="40"/>
        <v>2358958.6299999994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1544627.2299999997</v>
      </c>
      <c r="G539" s="87">
        <f>L516</f>
        <v>518977.2</v>
      </c>
      <c r="H539" s="87">
        <f>L521</f>
        <v>134196.79999999999</v>
      </c>
      <c r="I539" s="87">
        <f>L526</f>
        <v>0</v>
      </c>
      <c r="J539" s="87">
        <f>L531</f>
        <v>161157.4</v>
      </c>
      <c r="K539" s="87">
        <f>SUM(F539:J539)</f>
        <v>2358958.6299999994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1544627.2299999997</v>
      </c>
      <c r="G542" s="89">
        <f t="shared" si="41"/>
        <v>518977.2</v>
      </c>
      <c r="H542" s="89">
        <f t="shared" si="41"/>
        <v>134196.79999999999</v>
      </c>
      <c r="I542" s="89">
        <f t="shared" si="41"/>
        <v>0</v>
      </c>
      <c r="J542" s="89">
        <f t="shared" si="41"/>
        <v>161157.4</v>
      </c>
      <c r="K542" s="89">
        <f t="shared" si="41"/>
        <v>2358958.6299999994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37915.199999999997</v>
      </c>
      <c r="G552" s="18">
        <v>7636.12</v>
      </c>
      <c r="H552" s="18"/>
      <c r="I552" s="18"/>
      <c r="J552" s="18"/>
      <c r="K552" s="18"/>
      <c r="L552" s="88">
        <f>SUM(F552:K552)</f>
        <v>45551.32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37915.199999999997</v>
      </c>
      <c r="G555" s="89">
        <f t="shared" si="43"/>
        <v>7636.12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45551.32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37915.199999999997</v>
      </c>
      <c r="G561" s="89">
        <f t="shared" ref="G561:L561" si="45">G550+G555+G560</f>
        <v>7636.12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45551.32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304668.5</v>
      </c>
      <c r="G572" s="18"/>
      <c r="H572" s="18"/>
      <c r="I572" s="87">
        <f t="shared" si="46"/>
        <v>304668.5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242960.14</v>
      </c>
      <c r="I581" s="18"/>
      <c r="J581" s="18"/>
      <c r="K581" s="104">
        <f t="shared" ref="K581:K587" si="47">SUM(H581:J581)</f>
        <v>242960.14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161157.4</v>
      </c>
      <c r="I582" s="18"/>
      <c r="J582" s="18"/>
      <c r="K582" s="104">
        <f t="shared" si="47"/>
        <v>161157.4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404117.54000000004</v>
      </c>
      <c r="I588" s="108">
        <f>SUM(I581:I587)</f>
        <v>0</v>
      </c>
      <c r="J588" s="108">
        <f>SUM(J581:J587)</f>
        <v>0</v>
      </c>
      <c r="K588" s="108">
        <f>SUM(K581:K587)</f>
        <v>404117.54000000004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53695.49-1440</f>
        <v>52255.49</v>
      </c>
      <c r="I594" s="18"/>
      <c r="J594" s="18"/>
      <c r="K594" s="104">
        <f>SUM(H594:J594)</f>
        <v>52255.49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52255.49</v>
      </c>
      <c r="I595" s="108">
        <f>SUM(I592:I594)</f>
        <v>0</v>
      </c>
      <c r="J595" s="108">
        <f>SUM(J592:J594)</f>
        <v>0</v>
      </c>
      <c r="K595" s="108">
        <f>SUM(K592:K594)</f>
        <v>52255.49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624144.21</v>
      </c>
      <c r="H607" s="109">
        <f>SUM(F44)</f>
        <v>624144.2100000002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26961.690000000002</v>
      </c>
      <c r="H608" s="109">
        <f>SUM(G44)</f>
        <v>26961.69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151024.78</v>
      </c>
      <c r="H609" s="109">
        <f>SUM(H44)</f>
        <v>151024.77999999997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52983</v>
      </c>
      <c r="H611" s="109">
        <f>SUM(J44)</f>
        <v>52983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475892.81000000017</v>
      </c>
      <c r="H612" s="109">
        <f>F466</f>
        <v>475892.80999999959</v>
      </c>
      <c r="I612" s="121" t="s">
        <v>106</v>
      </c>
      <c r="J612" s="109">
        <f t="shared" ref="J612:J645" si="49">G612-H612</f>
        <v>5.8207660913467407E-10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23505.5</v>
      </c>
      <c r="H614" s="109">
        <f>H466</f>
        <v>23505.5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37773.15</v>
      </c>
      <c r="H616" s="109">
        <f>J466</f>
        <v>37773.15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7816107.0799999991</v>
      </c>
      <c r="H617" s="104">
        <f>SUM(F458)</f>
        <v>7816107.0800000001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190443.13999999998</v>
      </c>
      <c r="H618" s="104">
        <f>SUM(G458)</f>
        <v>190443.14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211988.68</v>
      </c>
      <c r="H619" s="104">
        <f>SUM(H458)</f>
        <v>211988.68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-5184.8500000000004</v>
      </c>
      <c r="H621" s="104">
        <f>SUM(J458)</f>
        <v>-5184.8500000000004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7763511.9299999997</v>
      </c>
      <c r="H622" s="104">
        <f>SUM(F462)</f>
        <v>7763511.9300000006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212910.63</v>
      </c>
      <c r="H623" s="104">
        <f>SUM(H462)</f>
        <v>212910.63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3114.89</v>
      </c>
      <c r="H624" s="104">
        <f>I361</f>
        <v>3114.89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190443.14</v>
      </c>
      <c r="H625" s="104">
        <f>SUM(G462)</f>
        <v>190443.14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-5184.8500000000004</v>
      </c>
      <c r="H627" s="164">
        <f>SUM(J458)</f>
        <v>-5184.8500000000004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52983</v>
      </c>
      <c r="H630" s="104">
        <f>SUM(G451)</f>
        <v>52983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52983</v>
      </c>
      <c r="H632" s="104">
        <f>SUM(I451)</f>
        <v>52983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25</v>
      </c>
      <c r="H634" s="104">
        <f>H400</f>
        <v>25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-5184.8500000000004</v>
      </c>
      <c r="H636" s="104">
        <f>L400</f>
        <v>-5184.8500000000004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404117.54000000004</v>
      </c>
      <c r="H637" s="104">
        <f>L200+L218+L236</f>
        <v>404117.54000000004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52255.49</v>
      </c>
      <c r="H638" s="104">
        <f>(J249+J330)-(J247+J328)</f>
        <v>52255.490000000005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404117.54000000004</v>
      </c>
      <c r="H639" s="104">
        <f>H588</f>
        <v>404117.54000000004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25257.71</v>
      </c>
      <c r="H642" s="104">
        <f>K255+K337</f>
        <v>25257.71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7697205.4899999993</v>
      </c>
      <c r="G650" s="19">
        <f>(L221+L301+L351)</f>
        <v>0</v>
      </c>
      <c r="H650" s="19">
        <f>(L239+L320+L352)</f>
        <v>0</v>
      </c>
      <c r="I650" s="19">
        <f>SUM(F650:H650)</f>
        <v>7697205.4899999993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125857.59999999999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125857.59999999999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404117.54000000004</v>
      </c>
      <c r="G652" s="19">
        <f>(L218+L298)-(J218+J298)</f>
        <v>0</v>
      </c>
      <c r="H652" s="19">
        <f>(L236+L317)-(J236+J317)</f>
        <v>0</v>
      </c>
      <c r="I652" s="19">
        <f>SUM(F652:H652)</f>
        <v>404117.54000000004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356923.99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356923.99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6810306.3599999994</v>
      </c>
      <c r="G654" s="19">
        <f>G650-SUM(G651:G653)</f>
        <v>0</v>
      </c>
      <c r="H654" s="19">
        <f>H650-SUM(H651:H653)</f>
        <v>0</v>
      </c>
      <c r="I654" s="19">
        <f>I650-SUM(I651:I653)</f>
        <v>6810306.3599999994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602.94000000000005</v>
      </c>
      <c r="G655" s="249"/>
      <c r="H655" s="249"/>
      <c r="I655" s="19">
        <f>SUM(F655:H655)</f>
        <v>602.94000000000005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11295.16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11295.16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11295.16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11295.16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905F-4D3C-4AE7-B0A5-167711ED634B}">
  <sheetPr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BROOKLINE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2328086.2999999998</v>
      </c>
      <c r="C9" s="230">
        <f>'DOE25'!G189+'DOE25'!G207+'DOE25'!G225+'DOE25'!G268+'DOE25'!G287+'DOE25'!G306</f>
        <v>733737.52</v>
      </c>
    </row>
    <row r="10" spans="1:3" x14ac:dyDescent="0.2">
      <c r="A10" t="s">
        <v>813</v>
      </c>
      <c r="B10" s="241">
        <v>2287111.2999999998</v>
      </c>
      <c r="C10" s="241">
        <v>720823.52</v>
      </c>
    </row>
    <row r="11" spans="1:3" x14ac:dyDescent="0.2">
      <c r="A11" t="s">
        <v>814</v>
      </c>
      <c r="B11" s="241">
        <v>40975</v>
      </c>
      <c r="C11" s="241">
        <v>12914</v>
      </c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2328086.2999999998</v>
      </c>
      <c r="C13" s="232">
        <f>SUM(C10:C12)</f>
        <v>733737.52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898903.09</v>
      </c>
      <c r="C18" s="230">
        <f>'DOE25'!G190+'DOE25'!G208+'DOE25'!G226+'DOE25'!G269+'DOE25'!G288+'DOE25'!G307</f>
        <v>275127.34000000003</v>
      </c>
    </row>
    <row r="19" spans="1:3" x14ac:dyDescent="0.2">
      <c r="A19" t="s">
        <v>813</v>
      </c>
      <c r="B19" s="241">
        <v>536558.71</v>
      </c>
      <c r="C19" s="241">
        <v>164224.56</v>
      </c>
    </row>
    <row r="20" spans="1:3" x14ac:dyDescent="0.2">
      <c r="A20" t="s">
        <v>814</v>
      </c>
      <c r="B20" s="241">
        <v>295918.94</v>
      </c>
      <c r="C20" s="241">
        <v>90571.93</v>
      </c>
    </row>
    <row r="21" spans="1:3" x14ac:dyDescent="0.2">
      <c r="A21" t="s">
        <v>815</v>
      </c>
      <c r="B21" s="241">
        <v>66425.440000000002</v>
      </c>
      <c r="C21" s="241">
        <v>20330.849999999999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898903.08999999985</v>
      </c>
      <c r="C22" s="232">
        <f>SUM(C19:C21)</f>
        <v>275127.33999999997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B03B-3DDF-4625-A301-C762FC34E51E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BROOKLINE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4659650.1199999992</v>
      </c>
      <c r="D5" s="20">
        <f>SUM('DOE25'!L189:L192)+SUM('DOE25'!L207:L210)+SUM('DOE25'!L225:L228)-F5-G5</f>
        <v>4641758.8999999994</v>
      </c>
      <c r="E5" s="244"/>
      <c r="F5" s="256">
        <f>SUM('DOE25'!J189:J192)+SUM('DOE25'!J207:J210)+SUM('DOE25'!J225:J228)</f>
        <v>17534.72</v>
      </c>
      <c r="G5" s="53">
        <f>SUM('DOE25'!K189:K192)+SUM('DOE25'!K207:K210)+SUM('DOE25'!K225:K228)</f>
        <v>356.5</v>
      </c>
      <c r="H5" s="260"/>
    </row>
    <row r="6" spans="1:9" x14ac:dyDescent="0.2">
      <c r="A6" s="32">
        <v>2100</v>
      </c>
      <c r="B6" t="s">
        <v>835</v>
      </c>
      <c r="C6" s="246">
        <f t="shared" si="0"/>
        <v>672713.4</v>
      </c>
      <c r="D6" s="20">
        <f>'DOE25'!L194+'DOE25'!L212+'DOE25'!L230-F6-G6</f>
        <v>671461.91</v>
      </c>
      <c r="E6" s="244"/>
      <c r="F6" s="256">
        <f>'DOE25'!J194+'DOE25'!J212+'DOE25'!J230</f>
        <v>1251.49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177187.86000000002</v>
      </c>
      <c r="D7" s="20">
        <f>'DOE25'!L195+'DOE25'!L213+'DOE25'!L231-F7-G7</f>
        <v>173066.23</v>
      </c>
      <c r="E7" s="244"/>
      <c r="F7" s="256">
        <f>'DOE25'!J195+'DOE25'!J213+'DOE25'!J231</f>
        <v>4121.63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275512.66999999993</v>
      </c>
      <c r="D8" s="244"/>
      <c r="E8" s="20">
        <f>'DOE25'!L196+'DOE25'!L214+'DOE25'!L232-F8-G8-D9-D11</f>
        <v>272127.75999999995</v>
      </c>
      <c r="F8" s="256">
        <f>'DOE25'!J196+'DOE25'!J214+'DOE25'!J232</f>
        <v>0</v>
      </c>
      <c r="G8" s="53">
        <f>'DOE25'!K196+'DOE25'!K214+'DOE25'!K232</f>
        <v>3384.91</v>
      </c>
      <c r="H8" s="260"/>
    </row>
    <row r="9" spans="1:9" x14ac:dyDescent="0.2">
      <c r="A9" s="32">
        <v>2310</v>
      </c>
      <c r="B9" t="s">
        <v>852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493410.87</v>
      </c>
      <c r="D12" s="20">
        <f>'DOE25'!L197+'DOE25'!L215+'DOE25'!L233-F12-G12</f>
        <v>490923.05</v>
      </c>
      <c r="E12" s="244"/>
      <c r="F12" s="256">
        <f>'DOE25'!J197+'DOE25'!J215+'DOE25'!J233</f>
        <v>168.88</v>
      </c>
      <c r="G12" s="53">
        <f>'DOE25'!K197+'DOE25'!K215+'DOE25'!K233</f>
        <v>2318.94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6455.42</v>
      </c>
      <c r="D13" s="244"/>
      <c r="E13" s="20">
        <f>'DOE25'!L198+'DOE25'!L216+'DOE25'!L234-F13-G13</f>
        <v>6455.42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604803.83999999997</v>
      </c>
      <c r="D14" s="20">
        <f>'DOE25'!L199+'DOE25'!L217+'DOE25'!L235-F14-G14</f>
        <v>598437.11</v>
      </c>
      <c r="E14" s="244"/>
      <c r="F14" s="256">
        <f>'DOE25'!J199+'DOE25'!J217+'DOE25'!J235</f>
        <v>6366.73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404117.54000000004</v>
      </c>
      <c r="D15" s="20">
        <f>'DOE25'!L200+'DOE25'!L218+'DOE25'!L236-F15-G15</f>
        <v>404117.54000000004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1440</v>
      </c>
      <c r="D22" s="244"/>
      <c r="E22" s="244"/>
      <c r="F22" s="256">
        <f>'DOE25'!L247+'DOE25'!L328</f>
        <v>1440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432962.5</v>
      </c>
      <c r="D25" s="244"/>
      <c r="E25" s="244"/>
      <c r="F25" s="259"/>
      <c r="G25" s="257"/>
      <c r="H25" s="258">
        <f>'DOE25'!L252+'DOE25'!L253+'DOE25'!L333+'DOE25'!L334</f>
        <v>432962.5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190443.14</v>
      </c>
      <c r="D29" s="20">
        <f>'DOE25'!L350+'DOE25'!L351+'DOE25'!L352-'DOE25'!I359-F29-G29</f>
        <v>190443.14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212910.63</v>
      </c>
      <c r="D31" s="20">
        <f>'DOE25'!L282+'DOE25'!L301+'DOE25'!L320+'DOE25'!L325+'DOE25'!L326+'DOE25'!L327-F31-G31</f>
        <v>190098.59</v>
      </c>
      <c r="E31" s="244"/>
      <c r="F31" s="256">
        <f>'DOE25'!J282+'DOE25'!J301+'DOE25'!J320+'DOE25'!J325+'DOE25'!J326+'DOE25'!J327</f>
        <v>22812.04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7360306.4699999997</v>
      </c>
      <c r="E33" s="247">
        <f>SUM(E5:E31)</f>
        <v>278583.17999999993</v>
      </c>
      <c r="F33" s="247">
        <f>SUM(F5:F31)</f>
        <v>53695.490000000005</v>
      </c>
      <c r="G33" s="247">
        <f>SUM(G5:G31)</f>
        <v>6060.35</v>
      </c>
      <c r="H33" s="247">
        <f>SUM(H5:H31)</f>
        <v>432962.5</v>
      </c>
    </row>
    <row r="35" spans="2:8" ht="12" thickBot="1" x14ac:dyDescent="0.25">
      <c r="B35" s="254" t="s">
        <v>881</v>
      </c>
      <c r="D35" s="255">
        <f>E33</f>
        <v>278583.17999999993</v>
      </c>
      <c r="E35" s="250"/>
    </row>
    <row r="36" spans="2:8" ht="12" thickTop="1" x14ac:dyDescent="0.2">
      <c r="B36" t="s">
        <v>849</v>
      </c>
      <c r="D36" s="20">
        <f>D33</f>
        <v>7360306.4699999997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2AEA-D6A6-449A-9390-160EC6BF596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BROOKLINE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409467.67</v>
      </c>
      <c r="D9" s="95">
        <f>'DOE25'!G9</f>
        <v>19483.09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199774.41</v>
      </c>
      <c r="D12" s="95">
        <f>'DOE25'!G12</f>
        <v>0</v>
      </c>
      <c r="E12" s="95">
        <f>'DOE25'!H12</f>
        <v>23278.799999999999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8963.8799999999992</v>
      </c>
      <c r="D13" s="95">
        <f>'DOE25'!G13</f>
        <v>7478.6</v>
      </c>
      <c r="E13" s="95">
        <f>'DOE25'!H13</f>
        <v>127519.28</v>
      </c>
      <c r="F13" s="95">
        <f>'DOE25'!I13</f>
        <v>0</v>
      </c>
      <c r="G13" s="95">
        <f>'DOE25'!J13</f>
        <v>52983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3978.75</v>
      </c>
      <c r="D14" s="95">
        <f>'DOE25'!G14</f>
        <v>0</v>
      </c>
      <c r="E14" s="95">
        <f>'DOE25'!H14</f>
        <v>226.7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1959.5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624144.21</v>
      </c>
      <c r="D19" s="41">
        <f>SUM(D9:D18)</f>
        <v>26961.690000000002</v>
      </c>
      <c r="E19" s="41">
        <f>SUM(E9:E18)</f>
        <v>151024.78</v>
      </c>
      <c r="F19" s="41">
        <f>SUM(F9:F18)</f>
        <v>0</v>
      </c>
      <c r="G19" s="41">
        <f>SUM(G9:G18)</f>
        <v>52983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58963.16</v>
      </c>
      <c r="D22" s="95">
        <f>'DOE25'!G23</f>
        <v>23460.69</v>
      </c>
      <c r="E22" s="95">
        <f>'DOE25'!H23</f>
        <v>9478.25</v>
      </c>
      <c r="F22" s="95">
        <f>'DOE25'!I23</f>
        <v>0</v>
      </c>
      <c r="G22" s="95">
        <f>'DOE25'!J23</f>
        <v>15209.85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13001.94</v>
      </c>
      <c r="D23" s="95">
        <f>'DOE25'!G24</f>
        <v>0</v>
      </c>
      <c r="E23" s="95">
        <f>'DOE25'!H24</f>
        <v>115941.26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26718.560000000001</v>
      </c>
      <c r="D24" s="95">
        <f>'DOE25'!G25</f>
        <v>0</v>
      </c>
      <c r="E24" s="95">
        <f>'DOE25'!H25</f>
        <v>519.79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16602.53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30835.21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2130</v>
      </c>
      <c r="D30" s="95">
        <f>'DOE25'!G31</f>
        <v>3501</v>
      </c>
      <c r="E30" s="95">
        <f>'DOE25'!H31</f>
        <v>1579.98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148251.4</v>
      </c>
      <c r="D32" s="41">
        <f>SUM(D22:D31)</f>
        <v>26961.69</v>
      </c>
      <c r="E32" s="41">
        <f>SUM(E22:E31)</f>
        <v>127519.27999999998</v>
      </c>
      <c r="F32" s="41">
        <f>SUM(F22:F31)</f>
        <v>0</v>
      </c>
      <c r="G32" s="41">
        <f>SUM(G22:G31)</f>
        <v>15209.85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161870.6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23505.5</v>
      </c>
      <c r="F40" s="95">
        <f>'DOE25'!I41</f>
        <v>0</v>
      </c>
      <c r="G40" s="95">
        <f>'DOE25'!J41</f>
        <v>37773.15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314022.21000000014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475892.81000000017</v>
      </c>
      <c r="D42" s="41">
        <f>SUM(D34:D41)</f>
        <v>0</v>
      </c>
      <c r="E42" s="41">
        <f>SUM(E34:E41)</f>
        <v>23505.5</v>
      </c>
      <c r="F42" s="41">
        <f>SUM(F34:F41)</f>
        <v>0</v>
      </c>
      <c r="G42" s="41">
        <f>SUM(G34:G41)</f>
        <v>37773.15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624144.2100000002</v>
      </c>
      <c r="D43" s="41">
        <f>D42+D32</f>
        <v>26961.69</v>
      </c>
      <c r="E43" s="41">
        <f>E42+E32</f>
        <v>151024.77999999997</v>
      </c>
      <c r="F43" s="41">
        <f>F42+F32</f>
        <v>0</v>
      </c>
      <c r="G43" s="41">
        <f>G42+G32</f>
        <v>52983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4891314.8499999996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10307.870000000001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2785.12</v>
      </c>
      <c r="D51" s="95">
        <f>'DOE25'!G88</f>
        <v>180.06</v>
      </c>
      <c r="E51" s="95">
        <f>'DOE25'!H88</f>
        <v>0</v>
      </c>
      <c r="F51" s="95">
        <f>'DOE25'!I88</f>
        <v>0</v>
      </c>
      <c r="G51" s="95">
        <f>'DOE25'!J88</f>
        <v>25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125580.09999999999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6731.27</v>
      </c>
      <c r="D53" s="95">
        <f>SUM('DOE25'!G90:G102)</f>
        <v>277.5</v>
      </c>
      <c r="E53" s="95">
        <f>SUM('DOE25'!H90:H102)</f>
        <v>16785.12</v>
      </c>
      <c r="F53" s="95">
        <f>SUM('DOE25'!I90:I102)</f>
        <v>0</v>
      </c>
      <c r="G53" s="95">
        <f>SUM('DOE25'!J90:J102)</f>
        <v>-15209.85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19824.260000000002</v>
      </c>
      <c r="D54" s="130">
        <f>SUM(D49:D53)</f>
        <v>126037.65999999999</v>
      </c>
      <c r="E54" s="130">
        <f>SUM(E49:E53)</f>
        <v>16785.12</v>
      </c>
      <c r="F54" s="130">
        <f>SUM(F49:F53)</f>
        <v>0</v>
      </c>
      <c r="G54" s="130">
        <f>SUM(G49:G53)</f>
        <v>-15184.85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4911139.1099999994</v>
      </c>
      <c r="D55" s="22">
        <f>D48+D54</f>
        <v>126037.65999999999</v>
      </c>
      <c r="E55" s="22">
        <f>E48+E54</f>
        <v>16785.12</v>
      </c>
      <c r="F55" s="22">
        <f>F48+F54</f>
        <v>0</v>
      </c>
      <c r="G55" s="22">
        <f>G48+G54</f>
        <v>-15184.85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1488540.52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611333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571107.48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2670981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79096.570000000007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54173.48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2346.16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133270.05000000002</v>
      </c>
      <c r="D70" s="130">
        <f>SUM(D64:D69)</f>
        <v>2346.16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2804251.05</v>
      </c>
      <c r="D73" s="130">
        <f>SUM(D71:D72)+D70+D62</f>
        <v>2346.16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61873.549999999996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100716.92</v>
      </c>
      <c r="D80" s="95">
        <f>SUM('DOE25'!G145:G153)</f>
        <v>36801.61</v>
      </c>
      <c r="E80" s="95">
        <f>SUM('DOE25'!H145:H153)</f>
        <v>133330.01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100716.92</v>
      </c>
      <c r="D83" s="131">
        <f>SUM(D77:D82)</f>
        <v>36801.61</v>
      </c>
      <c r="E83" s="131">
        <f>SUM(E77:E82)</f>
        <v>195203.56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25257.71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25257.71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797</v>
      </c>
      <c r="C96" s="86">
        <f>C55+C73+C83+C95</f>
        <v>7816107.0799999991</v>
      </c>
      <c r="D96" s="86">
        <f>D55+D73+D83+D95</f>
        <v>190443.13999999998</v>
      </c>
      <c r="E96" s="86">
        <f>E55+E73+E83+E95</f>
        <v>211988.68</v>
      </c>
      <c r="F96" s="86">
        <f>F55+F73+F83+F95</f>
        <v>0</v>
      </c>
      <c r="G96" s="86">
        <f>G55+G73+G95</f>
        <v>-5184.8500000000004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3159449.34</v>
      </c>
      <c r="D101" s="24" t="s">
        <v>312</v>
      </c>
      <c r="E101" s="95">
        <f>('DOE25'!L268)+('DOE25'!L287)+('DOE25'!L306)</f>
        <v>47350.490000000005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1500200.7799999998</v>
      </c>
      <c r="D102" s="24" t="s">
        <v>312</v>
      </c>
      <c r="E102" s="95">
        <f>('DOE25'!L269)+('DOE25'!L288)+('DOE25'!L307)</f>
        <v>48221.279999999999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4659650.1199999992</v>
      </c>
      <c r="D107" s="86">
        <f>SUM(D101:D106)</f>
        <v>0</v>
      </c>
      <c r="E107" s="86">
        <f>SUM(E101:E106)</f>
        <v>95571.77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672713.4</v>
      </c>
      <c r="D110" s="24" t="s">
        <v>312</v>
      </c>
      <c r="E110" s="95">
        <f>+('DOE25'!L273)+('DOE25'!L292)+('DOE25'!L311)</f>
        <v>76212.75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177187.86000000002</v>
      </c>
      <c r="D111" s="24" t="s">
        <v>312</v>
      </c>
      <c r="E111" s="95">
        <f>+('DOE25'!L274)+('DOE25'!L293)+('DOE25'!L312)</f>
        <v>41126.11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275512.66999999993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493410.87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6455.42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604803.83999999997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404117.54000000004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190443.14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2634201.5999999996</v>
      </c>
      <c r="D120" s="86">
        <f>SUM(D110:D119)</f>
        <v>190443.14</v>
      </c>
      <c r="E120" s="86">
        <f>SUM(E110:E119)</f>
        <v>117338.86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1440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256937.21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176025.29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25257.71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-5184.8500000000004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15184.85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469660.21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7763511.9299999988</v>
      </c>
      <c r="D137" s="86">
        <f>(D107+D120+D136)</f>
        <v>190443.14</v>
      </c>
      <c r="E137" s="86">
        <f>(E107+E120+E136)</f>
        <v>212910.63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09/1999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08/2019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5367912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2178573.83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2178573.83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256937.21000000002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256937.21000000002</v>
      </c>
    </row>
    <row r="151" spans="1:7" x14ac:dyDescent="0.2">
      <c r="A151" s="22" t="s">
        <v>35</v>
      </c>
      <c r="B151" s="137">
        <f>'DOE25'!F488</f>
        <v>1921636.62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1921636.62</v>
      </c>
    </row>
    <row r="152" spans="1:7" x14ac:dyDescent="0.2">
      <c r="A152" s="22" t="s">
        <v>36</v>
      </c>
      <c r="B152" s="137">
        <f>'DOE25'!F489</f>
        <v>2396488.38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2396488.38</v>
      </c>
    </row>
    <row r="153" spans="1:7" x14ac:dyDescent="0.2">
      <c r="A153" s="22" t="s">
        <v>37</v>
      </c>
      <c r="B153" s="137">
        <f>'DOE25'!F490</f>
        <v>4318125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4318125</v>
      </c>
    </row>
    <row r="154" spans="1:7" x14ac:dyDescent="0.2">
      <c r="A154" s="22" t="s">
        <v>38</v>
      </c>
      <c r="B154" s="137">
        <f>'DOE25'!F491</f>
        <v>245019.58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245019.58</v>
      </c>
    </row>
    <row r="155" spans="1:7" x14ac:dyDescent="0.2">
      <c r="A155" s="22" t="s">
        <v>39</v>
      </c>
      <c r="B155" s="137">
        <f>'DOE25'!F492</f>
        <v>189424.17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189424.17</v>
      </c>
    </row>
    <row r="156" spans="1:7" x14ac:dyDescent="0.2">
      <c r="A156" s="22" t="s">
        <v>269</v>
      </c>
      <c r="B156" s="137">
        <f>'DOE25'!F493</f>
        <v>434443.75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434443.75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BA50-9B07-422D-B39F-E72DDE1C6590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BROOKLINE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11295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11295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3206800</v>
      </c>
      <c r="D10" s="182">
        <f>ROUND((C10/$C$28)*100,1)</f>
        <v>41.4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1548422</v>
      </c>
      <c r="D11" s="182">
        <f>ROUND((C11/$C$28)*100,1)</f>
        <v>20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748926</v>
      </c>
      <c r="D15" s="182">
        <f t="shared" ref="D15:D27" si="0">ROUND((C15/$C$28)*100,1)</f>
        <v>9.6999999999999993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218314</v>
      </c>
      <c r="D16" s="182">
        <f t="shared" si="0"/>
        <v>2.8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275513</v>
      </c>
      <c r="D17" s="182">
        <f t="shared" si="0"/>
        <v>3.6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493411</v>
      </c>
      <c r="D18" s="182">
        <f t="shared" si="0"/>
        <v>6.4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6455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604804</v>
      </c>
      <c r="D20" s="182">
        <f t="shared" si="0"/>
        <v>7.8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404118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176025</v>
      </c>
      <c r="D25" s="182">
        <f t="shared" si="0"/>
        <v>2.2999999999999998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64585.400000000009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7747373.4000000004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1440</v>
      </c>
    </row>
    <row r="30" spans="1:4" x14ac:dyDescent="0.2">
      <c r="B30" s="187" t="s">
        <v>760</v>
      </c>
      <c r="C30" s="180">
        <f>SUM(C28:C29)</f>
        <v>7748813.4000000004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256937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4891315</v>
      </c>
      <c r="D35" s="182">
        <f t="shared" ref="D35:D40" si="1">ROUND((C35/$C$41)*100,1)</f>
        <v>60.7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21604.44000000041</v>
      </c>
      <c r="D36" s="182">
        <f t="shared" si="1"/>
        <v>0.3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2099874</v>
      </c>
      <c r="D37" s="182">
        <f t="shared" si="1"/>
        <v>26.1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706724</v>
      </c>
      <c r="D38" s="182">
        <f t="shared" si="1"/>
        <v>8.8000000000000007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332722</v>
      </c>
      <c r="D39" s="182">
        <f t="shared" si="1"/>
        <v>4.0999999999999996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8052239.4400000004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C778-2255-4462-82B0-3E9201912D00}">
  <sheetPr>
    <tabColor indexed="17"/>
  </sheetPr>
  <dimension ref="A1:IV90"/>
  <sheetViews>
    <sheetView workbookViewId="0">
      <pane ySplit="3" topLeftCell="A4" activePane="bottomLeft" state="frozen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BROOKLINE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</v>
      </c>
      <c r="B4" s="220">
        <v>3</v>
      </c>
      <c r="C4" s="280" t="s">
        <v>897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2010-10-13T18:00:58Z</cp:lastPrinted>
  <dcterms:created xsi:type="dcterms:W3CDTF">1997-12-04T19:04:30Z</dcterms:created>
  <dcterms:modified xsi:type="dcterms:W3CDTF">2025-01-02T14:24:58Z</dcterms:modified>
</cp:coreProperties>
</file>