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F91E35CF-632B-4937-B4DA-E8CE0AB19707}" xr6:coauthVersionLast="47" xr6:coauthVersionMax="47" xr10:uidLastSave="{00000000-0000-0000-0000-000000000000}"/>
  <workbookProtection workbookPassword="B70A" lockStructure="1"/>
  <bookViews>
    <workbookView xWindow="2160" yWindow="2160" windowWidth="21600" windowHeight="11505" tabRatio="855" xr2:uid="{514CEA87-29F6-453B-8E71-82DF9E73FBE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L214" i="1"/>
  <c r="L232" i="1"/>
  <c r="E8" i="13" s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L237" i="1"/>
  <c r="E16" i="13"/>
  <c r="C16" i="13" s="1"/>
  <c r="F5" i="13"/>
  <c r="D5" i="13" s="1"/>
  <c r="G5" i="13"/>
  <c r="L189" i="1"/>
  <c r="L190" i="1"/>
  <c r="L191" i="1"/>
  <c r="L192" i="1"/>
  <c r="L207" i="1"/>
  <c r="L208" i="1"/>
  <c r="L209" i="1"/>
  <c r="L210" i="1"/>
  <c r="C104" i="2" s="1"/>
  <c r="L225" i="1"/>
  <c r="L239" i="1" s="1"/>
  <c r="L226" i="1"/>
  <c r="C11" i="10" s="1"/>
  <c r="L227" i="1"/>
  <c r="C103" i="2" s="1"/>
  <c r="L228" i="1"/>
  <c r="F6" i="13"/>
  <c r="G6" i="13"/>
  <c r="L194" i="1"/>
  <c r="D6" i="13" s="1"/>
  <c r="C6" i="13" s="1"/>
  <c r="L212" i="1"/>
  <c r="L230" i="1"/>
  <c r="F7" i="13"/>
  <c r="G7" i="13"/>
  <c r="G33" i="13" s="1"/>
  <c r="L195" i="1"/>
  <c r="D7" i="13" s="1"/>
  <c r="C7" i="13" s="1"/>
  <c r="L213" i="1"/>
  <c r="L221" i="1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C20" i="10" s="1"/>
  <c r="L235" i="1"/>
  <c r="F15" i="13"/>
  <c r="G15" i="13"/>
  <c r="L200" i="1"/>
  <c r="D15" i="13" s="1"/>
  <c r="C15" i="13" s="1"/>
  <c r="L218" i="1"/>
  <c r="L236" i="1"/>
  <c r="F17" i="13"/>
  <c r="G17" i="13"/>
  <c r="L243" i="1"/>
  <c r="C24" i="10" s="1"/>
  <c r="D17" i="13"/>
  <c r="C17" i="13" s="1"/>
  <c r="F18" i="13"/>
  <c r="G18" i="13"/>
  <c r="L244" i="1"/>
  <c r="D18" i="13"/>
  <c r="C18" i="13" s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G651" i="1" s="1"/>
  <c r="L352" i="1"/>
  <c r="I359" i="1"/>
  <c r="J282" i="1"/>
  <c r="F31" i="13" s="1"/>
  <c r="J301" i="1"/>
  <c r="J320" i="1"/>
  <c r="K282" i="1"/>
  <c r="K301" i="1"/>
  <c r="K320" i="1"/>
  <c r="G31" i="13"/>
  <c r="L268" i="1"/>
  <c r="L282" i="1" s="1"/>
  <c r="L269" i="1"/>
  <c r="L270" i="1"/>
  <c r="L271" i="1"/>
  <c r="L273" i="1"/>
  <c r="C15" i="10" s="1"/>
  <c r="L274" i="1"/>
  <c r="L275" i="1"/>
  <c r="L276" i="1"/>
  <c r="L277" i="1"/>
  <c r="L278" i="1"/>
  <c r="E115" i="2" s="1"/>
  <c r="L279" i="1"/>
  <c r="C21" i="10" s="1"/>
  <c r="L280" i="1"/>
  <c r="E117" i="2" s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G652" i="1" s="1"/>
  <c r="L299" i="1"/>
  <c r="L306" i="1"/>
  <c r="L307" i="1"/>
  <c r="L308" i="1"/>
  <c r="L320" i="1" s="1"/>
  <c r="L309" i="1"/>
  <c r="L311" i="1"/>
  <c r="L312" i="1"/>
  <c r="L313" i="1"/>
  <c r="L314" i="1"/>
  <c r="L315" i="1"/>
  <c r="L316" i="1"/>
  <c r="L317" i="1"/>
  <c r="H652" i="1" s="1"/>
  <c r="L318" i="1"/>
  <c r="L325" i="1"/>
  <c r="L326" i="1"/>
  <c r="L327" i="1"/>
  <c r="L252" i="1"/>
  <c r="H25" i="13" s="1"/>
  <c r="L253" i="1"/>
  <c r="C124" i="2" s="1"/>
  <c r="L333" i="1"/>
  <c r="E123" i="2" s="1"/>
  <c r="L334" i="1"/>
  <c r="L247" i="1"/>
  <c r="C29" i="10" s="1"/>
  <c r="L328" i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/>
  <c r="L387" i="1"/>
  <c r="L393" i="1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/>
  <c r="G51" i="2"/>
  <c r="G53" i="2"/>
  <c r="G54" i="2" s="1"/>
  <c r="F2" i="11"/>
  <c r="L603" i="1"/>
  <c r="H653" i="1"/>
  <c r="L602" i="1"/>
  <c r="G653" i="1" s="1"/>
  <c r="L601" i="1"/>
  <c r="F653" i="1" s="1"/>
  <c r="I653" i="1" s="1"/>
  <c r="C40" i="10"/>
  <c r="F52" i="1"/>
  <c r="F104" i="1" s="1"/>
  <c r="G52" i="1"/>
  <c r="H52" i="1"/>
  <c r="I52" i="1"/>
  <c r="C35" i="10"/>
  <c r="F71" i="1"/>
  <c r="C49" i="2" s="1"/>
  <c r="F86" i="1"/>
  <c r="C50" i="2" s="1"/>
  <c r="F103" i="1"/>
  <c r="G103" i="1"/>
  <c r="G104" i="1" s="1"/>
  <c r="G185" i="1" s="1"/>
  <c r="G618" i="1" s="1"/>
  <c r="J618" i="1" s="1"/>
  <c r="H71" i="1"/>
  <c r="H104" i="1" s="1"/>
  <c r="H185" i="1" s="1"/>
  <c r="G619" i="1" s="1"/>
  <c r="J619" i="1" s="1"/>
  <c r="H86" i="1"/>
  <c r="H103" i="1"/>
  <c r="I103" i="1"/>
  <c r="I104" i="1"/>
  <c r="J103" i="1"/>
  <c r="J104" i="1"/>
  <c r="C37" i="10"/>
  <c r="F113" i="1"/>
  <c r="F128" i="1"/>
  <c r="F132" i="1"/>
  <c r="G113" i="1"/>
  <c r="G128" i="1"/>
  <c r="G132" i="1"/>
  <c r="H113" i="1"/>
  <c r="H128" i="1"/>
  <c r="H132" i="1"/>
  <c r="I113" i="1"/>
  <c r="I132" i="1" s="1"/>
  <c r="I185" i="1" s="1"/>
  <c r="G620" i="1" s="1"/>
  <c r="J620" i="1" s="1"/>
  <c r="I128" i="1"/>
  <c r="J113" i="1"/>
  <c r="J128" i="1"/>
  <c r="J132" i="1"/>
  <c r="F139" i="1"/>
  <c r="F154" i="1"/>
  <c r="F161" i="1"/>
  <c r="G139" i="1"/>
  <c r="D77" i="2" s="1"/>
  <c r="D83" i="2" s="1"/>
  <c r="G154" i="1"/>
  <c r="G161" i="1"/>
  <c r="C39" i="10" s="1"/>
  <c r="H139" i="1"/>
  <c r="H161" i="1" s="1"/>
  <c r="H154" i="1"/>
  <c r="I139" i="1"/>
  <c r="I154" i="1"/>
  <c r="I161" i="1"/>
  <c r="C18" i="10"/>
  <c r="L242" i="1"/>
  <c r="L324" i="1"/>
  <c r="C23" i="10"/>
  <c r="L246" i="1"/>
  <c r="L260" i="1"/>
  <c r="L261" i="1"/>
  <c r="L341" i="1"/>
  <c r="E134" i="2" s="1"/>
  <c r="L342" i="1"/>
  <c r="E135" i="2" s="1"/>
  <c r="C26" i="10"/>
  <c r="I655" i="1"/>
  <c r="I660" i="1"/>
  <c r="I659" i="1"/>
  <c r="C6" i="10"/>
  <c r="C5" i="10"/>
  <c r="C42" i="10"/>
  <c r="L366" i="1"/>
  <c r="L367" i="1"/>
  <c r="L368" i="1"/>
  <c r="L369" i="1"/>
  <c r="F122" i="2" s="1"/>
  <c r="F136" i="2" s="1"/>
  <c r="L370" i="1"/>
  <c r="L371" i="1"/>
  <c r="L372" i="1"/>
  <c r="B2" i="10"/>
  <c r="L336" i="1"/>
  <c r="L337" i="1"/>
  <c r="E127" i="2" s="1"/>
  <c r="L338" i="1"/>
  <c r="L339" i="1"/>
  <c r="K343" i="1"/>
  <c r="L511" i="1"/>
  <c r="F539" i="1" s="1"/>
  <c r="L512" i="1"/>
  <c r="F540" i="1"/>
  <c r="K540" i="1" s="1"/>
  <c r="L513" i="1"/>
  <c r="F541" i="1"/>
  <c r="L516" i="1"/>
  <c r="G539" i="1"/>
  <c r="G542" i="1" s="1"/>
  <c r="L517" i="1"/>
  <c r="L519" i="1" s="1"/>
  <c r="G540" i="1"/>
  <c r="L518" i="1"/>
  <c r="G541" i="1"/>
  <c r="K541" i="1" s="1"/>
  <c r="L521" i="1"/>
  <c r="H539" i="1"/>
  <c r="L522" i="1"/>
  <c r="H540" i="1"/>
  <c r="L523" i="1"/>
  <c r="H541" i="1"/>
  <c r="H542" i="1"/>
  <c r="L526" i="1"/>
  <c r="I539" i="1"/>
  <c r="I542" i="1" s="1"/>
  <c r="L527" i="1"/>
  <c r="I540" i="1"/>
  <c r="L528" i="1"/>
  <c r="I541" i="1"/>
  <c r="L531" i="1"/>
  <c r="J539" i="1"/>
  <c r="L532" i="1"/>
  <c r="J540" i="1"/>
  <c r="L533" i="1"/>
  <c r="L534" i="1" s="1"/>
  <c r="J541" i="1"/>
  <c r="J542" i="1"/>
  <c r="E124" i="2"/>
  <c r="K262" i="1"/>
  <c r="J262" i="1"/>
  <c r="I262" i="1"/>
  <c r="H262" i="1"/>
  <c r="G262" i="1"/>
  <c r="F262" i="1"/>
  <c r="L262" i="1" s="1"/>
  <c r="A1" i="2"/>
  <c r="A2" i="2"/>
  <c r="C9" i="2"/>
  <c r="D9" i="2"/>
  <c r="E9" i="2"/>
  <c r="E19" i="2" s="1"/>
  <c r="F9" i="2"/>
  <c r="I431" i="1"/>
  <c r="I438" i="1" s="1"/>
  <c r="G632" i="1" s="1"/>
  <c r="J9" i="1"/>
  <c r="G9" i="2"/>
  <c r="C10" i="2"/>
  <c r="D10" i="2"/>
  <c r="E10" i="2"/>
  <c r="F10" i="2"/>
  <c r="I432" i="1"/>
  <c r="J10" i="1" s="1"/>
  <c r="G10" i="2" s="1"/>
  <c r="C11" i="2"/>
  <c r="C12" i="2"/>
  <c r="D12" i="2"/>
  <c r="D19" i="2" s="1"/>
  <c r="E12" i="2"/>
  <c r="F12" i="2"/>
  <c r="F19" i="2" s="1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J23" i="1"/>
  <c r="G22" i="2"/>
  <c r="C23" i="2"/>
  <c r="C32" i="2" s="1"/>
  <c r="D23" i="2"/>
  <c r="D32" i="2" s="1"/>
  <c r="E23" i="2"/>
  <c r="F23" i="2"/>
  <c r="I441" i="1"/>
  <c r="J24" i="1" s="1"/>
  <c r="C24" i="2"/>
  <c r="D24" i="2"/>
  <c r="E24" i="2"/>
  <c r="E32" i="2" s="1"/>
  <c r="F24" i="2"/>
  <c r="F32" i="2" s="1"/>
  <c r="I442" i="1"/>
  <c r="I444" i="1" s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C43" i="2" s="1"/>
  <c r="D34" i="2"/>
  <c r="D42" i="2" s="1"/>
  <c r="D43" i="2" s="1"/>
  <c r="E34" i="2"/>
  <c r="E42" i="2" s="1"/>
  <c r="E43" i="2" s="1"/>
  <c r="F34" i="2"/>
  <c r="C35" i="2"/>
  <c r="D35" i="2"/>
  <c r="E35" i="2"/>
  <c r="F35" i="2"/>
  <c r="C36" i="2"/>
  <c r="D36" i="2"/>
  <c r="E36" i="2"/>
  <c r="F36" i="2"/>
  <c r="F42" i="2" s="1"/>
  <c r="I446" i="1"/>
  <c r="J37" i="1"/>
  <c r="G36" i="2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D48" i="2"/>
  <c r="E48" i="2"/>
  <c r="F48" i="2"/>
  <c r="E49" i="2"/>
  <c r="E54" i="2" s="1"/>
  <c r="E55" i="2" s="1"/>
  <c r="E50" i="2"/>
  <c r="C51" i="2"/>
  <c r="D51" i="2"/>
  <c r="D54" i="2" s="1"/>
  <c r="D55" i="2" s="1"/>
  <c r="E51" i="2"/>
  <c r="F51" i="2"/>
  <c r="F54" i="2" s="1"/>
  <c r="F55" i="2" s="1"/>
  <c r="D52" i="2"/>
  <c r="C53" i="2"/>
  <c r="D53" i="2"/>
  <c r="E53" i="2"/>
  <c r="F53" i="2"/>
  <c r="C58" i="2"/>
  <c r="C59" i="2"/>
  <c r="C61" i="2"/>
  <c r="D61" i="2"/>
  <c r="E61" i="2"/>
  <c r="F61" i="2"/>
  <c r="G61" i="2"/>
  <c r="C62" i="2"/>
  <c r="D62" i="2"/>
  <c r="E62" i="2"/>
  <c r="F62" i="2"/>
  <c r="G62" i="2"/>
  <c r="G73" i="2" s="1"/>
  <c r="C64" i="2"/>
  <c r="F64" i="2"/>
  <c r="F70" i="2" s="1"/>
  <c r="F73" i="2" s="1"/>
  <c r="C65" i="2"/>
  <c r="F65" i="2"/>
  <c r="C66" i="2"/>
  <c r="C70" i="2" s="1"/>
  <c r="C73" i="2" s="1"/>
  <c r="C67" i="2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G70" i="2"/>
  <c r="C71" i="2"/>
  <c r="D71" i="2"/>
  <c r="E71" i="2"/>
  <c r="C72" i="2"/>
  <c r="E72" i="2"/>
  <c r="C77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C85" i="2"/>
  <c r="F85" i="2"/>
  <c r="C86" i="2"/>
  <c r="F86" i="2"/>
  <c r="F95" i="2" s="1"/>
  <c r="D88" i="2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102" i="2"/>
  <c r="E103" i="2"/>
  <c r="E104" i="2"/>
  <c r="C105" i="2"/>
  <c r="E105" i="2"/>
  <c r="E106" i="2"/>
  <c r="D107" i="2"/>
  <c r="F107" i="2"/>
  <c r="F137" i="2" s="1"/>
  <c r="G107" i="2"/>
  <c r="C110" i="2"/>
  <c r="E110" i="2"/>
  <c r="E111" i="2"/>
  <c r="C112" i="2"/>
  <c r="E112" i="2"/>
  <c r="C113" i="2"/>
  <c r="E113" i="2"/>
  <c r="E114" i="2"/>
  <c r="C116" i="2"/>
  <c r="C117" i="2"/>
  <c r="F120" i="2"/>
  <c r="G120" i="2"/>
  <c r="G137" i="2" s="1"/>
  <c r="C122" i="2"/>
  <c r="E122" i="2"/>
  <c r="D126" i="2"/>
  <c r="E126" i="2"/>
  <c r="F126" i="2"/>
  <c r="K411" i="1"/>
  <c r="K419" i="1"/>
  <c r="K425" i="1"/>
  <c r="K426" i="1"/>
  <c r="G126" i="2"/>
  <c r="G136" i="2" s="1"/>
  <c r="L255" i="1"/>
  <c r="C127" i="2"/>
  <c r="L256" i="1"/>
  <c r="C128" i="2" s="1"/>
  <c r="L257" i="1"/>
  <c r="C129" i="2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 s="1"/>
  <c r="G153" i="2" s="1"/>
  <c r="G490" i="1"/>
  <c r="C153" i="2"/>
  <c r="H490" i="1"/>
  <c r="D153" i="2"/>
  <c r="I490" i="1"/>
  <c r="E153" i="2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/>
  <c r="G493" i="1"/>
  <c r="K493" i="1" s="1"/>
  <c r="H493" i="1"/>
  <c r="D156" i="2"/>
  <c r="I493" i="1"/>
  <c r="E156" i="2"/>
  <c r="J493" i="1"/>
  <c r="F156" i="2"/>
  <c r="F19" i="1"/>
  <c r="G19" i="1"/>
  <c r="H19" i="1"/>
  <c r="I19" i="1"/>
  <c r="G610" i="1" s="1"/>
  <c r="F33" i="1"/>
  <c r="G33" i="1"/>
  <c r="H33" i="1"/>
  <c r="H44" i="1" s="1"/>
  <c r="H609" i="1" s="1"/>
  <c r="I33" i="1"/>
  <c r="I44" i="1" s="1"/>
  <c r="H610" i="1" s="1"/>
  <c r="F43" i="1"/>
  <c r="F44" i="1" s="1"/>
  <c r="H607" i="1" s="1"/>
  <c r="G43" i="1"/>
  <c r="G44" i="1" s="1"/>
  <c r="H608" i="1" s="1"/>
  <c r="J608" i="1" s="1"/>
  <c r="H43" i="1"/>
  <c r="I43" i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F203" i="1"/>
  <c r="G203" i="1"/>
  <c r="H203" i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L248" i="1" s="1"/>
  <c r="J248" i="1"/>
  <c r="K248" i="1"/>
  <c r="F249" i="1"/>
  <c r="F263" i="1" s="1"/>
  <c r="G249" i="1"/>
  <c r="G263" i="1" s="1"/>
  <c r="H249" i="1"/>
  <c r="H263" i="1" s="1"/>
  <c r="I249" i="1"/>
  <c r="I263" i="1" s="1"/>
  <c r="J249" i="1"/>
  <c r="H638" i="1" s="1"/>
  <c r="F282" i="1"/>
  <c r="F330" i="1" s="1"/>
  <c r="F344" i="1" s="1"/>
  <c r="G282" i="1"/>
  <c r="G330" i="1" s="1"/>
  <c r="G344" i="1" s="1"/>
  <c r="H282" i="1"/>
  <c r="I282" i="1"/>
  <c r="F301" i="1"/>
  <c r="G301" i="1"/>
  <c r="H301" i="1"/>
  <c r="I301" i="1"/>
  <c r="F320" i="1"/>
  <c r="G320" i="1"/>
  <c r="H320" i="1"/>
  <c r="H330" i="1" s="1"/>
  <c r="H344" i="1" s="1"/>
  <c r="I320" i="1"/>
  <c r="I330" i="1" s="1"/>
  <c r="I344" i="1" s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H393" i="1"/>
  <c r="H400" i="1" s="1"/>
  <c r="H634" i="1" s="1"/>
  <c r="J634" i="1" s="1"/>
  <c r="I393" i="1"/>
  <c r="I400" i="1" s="1"/>
  <c r="F399" i="1"/>
  <c r="G399" i="1"/>
  <c r="H399" i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G426" i="1"/>
  <c r="H426" i="1"/>
  <c r="I426" i="1"/>
  <c r="J426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F450" i="1"/>
  <c r="G450" i="1"/>
  <c r="H450" i="1"/>
  <c r="H451" i="1" s="1"/>
  <c r="H631" i="1" s="1"/>
  <c r="F451" i="1"/>
  <c r="F460" i="1"/>
  <c r="F466" i="1" s="1"/>
  <c r="H612" i="1" s="1"/>
  <c r="G460" i="1"/>
  <c r="G466" i="1" s="1"/>
  <c r="H613" i="1" s="1"/>
  <c r="H460" i="1"/>
  <c r="I460" i="1"/>
  <c r="J460" i="1"/>
  <c r="J466" i="1" s="1"/>
  <c r="H616" i="1" s="1"/>
  <c r="F464" i="1"/>
  <c r="G464" i="1"/>
  <c r="H464" i="1"/>
  <c r="H466" i="1" s="1"/>
  <c r="H614" i="1" s="1"/>
  <c r="J614" i="1" s="1"/>
  <c r="I464" i="1"/>
  <c r="I466" i="1" s="1"/>
  <c r="H615" i="1" s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G535" i="1" s="1"/>
  <c r="H514" i="1"/>
  <c r="H535" i="1" s="1"/>
  <c r="I514" i="1"/>
  <c r="I535" i="1" s="1"/>
  <c r="J514" i="1"/>
  <c r="J535" i="1" s="1"/>
  <c r="K514" i="1"/>
  <c r="L514" i="1"/>
  <c r="F519" i="1"/>
  <c r="G519" i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/>
  <c r="L547" i="1"/>
  <c r="L548" i="1"/>
  <c r="L549" i="1"/>
  <c r="F550" i="1"/>
  <c r="G550" i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F561" i="1"/>
  <c r="G561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 s="1"/>
  <c r="J640" i="1" s="1"/>
  <c r="J588" i="1"/>
  <c r="K592" i="1"/>
  <c r="K593" i="1"/>
  <c r="K594" i="1"/>
  <c r="H595" i="1"/>
  <c r="I595" i="1"/>
  <c r="J595" i="1"/>
  <c r="K595" i="1"/>
  <c r="G638" i="1" s="1"/>
  <c r="J638" i="1" s="1"/>
  <c r="F604" i="1"/>
  <c r="G604" i="1"/>
  <c r="H604" i="1"/>
  <c r="I604" i="1"/>
  <c r="J604" i="1"/>
  <c r="K604" i="1"/>
  <c r="G607" i="1"/>
  <c r="G608" i="1"/>
  <c r="G609" i="1"/>
  <c r="J609" i="1" s="1"/>
  <c r="G613" i="1"/>
  <c r="J613" i="1" s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0" i="1"/>
  <c r="G631" i="1"/>
  <c r="G633" i="1"/>
  <c r="J633" i="1" s="1"/>
  <c r="G634" i="1"/>
  <c r="G635" i="1"/>
  <c r="J635" i="1" s="1"/>
  <c r="H637" i="1"/>
  <c r="G639" i="1"/>
  <c r="G640" i="1"/>
  <c r="G641" i="1"/>
  <c r="J641" i="1" s="1"/>
  <c r="H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J639" i="1" l="1"/>
  <c r="L561" i="1"/>
  <c r="F43" i="2"/>
  <c r="G32" i="2"/>
  <c r="G19" i="2"/>
  <c r="D31" i="13"/>
  <c r="C31" i="13" s="1"/>
  <c r="L330" i="1"/>
  <c r="L535" i="1"/>
  <c r="J19" i="1"/>
  <c r="G611" i="1" s="1"/>
  <c r="F96" i="2"/>
  <c r="I451" i="1"/>
  <c r="H632" i="1" s="1"/>
  <c r="J632" i="1" s="1"/>
  <c r="C38" i="10"/>
  <c r="C5" i="13"/>
  <c r="D33" i="13"/>
  <c r="D36" i="13" s="1"/>
  <c r="D96" i="2"/>
  <c r="C54" i="2"/>
  <c r="C55" i="2" s="1"/>
  <c r="C96" i="2" s="1"/>
  <c r="E33" i="13"/>
  <c r="D35" i="13" s="1"/>
  <c r="C8" i="13"/>
  <c r="J631" i="1"/>
  <c r="G650" i="1"/>
  <c r="G654" i="1" s="1"/>
  <c r="H650" i="1"/>
  <c r="J185" i="1"/>
  <c r="G55" i="2"/>
  <c r="G96" i="2" s="1"/>
  <c r="J615" i="1"/>
  <c r="J610" i="1"/>
  <c r="G23" i="2"/>
  <c r="J33" i="1"/>
  <c r="E136" i="2"/>
  <c r="C131" i="2"/>
  <c r="C133" i="2" s="1"/>
  <c r="L400" i="1"/>
  <c r="G42" i="2"/>
  <c r="F185" i="1"/>
  <c r="G617" i="1" s="1"/>
  <c r="J617" i="1" s="1"/>
  <c r="C36" i="10"/>
  <c r="H33" i="13"/>
  <c r="C25" i="13"/>
  <c r="J43" i="1"/>
  <c r="K539" i="1"/>
  <c r="K542" i="1" s="1"/>
  <c r="F542" i="1"/>
  <c r="I450" i="1"/>
  <c r="C102" i="2"/>
  <c r="C19" i="10"/>
  <c r="C114" i="2"/>
  <c r="E101" i="2"/>
  <c r="E107" i="2" s="1"/>
  <c r="C101" i="2"/>
  <c r="C107" i="2" s="1"/>
  <c r="L203" i="1"/>
  <c r="C17" i="10"/>
  <c r="G612" i="1"/>
  <c r="J612" i="1" s="1"/>
  <c r="J263" i="1"/>
  <c r="E77" i="2"/>
  <c r="E83" i="2" s="1"/>
  <c r="E96" i="2" s="1"/>
  <c r="L343" i="1"/>
  <c r="F652" i="1"/>
  <c r="I652" i="1" s="1"/>
  <c r="C16" i="10"/>
  <c r="C115" i="2"/>
  <c r="J607" i="1"/>
  <c r="C106" i="2"/>
  <c r="C25" i="10"/>
  <c r="F33" i="13"/>
  <c r="C156" i="2"/>
  <c r="G156" i="2" s="1"/>
  <c r="D119" i="2"/>
  <c r="D120" i="2" s="1"/>
  <c r="D137" i="2" s="1"/>
  <c r="H651" i="1"/>
  <c r="C13" i="10"/>
  <c r="F22" i="13"/>
  <c r="C22" i="13" s="1"/>
  <c r="C32" i="10"/>
  <c r="C12" i="10"/>
  <c r="L604" i="1"/>
  <c r="C111" i="2"/>
  <c r="F651" i="1"/>
  <c r="L354" i="1"/>
  <c r="E116" i="2"/>
  <c r="E120" i="2" s="1"/>
  <c r="C10" i="10"/>
  <c r="L374" i="1"/>
  <c r="G626" i="1" s="1"/>
  <c r="J626" i="1" s="1"/>
  <c r="C123" i="2"/>
  <c r="C136" i="2" s="1"/>
  <c r="D16" i="10" l="1"/>
  <c r="G43" i="2"/>
  <c r="G636" i="1"/>
  <c r="G621" i="1"/>
  <c r="J621" i="1" s="1"/>
  <c r="D19" i="10"/>
  <c r="J611" i="1"/>
  <c r="D13" i="10"/>
  <c r="L344" i="1"/>
  <c r="G623" i="1" s="1"/>
  <c r="J623" i="1" s="1"/>
  <c r="G627" i="1"/>
  <c r="J627" i="1" s="1"/>
  <c r="H636" i="1"/>
  <c r="C28" i="10"/>
  <c r="D10" i="10"/>
  <c r="H654" i="1"/>
  <c r="G616" i="1"/>
  <c r="J616" i="1" s="1"/>
  <c r="J44" i="1"/>
  <c r="H611" i="1" s="1"/>
  <c r="D38" i="10"/>
  <c r="D17" i="10"/>
  <c r="G662" i="1"/>
  <c r="G657" i="1"/>
  <c r="C27" i="10"/>
  <c r="G625" i="1"/>
  <c r="J625" i="1" s="1"/>
  <c r="C41" i="10"/>
  <c r="L249" i="1"/>
  <c r="L263" i="1" s="1"/>
  <c r="G622" i="1" s="1"/>
  <c r="J622" i="1" s="1"/>
  <c r="F650" i="1"/>
  <c r="I651" i="1"/>
  <c r="C120" i="2"/>
  <c r="C137" i="2" s="1"/>
  <c r="E137" i="2"/>
  <c r="H646" i="1"/>
  <c r="D36" i="10"/>
  <c r="C30" i="10" l="1"/>
  <c r="D22" i="10"/>
  <c r="D18" i="10"/>
  <c r="D21" i="10"/>
  <c r="D20" i="10"/>
  <c r="D23" i="10"/>
  <c r="D26" i="10"/>
  <c r="D15" i="10"/>
  <c r="D28" i="10" s="1"/>
  <c r="D24" i="10"/>
  <c r="D11" i="10"/>
  <c r="D37" i="10"/>
  <c r="D35" i="10"/>
  <c r="D40" i="10"/>
  <c r="D39" i="10"/>
  <c r="I650" i="1"/>
  <c r="I654" i="1" s="1"/>
  <c r="F654" i="1"/>
  <c r="D27" i="10"/>
  <c r="D25" i="10"/>
  <c r="J636" i="1"/>
  <c r="H662" i="1"/>
  <c r="H657" i="1"/>
  <c r="D12" i="10"/>
  <c r="D41" i="10" l="1"/>
  <c r="F662" i="1"/>
  <c r="C4" i="10" s="1"/>
  <c r="F657" i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C31C454-AB4E-4CD6-BCB6-63A4044738D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CDCD1E5-7C75-48AE-8B5F-4F7EBE166142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471E38ED-5B70-4DF6-AC7B-B3BE0899B9A4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46B0A27-F7C3-419D-9356-33CA8C365CE7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CD920D2-49BE-4877-B94B-DFDBF2A0C9B4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2005503-12D1-4A79-B8EA-B26E2EC3B1F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E574BDD-4704-4B3A-932C-CF0FB4C1C4F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73B945C3-E7E4-43C8-9F79-A79472BB49B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CE14A7AD-E666-4A90-8A5F-F1FCE3F36C5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6DA99FA1-F976-444C-AB2E-AE242B87AD4B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C7E6794-B689-4E4C-99AD-40BE083A0B2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67B08CB-FDD9-429A-9BAD-777F06E2C25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<sst xmlns="http://schemas.openxmlformats.org/spreadsheetml/2006/main" count="3862" uniqueCount="899">
  <si>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</si>
  <si>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</si>
  <si>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</si>
  <si>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</si>
  <si>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</si>
  <si>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</si>
  <si>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</si>
  <si>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</si>
  <si>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</si>
  <si>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</si>
  <si>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</si>
  <si>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</si>
  <si>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</si>
  <si>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</si>
  <si>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</si>
  <si>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</si>
  <si>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</si>
  <si>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</si>
  <si>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</si>
  <si>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</si>
  <si>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</si>
  <si>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</si>
  <si>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</si>
  <si>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</si>
  <si>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</si>
  <si>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</si>
  <si>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</si>
  <si>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</si>
  <si>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</si>
  <si>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</si>
  <si>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</si>
  <si>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</si>
  <si>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</si>
  <si>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</si>
  <si>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</si>
  <si>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</si>
  <si>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</si>
  <si>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</si>
  <si>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</si>
  <si>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</si>
  <si>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</si>
  <si>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</si>
  <si>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</si>
  <si>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</si>
  <si>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</si>
  <si>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</si>
  <si>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</si>
  <si>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</si>
  <si>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</si>
  <si>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</si>
  <si>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</si>
  <si>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</si>
  <si>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</si>
  <si>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</si>
  <si>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</si>
  <si>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</si>
  <si>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</si>
  <si>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</si>
  <si>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</si>
  <si>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</si>
  <si>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</si>
  <si>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</si>
  <si>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</si>
  <si>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</si>
  <si>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</si>
  <si>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</si>
  <si>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</si>
  <si>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</si>
  <si>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</si>
  <si>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</si>
  <si>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</si>
  <si>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</si>
  <si>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</si>
  <si>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</si>
  <si>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</si>
  <si>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</si>
  <si>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</si>
  <si>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</si>
  <si>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</si>
  <si>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</si>
  <si>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</si>
  <si>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</si>
  <si>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</si>
  <si>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</si>
  <si>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</si>
  <si>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</si>
  <si>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</si>
  <si>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</si>
  <si>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</si>
  <si>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</si>
  <si>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</si>
  <si>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</si>
  <si>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</si>
  <si>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</si>
  <si>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</si>
  <si>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</si>
  <si>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</si>
  <si>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</si>
  <si>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</si>
  <si>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</si>
  <si>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</si>
  <si>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</si>
  <si>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</si>
  <si>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</si>
  <si>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</si>
  <si>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</si>
  <si>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</si>
  <si>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</si>
  <si>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</si>
  <si>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</si>
  <si>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</si>
  <si>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</si>
  <si>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</si>
  <si>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</si>
  <si>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</si>
  <si>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</si>
  <si>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</si>
  <si>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</si>
  <si>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</si>
  <si>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</si>
  <si>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</si>
  <si>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</si>
  <si>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</si>
  <si>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</si>
  <si>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</si>
  <si>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</si>
  <si>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</si>
  <si>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</si>
  <si>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</si>
  <si>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</si>
  <si>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</si>
  <si>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</si>
  <si>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</si>
  <si>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</si>
  <si>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</si>
  <si>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</si>
  <si>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</si>
  <si>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</si>
  <si>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</si>
  <si>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</si>
  <si>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</si>
  <si>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</si>
  <si>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</si>
  <si>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</si>
  <si>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</si>
  <si>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</si>
  <si>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</si>
  <si>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</si>
  <si>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</si>
  <si>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</si>
  <si>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</si>
  <si>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</si>
  <si>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</si>
  <si>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</si>
  <si>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</si>
  <si>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</si>
  <si>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</si>
  <si>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</si>
  <si>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</si>
  <si>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</si>
  <si>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</si>
  <si>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</si>
  <si>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</si>
  <si>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</si>
  <si>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</si>
  <si>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</si>
  <si>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</si>
  <si>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</si>
  <si>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</si>
  <si>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</si>
  <si>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</si>
  <si>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</si>
  <si>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</si>
  <si>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</si>
  <si>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</si>
  <si>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</si>
  <si>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</si>
  <si>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</si>
  <si>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</si>
  <si>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</si>
  <si>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</si>
  <si>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</si>
  <si>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</si>
  <si>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</si>
  <si>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</si>
  <si>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</si>
  <si>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</si>
  <si>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</si>
  <si>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</si>
  <si>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</si>
  <si>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</si>
  <si>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</si>
  <si>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</si>
  <si>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</si>
  <si>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</si>
  <si>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</si>
  <si>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</si>
  <si>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</si>
  <si>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</si>
  <si>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</si>
  <si>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</si>
  <si>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</si>
  <si>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</si>
  <si>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</si>
  <si>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</si>
  <si>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</si>
  <si>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</si>
  <si>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</si>
  <si>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</si>
  <si>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</si>
  <si>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</si>
  <si>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</si>
  <si>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</si>
  <si>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</si>
  <si>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</si>
  <si>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</si>
  <si>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</si>
  <si>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</si>
  <si>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</si>
  <si>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</si>
  <si>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</si>
  <si>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</si>
  <si>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</si>
  <si>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</si>
  <si>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</si>
  <si>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</si>
  <si>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</si>
  <si>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</si>
  <si>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</si>
  <si>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</si>
  <si>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</si>
  <si>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</si>
  <si>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</si>
  <si>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</si>
  <si>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</si>
  <si>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</si>
  <si>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</si>
  <si>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</si>
  <si>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</si>
  <si>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</si>
  <si>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</si>
  <si>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</si>
  <si>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</si>
  <si>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</si>
  <si>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</si>
  <si>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</si>
  <si>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</si>
  <si>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</si>
  <si>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</si>
  <si>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</si>
  <si>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</si>
  <si>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</si>
  <si>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</si>
  <si>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</si>
  <si>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</si>
  <si>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</si>
  <si>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</si>
  <si>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</si>
  <si>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</si>
  <si>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</si>
  <si>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</si>
  <si>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</si>
  <si>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</si>
  <si>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</si>
  <si>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</si>
  <si>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</si>
  <si>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</si>
  <si>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</si>
  <si>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</si>
  <si>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</si>
  <si>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</si>
  <si>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</si>
  <si>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</si>
  <si>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</si>
  <si>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</si>
  <si>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</si>
  <si>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</si>
  <si>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</si>
  <si>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</si>
  <si>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</si>
  <si>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</si>
  <si>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</si>
  <si>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</si>
  <si>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</si>
  <si>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</si>
  <si>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</si>
  <si>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</si>
  <si>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</si>
  <si>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</si>
  <si>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</si>
  <si>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</si>
  <si>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</si>
  <si>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</si>
  <si>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</si>
  <si>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</si>
  <si>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</si>
  <si>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</si>
  <si>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</si>
  <si>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</si>
  <si>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</si>
  <si>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</si>
  <si>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</si>
  <si>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</si>
  <si>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</si>
  <si>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</si>
  <si>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</si>
  <si>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</si>
  <si>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</si>
  <si>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</si>
  <si>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</si>
  <si>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</si>
  <si>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</si>
  <si>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</si>
  <si>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</si>
  <si>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</si>
  <si>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</si>
  <si>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</si>
  <si>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</si>
  <si>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</si>
  <si>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</si>
  <si>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</si>
  <si>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</si>
  <si>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</si>
  <si>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</si>
  <si>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</si>
  <si>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</si>
  <si>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</si>
  <si>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</si>
  <si>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</si>
  <si>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</si>
  <si>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</si>
  <si>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</si>
  <si>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</si>
  <si>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</si>
  <si>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</si>
  <si>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</si>
  <si>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</si>
  <si>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</si>
  <si>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</si>
  <si>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</si>
  <si>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</si>
  <si>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</si>
  <si>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</si>
  <si>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</si>
  <si>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</si>
  <si>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</si>
  <si>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</si>
  <si>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</si>
  <si>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</si>
  <si>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</si>
  <si>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</si>
  <si>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</si>
  <si>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</si>
  <si>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</si>
  <si>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</si>
  <si>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</si>
  <si>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</si>
  <si>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</si>
  <si>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</si>
  <si>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</si>
  <si>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</si>
  <si>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</si>
  <si>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</si>
  <si>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</si>
  <si>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</si>
  <si>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</si>
  <si>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</si>
  <si>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</si>
  <si>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</si>
  <si>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</si>
  <si>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</si>
  <si>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</si>
  <si>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</si>
  <si>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</si>
  <si>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</si>
  <si>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</si>
  <si>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</si>
  <si>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</si>
  <si>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</si>
  <si>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</si>
  <si>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</si>
  <si>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</si>
  <si>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</si>
  <si>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</si>
  <si>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</si>
  <si>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</si>
  <si>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</si>
  <si>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</si>
  <si>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</si>
  <si>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</si>
  <si>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</si>
  <si>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</si>
  <si>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</si>
  <si>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</si>
  <si>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</si>
  <si>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</si>
  <si>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</si>
  <si>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</si>
  <si>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</si>
  <si>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</si>
  <si>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</si>
  <si>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</si>
  <si>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</si>
  <si>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</si>
  <si>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</si>
  <si>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</si>
  <si>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</si>
  <si>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</si>
  <si>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</si>
  <si>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</si>
  <si>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</si>
  <si>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</si>
  <si>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</si>
  <si>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</si>
  <si>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</si>
  <si>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</si>
  <si>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</si>
  <si>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</si>
  <si>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</si>
  <si>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</si>
  <si>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</si>
  <si>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</si>
  <si>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</si>
  <si>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</si>
  <si>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</si>
  <si>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</si>
  <si>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</si>
  <si>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</si>
  <si>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</si>
  <si>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</si>
  <si>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</si>
  <si>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</si>
  <si>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</si>
  <si>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</si>
  <si>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</si>
  <si>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</si>
  <si>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</si>
  <si>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</si>
  <si>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</si>
  <si>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</si>
  <si>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</si>
  <si>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</si>
  <si>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</si>
  <si>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</si>
  <si>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</si>
  <si>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</si>
  <si>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</si>
  <si>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</si>
  <si>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</si>
  <si>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</si>
  <si>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</si>
  <si>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</si>
  <si>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</si>
  <si>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</si>
  <si>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</si>
  <si>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</si>
  <si>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</si>
  <si>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</si>
  <si>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</si>
  <si>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</si>
  <si>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</si>
  <si>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</si>
  <si>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</si>
  <si>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</si>
  <si>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</si>
  <si>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</si>
  <si>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</si>
  <si>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</si>
  <si>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</si>
  <si>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</si>
  <si>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</si>
  <si>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</si>
  <si>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</si>
  <si>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</si>
  <si>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</si>
  <si>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</si>
  <si>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</si>
  <si>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</si>
  <si>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</si>
  <si>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</si>
  <si>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</si>
  <si>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</si>
  <si>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</si>
  <si>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</si>
  <si>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</si>
  <si>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</si>
  <si>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</si>
  <si>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</si>
  <si>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</si>
  <si>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</si>
  <si>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</si>
  <si>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</si>
  <si>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</si>
  <si>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</si>
  <si>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</si>
  <si>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</si>
  <si>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</si>
  <si>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</si>
  <si>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</si>
  <si>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</si>
  <si>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</si>
  <si>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</si>
  <si>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</si>
  <si>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</si>
  <si>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</si>
  <si>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</si>
  <si>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</si>
  <si>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</si>
  <si>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</si>
  <si>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</si>
  <si>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</si>
  <si>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</si>
  <si>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</si>
  <si>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</si>
  <si>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</si>
  <si>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</si>
  <si>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</si>
  <si>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</si>
  <si>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</si>
  <si>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</si>
  <si>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</si>
  <si>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</si>
  <si>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</si>
  <si>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</si>
  <si>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</si>
  <si>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</si>
  <si>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</si>
  <si>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</si>
  <si>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</si>
  <si>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</si>
  <si>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</si>
  <si>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</si>
  <si>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</si>
  <si>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</si>
  <si>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</si>
  <si>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</si>
  <si>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</si>
  <si>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</si>
  <si>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</si>
  <si>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</si>
  <si>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</si>
  <si>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</si>
  <si>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</si>
  <si>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</si>
  <si>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</si>
  <si>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</si>
  <si>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</si>
  <si>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</si>
  <si>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</si>
  <si>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</si>
  <si>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</si>
  <si>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</si>
  <si>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</si>
  <si>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</si>
  <si>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</si>
  <si>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</si>
  <si>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</si>
  <si>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</si>
  <si>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</si>
  <si>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</si>
  <si>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</si>
  <si>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</si>
  <si>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</si>
  <si>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</si>
  <si>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</si>
  <si>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</si>
  <si>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</si>
  <si>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</si>
  <si>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</si>
  <si>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</si>
  <si>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</si>
  <si>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</si>
  <si>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</si>
  <si>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</si>
  <si>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</si>
  <si>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</si>
  <si>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</si>
  <si>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</si>
  <si>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</si>
  <si>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</si>
  <si>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</si>
  <si>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</si>
  <si>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</si>
  <si>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</si>
  <si>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</si>
  <si>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</si>
  <si>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</si>
  <si>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</si>
  <si>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</si>
  <si>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</si>
  <si>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</si>
  <si>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</si>
  <si>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</si>
  <si>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</si>
  <si>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</si>
  <si>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</si>
  <si>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</si>
  <si>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</si>
  <si>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</si>
  <si>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</si>
  <si>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</si>
  <si>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</si>
  <si>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</si>
  <si>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</si>
  <si>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</si>
  <si>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</si>
  <si>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</si>
  <si>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</si>
  <si>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</si>
  <si>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</si>
  <si>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</si>
  <si>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</si>
  <si>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</si>
  <si>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</si>
  <si>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</si>
  <si>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</si>
  <si>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</si>
  <si>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</si>
  <si>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</si>
  <si>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</si>
  <si>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</si>
  <si>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</si>
  <si>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</si>
  <si>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</si>
  <si>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</si>
  <si>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</si>
  <si>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</si>
  <si>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</si>
  <si>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</si>
  <si>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</si>
  <si>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</si>
  <si>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</si>
  <si>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</si>
  <si>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</si>
  <si>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</si>
  <si>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</si>
  <si>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</si>
  <si>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</si>
  <si>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</si>
  <si>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</si>
  <si>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</si>
  <si>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</si>
  <si>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</si>
  <si>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</si>
  <si>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</si>
  <si>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</si>
  <si>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</si>
  <si>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</si>
  <si>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</si>
  <si>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</si>
  <si>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</si>
  <si>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</si>
  <si>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</si>
  <si>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</si>
  <si>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</si>
  <si>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</si>
  <si>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</si>
  <si>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</si>
  <si>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</si>
  <si>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</si>
  <si>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</si>
  <si>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</si>
  <si>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</si>
  <si>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</si>
  <si>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</si>
  <si>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</si>
  <si>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</si>
  <si>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</si>
  <si>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</si>
  <si>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</si>
  <si>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</si>
  <si>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</si>
  <si>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</si>
  <si>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</si>
  <si>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</si>
  <si>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</si>
  <si>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</si>
  <si>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</si>
  <si>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</si>
  <si>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</si>
  <si>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</si>
  <si>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</si>
  <si>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</si>
  <si>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</si>
  <si>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</si>
  <si>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</si>
  <si>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</si>
  <si>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</si>
  <si>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</si>
  <si>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</si>
  <si>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</si>
  <si>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</si>
  <si>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</si>
  <si>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</si>
  <si>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</si>
  <si>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</si>
  <si>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</si>
  <si>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</si>
  <si>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</si>
  <si>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</si>
  <si>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</si>
  <si>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</si>
  <si>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</si>
  <si>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</si>
  <si>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</si>
  <si>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</si>
  <si>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</si>
  <si>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</si>
  <si>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</si>
  <si>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</si>
  <si>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</si>
  <si>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</si>
  <si>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</si>
  <si>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</si>
  <si>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</si>
  <si>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</si>
  <si>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</si>
  <si>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</si>
  <si>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</si>
  <si>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</si>
  <si>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</si>
  <si>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</si>
  <si>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</si>
  <si>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</si>
  <si>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</si>
  <si>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</si>
  <si>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</si>
  <si>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</si>
  <si>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</si>
  <si>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</si>
  <si>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</si>
  <si>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</si>
  <si>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</si>
  <si>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</si>
  <si>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</si>
  <si>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</si>
  <si>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</si>
  <si>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</si>
  <si>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</si>
  <si>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</si>
  <si>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</si>
  <si>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</si>
  <si>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</si>
  <si>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</si>
  <si>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</si>
  <si>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</si>
  <si>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</si>
  <si>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</si>
  <si>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</si>
  <si>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</si>
  <si>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</si>
  <si>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</si>
  <si>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</si>
  <si>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</si>
  <si>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</si>
  <si>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</si>
  <si>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</si>
  <si>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</si>
  <si>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</si>
  <si>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</si>
  <si>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</si>
  <si>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</si>
  <si>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</si>
  <si>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</si>
  <si>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</si>
  <si>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</si>
  <si>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</si>
  <si>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</si>
  <si>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</si>
  <si>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</si>
  <si>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</si>
  <si>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</si>
  <si>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</si>
  <si>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</si>
  <si>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</si>
  <si>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</si>
  <si>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</si>
  <si>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</si>
  <si>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</si>
  <si>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</si>
  <si>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</si>
  <si>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</si>
  <si>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</si>
  <si>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</si>
  <si>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</si>
  <si>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</si>
  <si>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</si>
  <si>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</si>
  <si>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</si>
  <si>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</si>
  <si>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</si>
  <si>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</si>
  <si>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</si>
  <si>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</si>
  <si>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</si>
  <si>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</si>
  <si>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</si>
  <si>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</si>
  <si>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</si>
  <si>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</si>
  <si>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</si>
  <si>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</si>
  <si>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</si>
  <si>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</si>
  <si>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</si>
  <si>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</si>
  <si>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</si>
  <si>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</si>
  <si>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</si>
  <si>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</si>
  <si>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</si>
  <si>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</si>
  <si>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</si>
  <si>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</si>
  <si>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</si>
  <si>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</si>
  <si>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</si>
  <si>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</si>
  <si>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</si>
  <si>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</si>
  <si>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</si>
  <si>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</si>
  <si>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</si>
  <si>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</si>
  <si>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</si>
  <si>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</si>
  <si>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</si>
  <si>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</si>
  <si>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</si>
  <si>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</si>
  <si>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</si>
  <si>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</si>
  <si>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</si>
  <si>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</si>
  <si>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</si>
  <si>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</si>
  <si>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</si>
  <si>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</si>
  <si>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</si>
  <si>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</si>
  <si>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</si>
  <si>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</si>
  <si>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</si>
  <si>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</si>
  <si>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</si>
  <si>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</si>
  <si>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</si>
  <si>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</si>
  <si>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</si>
  <si>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</si>
  <si>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</si>
  <si>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</si>
  <si>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</si>
  <si>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</si>
  <si>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</si>
  <si>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</si>
  <si>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</si>
  <si>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</si>
  <si>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</si>
  <si>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</si>
  <si>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</si>
  <si>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</si>
  <si>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</si>
  <si>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</si>
  <si>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</si>
  <si>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</si>
  <si>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</si>
  <si>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</si>
  <si>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</si>
  <si>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</si>
  <si>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</si>
  <si>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</si>
  <si>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</si>
  <si>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</si>
  <si>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</si>
  <si>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</si>
  <si>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</si>
  <si>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</si>
  <si>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</si>
  <si>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</si>
  <si>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</si>
  <si>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</si>
  <si>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</si>
  <si>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</si>
  <si>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</si>
  <si>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</si>
  <si>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</si>
  <si>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</si>
  <si>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</si>
  <si>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</si>
  <si>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</si>
  <si>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</si>
  <si>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</si>
  <si>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</si>
  <si>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CAMPTON SCHOOL DISTRICT</t>
  </si>
  <si>
    <t>07/89</t>
  </si>
  <si>
    <t>07/06</t>
  </si>
  <si>
    <t>07/09</t>
  </si>
  <si>
    <t>07/13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</si>
</sst>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B911-4A5A-4830-B711-3E27DC941125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44" activePane="bottomRight" state="frozen"/>
      <selection pane="topRight" activeCell="F1" sqref="F1"/>
      <selection pane="bottomLeft" activeCell="A4" sqref="A4"/>
      <selection pane="bottomRight" activeCell="F657" sqref="F65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/>
      <c r="C2" s="21"/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90230.080000000002</v>
      </c>
      <c r="G9" s="18">
        <v>-12073.3</v>
      </c>
      <c r="H9" s="18">
        <v>-10452.73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112599.46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40313.72</v>
      </c>
      <c r="G13" s="18">
        <v>12248.24</v>
      </c>
      <c r="H13" s="18">
        <v>10452.73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130543.8</v>
      </c>
      <c r="G19" s="41">
        <f>SUM(G9:G18)</f>
        <v>174.94000000000051</v>
      </c>
      <c r="H19" s="41">
        <f>SUM(H9:H18)</f>
        <v>0</v>
      </c>
      <c r="I19" s="41">
        <f>SUM(I9:I18)</f>
        <v>0</v>
      </c>
      <c r="J19" s="41">
        <f>SUM(J9:J18)</f>
        <v>112599.46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17528.2</v>
      </c>
      <c r="G25" s="18">
        <v>174.94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56878.14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10183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84589.34</v>
      </c>
      <c r="G33" s="41">
        <f>SUM(G23:G32)</f>
        <v>174.94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14903.54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112599.46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31050.92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45954.46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112599.46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130543.79999999999</v>
      </c>
      <c r="G44" s="41">
        <f>G43+G33</f>
        <v>174.94</v>
      </c>
      <c r="H44" s="41">
        <f>H43+H33</f>
        <v>0</v>
      </c>
      <c r="I44" s="41">
        <f>I43+I33</f>
        <v>0</v>
      </c>
      <c r="J44" s="41">
        <f>J43+J33</f>
        <v>112599.46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2711518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2711518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53752.29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44717.21</v>
      </c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98469.5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1211.81</v>
      </c>
      <c r="G88" s="18">
        <v>3.17</v>
      </c>
      <c r="H88" s="18"/>
      <c r="I88" s="18"/>
      <c r="J88" s="18">
        <v>137.52000000000001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40663.120000000003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21688.1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22899.91</v>
      </c>
      <c r="G103" s="41">
        <f>SUM(G88:G102)</f>
        <v>40666.29</v>
      </c>
      <c r="H103" s="41">
        <f>SUM(H88:H102)</f>
        <v>0</v>
      </c>
      <c r="I103" s="41">
        <f>SUM(I88:I102)</f>
        <v>0</v>
      </c>
      <c r="J103" s="41">
        <f>SUM(J88:J102)</f>
        <v>137.52000000000001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2832887.41</v>
      </c>
      <c r="G104" s="41">
        <f>G52+G103</f>
        <v>40666.29</v>
      </c>
      <c r="H104" s="41">
        <f>H52+H71+H86+H103</f>
        <v>0</v>
      </c>
      <c r="I104" s="41">
        <f>I52+I103</f>
        <v>0</v>
      </c>
      <c r="J104" s="41">
        <f>J52+J103</f>
        <v>137.52000000000001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719581.26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643446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276081.74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1639109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197186.93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5536.93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1249.8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202723.86</v>
      </c>
      <c r="G128" s="41">
        <f>SUM(G115:G127)</f>
        <v>1249.8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1841832.8599999999</v>
      </c>
      <c r="G132" s="41">
        <f>G113+SUM(G128:G129)</f>
        <v>1249.8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44035.63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43670.63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49309.98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38649.26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49309.98</v>
      </c>
      <c r="G154" s="41">
        <f>SUM(G142:G153)</f>
        <v>43670.63</v>
      </c>
      <c r="H154" s="41">
        <f>SUM(H142:H153)</f>
        <v>82684.89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49309.98</v>
      </c>
      <c r="G161" s="41">
        <f>G139+G154+SUM(G155:G160)</f>
        <v>43670.63</v>
      </c>
      <c r="H161" s="41">
        <f>H139+H154+SUM(H155:H160)</f>
        <v>82684.89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70909.3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70909.3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70909.3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4724030.25</v>
      </c>
      <c r="G185" s="47">
        <f>G104+G132+G161+G184</f>
        <v>156496.02000000002</v>
      </c>
      <c r="H185" s="47">
        <f>H104+H132+H161+H184</f>
        <v>82684.89</v>
      </c>
      <c r="I185" s="47">
        <f>I104+I132+I161+I184</f>
        <v>0</v>
      </c>
      <c r="J185" s="47">
        <f>J104+J132+J184</f>
        <v>137.52000000000001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1281090.68</v>
      </c>
      <c r="G189" s="18">
        <v>523145.47</v>
      </c>
      <c r="H189" s="18">
        <v>10306.51</v>
      </c>
      <c r="I189" s="18">
        <v>55217.69</v>
      </c>
      <c r="J189" s="18">
        <v>8690.76</v>
      </c>
      <c r="K189" s="18">
        <v>70</v>
      </c>
      <c r="L189" s="19">
        <f>SUM(F189:K189)</f>
        <v>1878521.1099999999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467877.11</v>
      </c>
      <c r="G190" s="18">
        <v>191019.89</v>
      </c>
      <c r="H190" s="18">
        <v>120159.39</v>
      </c>
      <c r="I190" s="18">
        <v>6502.67</v>
      </c>
      <c r="J190" s="18"/>
      <c r="K190" s="18">
        <v>1279</v>
      </c>
      <c r="L190" s="19">
        <f>SUM(F190:K190)</f>
        <v>786838.06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36907.07</v>
      </c>
      <c r="G192" s="18">
        <v>5470.05</v>
      </c>
      <c r="H192" s="18">
        <v>3565</v>
      </c>
      <c r="I192" s="18">
        <v>3732.96</v>
      </c>
      <c r="J192" s="18">
        <v>2017.9</v>
      </c>
      <c r="K192" s="18">
        <v>798.25</v>
      </c>
      <c r="L192" s="19">
        <f>SUM(F192:K192)</f>
        <v>52491.23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176700.12</v>
      </c>
      <c r="G194" s="18">
        <v>80092.759999999995</v>
      </c>
      <c r="H194" s="18">
        <v>95778.44</v>
      </c>
      <c r="I194" s="18">
        <v>5092.5600000000004</v>
      </c>
      <c r="J194" s="18">
        <v>277.89</v>
      </c>
      <c r="K194" s="18"/>
      <c r="L194" s="19">
        <f t="shared" ref="L194:L200" si="0">SUM(F194:K194)</f>
        <v>357941.77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21133.09</v>
      </c>
      <c r="G195" s="18">
        <v>43424.09</v>
      </c>
      <c r="H195" s="18">
        <v>824</v>
      </c>
      <c r="I195" s="18">
        <v>3943.14</v>
      </c>
      <c r="J195" s="18"/>
      <c r="K195" s="18"/>
      <c r="L195" s="19">
        <f t="shared" si="0"/>
        <v>69324.319999999992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5320</v>
      </c>
      <c r="G196" s="18">
        <v>390.15</v>
      </c>
      <c r="H196" s="18">
        <v>166004.25</v>
      </c>
      <c r="I196" s="18">
        <v>551.66999999999996</v>
      </c>
      <c r="J196" s="18"/>
      <c r="K196" s="18">
        <v>4244.97</v>
      </c>
      <c r="L196" s="19">
        <f t="shared" si="0"/>
        <v>176511.04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200170.51</v>
      </c>
      <c r="G197" s="18">
        <v>79951.12</v>
      </c>
      <c r="H197" s="18">
        <v>3848.41</v>
      </c>
      <c r="I197" s="18">
        <v>1611.12</v>
      </c>
      <c r="J197" s="18"/>
      <c r="K197" s="18">
        <v>2259.1999999999998</v>
      </c>
      <c r="L197" s="19">
        <f t="shared" si="0"/>
        <v>287840.36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92108.86</v>
      </c>
      <c r="G199" s="18">
        <v>22679.26</v>
      </c>
      <c r="H199" s="18">
        <v>95220.22</v>
      </c>
      <c r="I199" s="18">
        <v>94664.82</v>
      </c>
      <c r="J199" s="18">
        <v>7859.15</v>
      </c>
      <c r="K199" s="18"/>
      <c r="L199" s="19">
        <f t="shared" si="0"/>
        <v>312532.31000000006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175750.55</v>
      </c>
      <c r="I200" s="18"/>
      <c r="J200" s="18"/>
      <c r="K200" s="18"/>
      <c r="L200" s="19">
        <f t="shared" si="0"/>
        <v>175750.55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2281307.44</v>
      </c>
      <c r="G203" s="41">
        <f t="shared" si="1"/>
        <v>946172.79</v>
      </c>
      <c r="H203" s="41">
        <f t="shared" si="1"/>
        <v>671456.77</v>
      </c>
      <c r="I203" s="41">
        <f t="shared" si="1"/>
        <v>171316.63</v>
      </c>
      <c r="J203" s="41">
        <f t="shared" si="1"/>
        <v>18845.699999999997</v>
      </c>
      <c r="K203" s="41">
        <f t="shared" si="1"/>
        <v>8651.42</v>
      </c>
      <c r="L203" s="41">
        <f t="shared" si="1"/>
        <v>4097750.7499999995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43886.55</v>
      </c>
      <c r="G245" s="18">
        <v>3594.63</v>
      </c>
      <c r="H245" s="18">
        <v>5612</v>
      </c>
      <c r="I245" s="18">
        <v>462.89</v>
      </c>
      <c r="J245" s="18"/>
      <c r="K245" s="18"/>
      <c r="L245" s="19">
        <f t="shared" si="6"/>
        <v>53556.07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43886.55</v>
      </c>
      <c r="G248" s="41">
        <f t="shared" si="7"/>
        <v>3594.63</v>
      </c>
      <c r="H248" s="41">
        <f t="shared" si="7"/>
        <v>5612</v>
      </c>
      <c r="I248" s="41">
        <f t="shared" si="7"/>
        <v>462.89</v>
      </c>
      <c r="J248" s="41">
        <f t="shared" si="7"/>
        <v>0</v>
      </c>
      <c r="K248" s="41">
        <f t="shared" si="7"/>
        <v>0</v>
      </c>
      <c r="L248" s="41">
        <f>SUM(F248:K248)</f>
        <v>53556.07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2325193.9899999998</v>
      </c>
      <c r="G249" s="41">
        <f t="shared" si="8"/>
        <v>949767.42</v>
      </c>
      <c r="H249" s="41">
        <f t="shared" si="8"/>
        <v>677068.77</v>
      </c>
      <c r="I249" s="41">
        <f t="shared" si="8"/>
        <v>171779.52000000002</v>
      </c>
      <c r="J249" s="41">
        <f t="shared" si="8"/>
        <v>18845.699999999997</v>
      </c>
      <c r="K249" s="41">
        <f t="shared" si="8"/>
        <v>8651.42</v>
      </c>
      <c r="L249" s="41">
        <f t="shared" si="8"/>
        <v>4151306.8199999994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405000</v>
      </c>
      <c r="L252" s="19">
        <f>SUM(F252:K252)</f>
        <v>405000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62822.64</v>
      </c>
      <c r="L253" s="19">
        <f>SUM(F253:K253)</f>
        <v>62822.64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70909.3</v>
      </c>
      <c r="L255" s="19">
        <f>SUM(F255:K255)</f>
        <v>70909.3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538731.94000000006</v>
      </c>
      <c r="L262" s="41">
        <f t="shared" si="9"/>
        <v>538731.94000000006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2325193.9899999998</v>
      </c>
      <c r="G263" s="42">
        <f t="shared" si="11"/>
        <v>949767.42</v>
      </c>
      <c r="H263" s="42">
        <f t="shared" si="11"/>
        <v>677068.77</v>
      </c>
      <c r="I263" s="42">
        <f t="shared" si="11"/>
        <v>171779.52000000002</v>
      </c>
      <c r="J263" s="42">
        <f t="shared" si="11"/>
        <v>18845.699999999997</v>
      </c>
      <c r="K263" s="42">
        <f t="shared" si="11"/>
        <v>547383.3600000001</v>
      </c>
      <c r="L263" s="42">
        <f t="shared" si="11"/>
        <v>4690038.76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21402.14</v>
      </c>
      <c r="G268" s="18">
        <v>11217</v>
      </c>
      <c r="H268" s="18"/>
      <c r="I268" s="18">
        <v>830.68</v>
      </c>
      <c r="J268" s="18">
        <v>1315.8</v>
      </c>
      <c r="K268" s="18"/>
      <c r="L268" s="19">
        <f>SUM(F268:K268)</f>
        <v>34765.620000000003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14439.62</v>
      </c>
      <c r="G269" s="18">
        <v>5484.3</v>
      </c>
      <c r="H269" s="18"/>
      <c r="I269" s="18">
        <v>1496.44</v>
      </c>
      <c r="J269" s="18"/>
      <c r="K269" s="18"/>
      <c r="L269" s="19">
        <f>SUM(F269:K269)</f>
        <v>21420.36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14851.96</v>
      </c>
      <c r="I273" s="18">
        <v>987.94</v>
      </c>
      <c r="J273" s="18"/>
      <c r="K273" s="18"/>
      <c r="L273" s="19">
        <f t="shared" ref="L273:L279" si="12">SUM(F273:K273)</f>
        <v>15839.9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>
        <v>10520</v>
      </c>
      <c r="H274" s="18"/>
      <c r="I274" s="18"/>
      <c r="J274" s="18"/>
      <c r="K274" s="18"/>
      <c r="L274" s="19">
        <f t="shared" si="12"/>
        <v>10520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2877.35</v>
      </c>
      <c r="L277" s="19">
        <f t="shared" si="12"/>
        <v>2877.35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35841.760000000002</v>
      </c>
      <c r="G282" s="42">
        <f t="shared" si="13"/>
        <v>27221.3</v>
      </c>
      <c r="H282" s="42">
        <f t="shared" si="13"/>
        <v>14851.96</v>
      </c>
      <c r="I282" s="42">
        <f t="shared" si="13"/>
        <v>3315.06</v>
      </c>
      <c r="J282" s="42">
        <f t="shared" si="13"/>
        <v>1315.8</v>
      </c>
      <c r="K282" s="42">
        <f t="shared" si="13"/>
        <v>2877.35</v>
      </c>
      <c r="L282" s="41">
        <f t="shared" si="13"/>
        <v>85423.23000000001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35841.760000000002</v>
      </c>
      <c r="G330" s="41">
        <f t="shared" si="20"/>
        <v>27221.3</v>
      </c>
      <c r="H330" s="41">
        <f t="shared" si="20"/>
        <v>14851.96</v>
      </c>
      <c r="I330" s="41">
        <f t="shared" si="20"/>
        <v>3315.06</v>
      </c>
      <c r="J330" s="41">
        <f t="shared" si="20"/>
        <v>1315.8</v>
      </c>
      <c r="K330" s="41">
        <f t="shared" si="20"/>
        <v>2877.35</v>
      </c>
      <c r="L330" s="41">
        <f t="shared" si="20"/>
        <v>85423.23000000001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35841.760000000002</v>
      </c>
      <c r="G344" s="41">
        <f>G330</f>
        <v>27221.3</v>
      </c>
      <c r="H344" s="41">
        <f>H330</f>
        <v>14851.96</v>
      </c>
      <c r="I344" s="41">
        <f>I330</f>
        <v>3315.06</v>
      </c>
      <c r="J344" s="41">
        <f>J330</f>
        <v>1315.8</v>
      </c>
      <c r="K344" s="47">
        <f>K330+K343</f>
        <v>2877.35</v>
      </c>
      <c r="L344" s="41">
        <f>L330+L343</f>
        <v>85423.23000000001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54813.36</v>
      </c>
      <c r="G350" s="18">
        <v>21017.16</v>
      </c>
      <c r="H350" s="18">
        <v>1012.9</v>
      </c>
      <c r="I350" s="18">
        <v>79082.48</v>
      </c>
      <c r="J350" s="18"/>
      <c r="K350" s="18">
        <v>570.12</v>
      </c>
      <c r="L350" s="13">
        <f>SUM(F350:K350)</f>
        <v>156496.01999999999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54813.36</v>
      </c>
      <c r="G354" s="47">
        <f t="shared" si="22"/>
        <v>21017.16</v>
      </c>
      <c r="H354" s="47">
        <f t="shared" si="22"/>
        <v>1012.9</v>
      </c>
      <c r="I354" s="47">
        <f t="shared" si="22"/>
        <v>79082.48</v>
      </c>
      <c r="J354" s="47">
        <f t="shared" si="22"/>
        <v>0</v>
      </c>
      <c r="K354" s="47">
        <f t="shared" si="22"/>
        <v>570.12</v>
      </c>
      <c r="L354" s="47">
        <f t="shared" si="22"/>
        <v>156496.01999999999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72961.850000000006</v>
      </c>
      <c r="G359" s="18"/>
      <c r="H359" s="18"/>
      <c r="I359" s="56">
        <f>SUM(F359:H359)</f>
        <v>72961.850000000006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6120.63</v>
      </c>
      <c r="G360" s="63"/>
      <c r="H360" s="63"/>
      <c r="I360" s="56">
        <f>SUM(F360:H360)</f>
        <v>6120.63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79082.48000000001</v>
      </c>
      <c r="G361" s="47">
        <f>SUM(G359:G360)</f>
        <v>0</v>
      </c>
      <c r="H361" s="47">
        <f>SUM(H359:H360)</f>
        <v>0</v>
      </c>
      <c r="I361" s="47">
        <f>SUM(I359:I360)</f>
        <v>79082.48000000001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113.27</v>
      </c>
      <c r="I381" s="18"/>
      <c r="J381" s="24" t="s">
        <v>312</v>
      </c>
      <c r="K381" s="24" t="s">
        <v>312</v>
      </c>
      <c r="L381" s="56">
        <f t="shared" si="25"/>
        <v>113.27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113.27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113.27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24.25</v>
      </c>
      <c r="I389" s="18"/>
      <c r="J389" s="24" t="s">
        <v>312</v>
      </c>
      <c r="K389" s="24" t="s">
        <v>312</v>
      </c>
      <c r="L389" s="56">
        <f t="shared" si="26"/>
        <v>24.25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24.25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24.25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137.51999999999998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137.51999999999998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112599.46</v>
      </c>
      <c r="G432" s="18"/>
      <c r="H432" s="18"/>
      <c r="I432" s="56">
        <f t="shared" si="33"/>
        <v>112599.46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112599.46</v>
      </c>
      <c r="G438" s="13">
        <f>SUM(G431:G437)</f>
        <v>0</v>
      </c>
      <c r="H438" s="13">
        <f>SUM(H431:H437)</f>
        <v>0</v>
      </c>
      <c r="I438" s="13">
        <f>SUM(I431:I437)</f>
        <v>112599.46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112599.46</v>
      </c>
      <c r="G449" s="18"/>
      <c r="H449" s="18"/>
      <c r="I449" s="56">
        <f>SUM(F449:H449)</f>
        <v>112599.46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112599.46</v>
      </c>
      <c r="G450" s="83">
        <f>SUM(G446:G449)</f>
        <v>0</v>
      </c>
      <c r="H450" s="83">
        <f>SUM(H446:H449)</f>
        <v>0</v>
      </c>
      <c r="I450" s="83">
        <f>SUM(I446:I449)</f>
        <v>112599.46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112599.46</v>
      </c>
      <c r="G451" s="42">
        <f>G444+G450</f>
        <v>0</v>
      </c>
      <c r="H451" s="42">
        <f>H444+H450</f>
        <v>0</v>
      </c>
      <c r="I451" s="42">
        <f>I444+I450</f>
        <v>112599.46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11962.97</v>
      </c>
      <c r="G455" s="18"/>
      <c r="H455" s="18">
        <v>2738.34</v>
      </c>
      <c r="I455" s="18"/>
      <c r="J455" s="18">
        <v>112461.94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4724030.25</v>
      </c>
      <c r="G458" s="18">
        <v>156496.01999999999</v>
      </c>
      <c r="H458" s="18">
        <v>82684.89</v>
      </c>
      <c r="I458" s="18"/>
      <c r="J458" s="18">
        <v>137.52000000000001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4724030.25</v>
      </c>
      <c r="G460" s="53">
        <f>SUM(G458:G459)</f>
        <v>156496.01999999999</v>
      </c>
      <c r="H460" s="53">
        <f>SUM(H458:H459)</f>
        <v>82684.89</v>
      </c>
      <c r="I460" s="53">
        <f>SUM(I458:I459)</f>
        <v>0</v>
      </c>
      <c r="J460" s="53">
        <f>SUM(J458:J459)</f>
        <v>137.52000000000001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4690038.76</v>
      </c>
      <c r="G462" s="18">
        <v>156496.01999999999</v>
      </c>
      <c r="H462" s="18">
        <v>85423.23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4690038.76</v>
      </c>
      <c r="G464" s="53">
        <f>SUM(G462:G463)</f>
        <v>156496.01999999999</v>
      </c>
      <c r="H464" s="53">
        <f>SUM(H462:H463)</f>
        <v>85423.23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45954.459999999963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112599.46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7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2593000</v>
      </c>
      <c r="G483" s="18">
        <v>1950000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6.8</v>
      </c>
      <c r="G484" s="18">
        <v>4.1500000000000004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129250</v>
      </c>
      <c r="G485" s="18">
        <v>1390000</v>
      </c>
      <c r="H485" s="18"/>
      <c r="I485" s="18"/>
      <c r="J485" s="18"/>
      <c r="K485" s="53">
        <f>SUM(F485:J485)</f>
        <v>1519250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>
        <v>1110000</v>
      </c>
      <c r="H488" s="205"/>
      <c r="I488" s="205"/>
      <c r="J488" s="205"/>
      <c r="K488" s="206">
        <f t="shared" si="34"/>
        <v>1110000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>
        <v>143590</v>
      </c>
      <c r="H489" s="18"/>
      <c r="I489" s="18"/>
      <c r="J489" s="18"/>
      <c r="K489" s="53">
        <f t="shared" si="34"/>
        <v>143590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1253590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1253590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>
        <v>280000</v>
      </c>
      <c r="H491" s="205"/>
      <c r="I491" s="205"/>
      <c r="J491" s="205"/>
      <c r="K491" s="206">
        <f t="shared" si="34"/>
        <v>280000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>
        <v>51875</v>
      </c>
      <c r="H492" s="18"/>
      <c r="I492" s="18"/>
      <c r="J492" s="18"/>
      <c r="K492" s="53">
        <f t="shared" si="34"/>
        <v>51875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331875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331875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482316.73</v>
      </c>
      <c r="G511" s="18">
        <v>24594.19</v>
      </c>
      <c r="H511" s="18">
        <v>120159.39</v>
      </c>
      <c r="I511" s="18">
        <v>7999.11</v>
      </c>
      <c r="J511" s="18"/>
      <c r="K511" s="18">
        <v>1279</v>
      </c>
      <c r="L511" s="88">
        <f>SUM(F511:K511)</f>
        <v>636348.41999999993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482316.73</v>
      </c>
      <c r="G514" s="108">
        <f t="shared" ref="G514:L514" si="35">SUM(G511:G513)</f>
        <v>24594.19</v>
      </c>
      <c r="H514" s="108">
        <f t="shared" si="35"/>
        <v>120159.39</v>
      </c>
      <c r="I514" s="108">
        <f t="shared" si="35"/>
        <v>7999.11</v>
      </c>
      <c r="J514" s="108">
        <f t="shared" si="35"/>
        <v>0</v>
      </c>
      <c r="K514" s="108">
        <f t="shared" si="35"/>
        <v>1279</v>
      </c>
      <c r="L514" s="89">
        <f t="shared" si="35"/>
        <v>636348.41999999993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191552.08</v>
      </c>
      <c r="G516" s="18">
        <v>80092.759999999995</v>
      </c>
      <c r="H516" s="18">
        <v>41962.04</v>
      </c>
      <c r="I516" s="18">
        <v>4256.24</v>
      </c>
      <c r="J516" s="18">
        <v>277.89</v>
      </c>
      <c r="K516" s="18"/>
      <c r="L516" s="88">
        <f>SUM(F516:K516)</f>
        <v>318141.00999999995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191552.08</v>
      </c>
      <c r="G519" s="89">
        <f t="shared" ref="G519:L519" si="36">SUM(G516:G518)</f>
        <v>80092.759999999995</v>
      </c>
      <c r="H519" s="89">
        <f t="shared" si="36"/>
        <v>41962.04</v>
      </c>
      <c r="I519" s="89">
        <f t="shared" si="36"/>
        <v>4256.24</v>
      </c>
      <c r="J519" s="89">
        <f t="shared" si="36"/>
        <v>277.89</v>
      </c>
      <c r="K519" s="89">
        <f t="shared" si="36"/>
        <v>0</v>
      </c>
      <c r="L519" s="89">
        <f t="shared" si="36"/>
        <v>318141.00999999995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14301.61</v>
      </c>
      <c r="G521" s="18">
        <v>3427.36</v>
      </c>
      <c r="H521" s="18">
        <v>161.1</v>
      </c>
      <c r="I521" s="18"/>
      <c r="J521" s="18"/>
      <c r="K521" s="18">
        <v>23.79</v>
      </c>
      <c r="L521" s="88">
        <f>SUM(F521:K521)</f>
        <v>17913.86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14301.61</v>
      </c>
      <c r="G524" s="89">
        <f t="shared" ref="G524:L524" si="37">SUM(G521:G523)</f>
        <v>3427.36</v>
      </c>
      <c r="H524" s="89">
        <f t="shared" si="37"/>
        <v>161.1</v>
      </c>
      <c r="I524" s="89">
        <f t="shared" si="37"/>
        <v>0</v>
      </c>
      <c r="J524" s="89">
        <f t="shared" si="37"/>
        <v>0</v>
      </c>
      <c r="K524" s="89">
        <f t="shared" si="37"/>
        <v>23.79</v>
      </c>
      <c r="L524" s="89">
        <f t="shared" si="37"/>
        <v>17913.86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17194.55</v>
      </c>
      <c r="I531" s="18"/>
      <c r="J531" s="18"/>
      <c r="K531" s="18"/>
      <c r="L531" s="88">
        <f>SUM(F531:K531)</f>
        <v>17194.55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17194.55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17194.55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688170.41999999993</v>
      </c>
      <c r="G535" s="89">
        <f t="shared" ref="G535:L535" si="40">G514+G519+G524+G529+G534</f>
        <v>108114.31</v>
      </c>
      <c r="H535" s="89">
        <f t="shared" si="40"/>
        <v>179477.08</v>
      </c>
      <c r="I535" s="89">
        <f t="shared" si="40"/>
        <v>12255.349999999999</v>
      </c>
      <c r="J535" s="89">
        <f t="shared" si="40"/>
        <v>277.89</v>
      </c>
      <c r="K535" s="89">
        <f t="shared" si="40"/>
        <v>1302.79</v>
      </c>
      <c r="L535" s="89">
        <f t="shared" si="40"/>
        <v>989597.84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636348.41999999993</v>
      </c>
      <c r="G539" s="87">
        <f>L516</f>
        <v>318141.00999999995</v>
      </c>
      <c r="H539" s="87">
        <f>L521</f>
        <v>17913.86</v>
      </c>
      <c r="I539" s="87">
        <f>L526</f>
        <v>0</v>
      </c>
      <c r="J539" s="87">
        <f>L531</f>
        <v>17194.55</v>
      </c>
      <c r="K539" s="87">
        <f>SUM(F539:J539)</f>
        <v>989597.84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636348.41999999993</v>
      </c>
      <c r="G542" s="89">
        <f t="shared" si="41"/>
        <v>318141.00999999995</v>
      </c>
      <c r="H542" s="89">
        <f t="shared" si="41"/>
        <v>17913.86</v>
      </c>
      <c r="I542" s="89">
        <f t="shared" si="41"/>
        <v>0</v>
      </c>
      <c r="J542" s="89">
        <f t="shared" si="41"/>
        <v>17194.55</v>
      </c>
      <c r="K542" s="89">
        <f t="shared" si="41"/>
        <v>989597.84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3972.5</v>
      </c>
      <c r="G552" s="18">
        <v>228.94</v>
      </c>
      <c r="H552" s="18"/>
      <c r="I552" s="18">
        <v>4857.0200000000004</v>
      </c>
      <c r="J552" s="18"/>
      <c r="K552" s="18">
        <v>609</v>
      </c>
      <c r="L552" s="88">
        <f>SUM(F552:K552)</f>
        <v>9667.4599999999991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3972.5</v>
      </c>
      <c r="G555" s="89">
        <f t="shared" si="43"/>
        <v>228.94</v>
      </c>
      <c r="H555" s="89">
        <f t="shared" si="43"/>
        <v>0</v>
      </c>
      <c r="I555" s="89">
        <f t="shared" si="43"/>
        <v>4857.0200000000004</v>
      </c>
      <c r="J555" s="89">
        <f t="shared" si="43"/>
        <v>0</v>
      </c>
      <c r="K555" s="89">
        <f t="shared" si="43"/>
        <v>609</v>
      </c>
      <c r="L555" s="89">
        <f t="shared" si="43"/>
        <v>9667.4599999999991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3972.5</v>
      </c>
      <c r="G561" s="89">
        <f t="shared" ref="G561:L561" si="45">G550+G555+G560</f>
        <v>228.94</v>
      </c>
      <c r="H561" s="89">
        <f t="shared" si="45"/>
        <v>0</v>
      </c>
      <c r="I561" s="89">
        <f t="shared" si="45"/>
        <v>4857.0200000000004</v>
      </c>
      <c r="J561" s="89">
        <f t="shared" si="45"/>
        <v>0</v>
      </c>
      <c r="K561" s="89">
        <f t="shared" si="45"/>
        <v>609</v>
      </c>
      <c r="L561" s="89">
        <f t="shared" si="45"/>
        <v>9667.4599999999991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92431.95</v>
      </c>
      <c r="G569" s="18"/>
      <c r="H569" s="18"/>
      <c r="I569" s="87">
        <f t="shared" si="46"/>
        <v>92431.95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11100</v>
      </c>
      <c r="G573" s="18"/>
      <c r="H573" s="18"/>
      <c r="I573" s="87">
        <f t="shared" si="46"/>
        <v>11100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152104</v>
      </c>
      <c r="I581" s="18"/>
      <c r="J581" s="18"/>
      <c r="K581" s="104">
        <f t="shared" ref="K581:K587" si="47">SUM(H581:J581)</f>
        <v>152104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17194.55</v>
      </c>
      <c r="I582" s="18"/>
      <c r="J582" s="18"/>
      <c r="K582" s="104">
        <f t="shared" si="47"/>
        <v>17194.55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3780</v>
      </c>
      <c r="I584" s="18"/>
      <c r="J584" s="18"/>
      <c r="K584" s="104">
        <f t="shared" si="47"/>
        <v>3780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2672</v>
      </c>
      <c r="I585" s="18"/>
      <c r="J585" s="18"/>
      <c r="K585" s="104">
        <f t="shared" si="47"/>
        <v>2672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175750.55</v>
      </c>
      <c r="I588" s="108">
        <f>SUM(I581:I587)</f>
        <v>0</v>
      </c>
      <c r="J588" s="108">
        <f>SUM(J581:J587)</f>
        <v>0</v>
      </c>
      <c r="K588" s="108">
        <f>SUM(K581:K587)</f>
        <v>175750.55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20161.5</v>
      </c>
      <c r="I594" s="18"/>
      <c r="J594" s="18"/>
      <c r="K594" s="104">
        <f>SUM(H594:J594)</f>
        <v>20161.5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20161.5</v>
      </c>
      <c r="I595" s="108">
        <f>SUM(I592:I594)</f>
        <v>0</v>
      </c>
      <c r="J595" s="108">
        <f>SUM(J592:J594)</f>
        <v>0</v>
      </c>
      <c r="K595" s="108">
        <f>SUM(K592:K594)</f>
        <v>20161.5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130543.8</v>
      </c>
      <c r="H607" s="109">
        <f>SUM(F44)</f>
        <v>130543.79999999999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174.94000000000051</v>
      </c>
      <c r="H608" s="109">
        <f>SUM(G44)</f>
        <v>174.94</v>
      </c>
      <c r="I608" s="121" t="s">
        <v>102</v>
      </c>
      <c r="J608" s="109">
        <f>G608-H608</f>
        <v>5.1159076974727213E-13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112599.46</v>
      </c>
      <c r="H611" s="109">
        <f>SUM(J44)</f>
        <v>112599.46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45954.46</v>
      </c>
      <c r="H612" s="109">
        <f>F466</f>
        <v>45954.459999999963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112599.46</v>
      </c>
      <c r="H616" s="109">
        <f>J466</f>
        <v>112599.46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4724030.25</v>
      </c>
      <c r="H617" s="104">
        <f>SUM(F458)</f>
        <v>4724030.25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156496.02000000002</v>
      </c>
      <c r="H618" s="104">
        <f>SUM(G458)</f>
        <v>156496.01999999999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82684.89</v>
      </c>
      <c r="H619" s="104">
        <f>SUM(H458)</f>
        <v>82684.89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137.52000000000001</v>
      </c>
      <c r="H621" s="104">
        <f>SUM(J458)</f>
        <v>137.52000000000001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4690038.76</v>
      </c>
      <c r="H622" s="104">
        <f>SUM(F462)</f>
        <v>4690038.76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85423.23000000001</v>
      </c>
      <c r="H623" s="104">
        <f>SUM(H462)</f>
        <v>85423.23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79082.48</v>
      </c>
      <c r="H624" s="104">
        <f>I361</f>
        <v>79082.48000000001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156496.01999999999</v>
      </c>
      <c r="H625" s="104">
        <f>SUM(G462)</f>
        <v>156496.01999999999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137.51999999999998</v>
      </c>
      <c r="H627" s="164">
        <f>SUM(J458)</f>
        <v>137.52000000000001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112599.46</v>
      </c>
      <c r="H629" s="104">
        <f>SUM(F451)</f>
        <v>112599.46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112599.46</v>
      </c>
      <c r="H632" s="104">
        <f>SUM(I451)</f>
        <v>112599.46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137.52000000000001</v>
      </c>
      <c r="H634" s="104">
        <f>H400</f>
        <v>137.51999999999998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137.52000000000001</v>
      </c>
      <c r="H636" s="104">
        <f>L400</f>
        <v>137.51999999999998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175750.55</v>
      </c>
      <c r="H637" s="104">
        <f>L200+L218+L236</f>
        <v>175750.55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20161.5</v>
      </c>
      <c r="H638" s="104">
        <f>(J249+J330)-(J247+J328)</f>
        <v>20161.499999999996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175750.55</v>
      </c>
      <c r="H639" s="104">
        <f>H588</f>
        <v>175750.55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70909.3</v>
      </c>
      <c r="H642" s="104">
        <f>K255+K337</f>
        <v>70909.3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4339669.9999999991</v>
      </c>
      <c r="G650" s="19">
        <f>(L221+L301+L351)</f>
        <v>0</v>
      </c>
      <c r="H650" s="19">
        <f>(L239+L320+L352)</f>
        <v>0</v>
      </c>
      <c r="I650" s="19">
        <f>SUM(F650:H650)</f>
        <v>4339669.9999999991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40663.120000000003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40663.120000000003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175750.55</v>
      </c>
      <c r="G652" s="19">
        <f>(L218+L298)-(J218+J298)</f>
        <v>0</v>
      </c>
      <c r="H652" s="19">
        <f>(L236+L317)-(J236+J317)</f>
        <v>0</v>
      </c>
      <c r="I652" s="19">
        <f>SUM(F652:H652)</f>
        <v>175750.55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123693.45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123693.45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3999562.879999999</v>
      </c>
      <c r="G654" s="19">
        <f>G650-SUM(G651:G653)</f>
        <v>0</v>
      </c>
      <c r="H654" s="19">
        <f>H650-SUM(H651:H653)</f>
        <v>0</v>
      </c>
      <c r="I654" s="19">
        <f>I650-SUM(I651:I653)</f>
        <v>3999562.879999999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310.16000000000003</v>
      </c>
      <c r="G655" s="249"/>
      <c r="H655" s="249"/>
      <c r="I655" s="19">
        <f>SUM(F655:H655)</f>
        <v>310.16000000000003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12895.16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12895.16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12895.16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12895.16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0B89-4C12-401B-A9DF-C2B804208F66}">
  <sheetPr>
    <tabColor indexed="20"/>
  </sheetPr>
  <dimension ref="A1:C52"/>
  <sheetViews>
    <sheetView topLeftCell="A31" workbookViewId="0">
      <selection activeCell="C64" sqref="C6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CAMPTON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1302492.8199999998</v>
      </c>
      <c r="C9" s="230">
        <f>'DOE25'!G189+'DOE25'!G207+'DOE25'!G225+'DOE25'!G268+'DOE25'!G287+'DOE25'!G306</f>
        <v>534362.47</v>
      </c>
    </row>
    <row r="10" spans="1:3" x14ac:dyDescent="0.2">
      <c r="A10" t="s">
        <v>813</v>
      </c>
      <c r="B10" s="241">
        <v>1249318.21</v>
      </c>
      <c r="C10" s="241">
        <v>527171.86</v>
      </c>
    </row>
    <row r="11" spans="1:3" x14ac:dyDescent="0.2">
      <c r="A11" t="s">
        <v>814</v>
      </c>
      <c r="B11" s="241">
        <v>15488.2</v>
      </c>
      <c r="C11" s="241">
        <v>3935.51</v>
      </c>
    </row>
    <row r="12" spans="1:3" x14ac:dyDescent="0.2">
      <c r="A12" t="s">
        <v>815</v>
      </c>
      <c r="B12" s="241">
        <v>37686.410000000003</v>
      </c>
      <c r="C12" s="241">
        <v>3255.1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1302492.8199999998</v>
      </c>
      <c r="C13" s="232">
        <f>SUM(C10:C12)</f>
        <v>534362.47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482316.73</v>
      </c>
      <c r="C18" s="230">
        <f>'DOE25'!G190+'DOE25'!G208+'DOE25'!G226+'DOE25'!G269+'DOE25'!G288+'DOE25'!G307</f>
        <v>196504.19</v>
      </c>
    </row>
    <row r="19" spans="1:3" x14ac:dyDescent="0.2">
      <c r="A19" t="s">
        <v>813</v>
      </c>
      <c r="B19" s="241">
        <v>290005.12</v>
      </c>
      <c r="C19" s="241">
        <v>123498.7</v>
      </c>
    </row>
    <row r="20" spans="1:3" x14ac:dyDescent="0.2">
      <c r="A20" t="s">
        <v>814</v>
      </c>
      <c r="B20" s="241">
        <v>169738.13</v>
      </c>
      <c r="C20" s="241">
        <v>69036.98</v>
      </c>
    </row>
    <row r="21" spans="1:3" x14ac:dyDescent="0.2">
      <c r="A21" t="s">
        <v>815</v>
      </c>
      <c r="B21" s="241">
        <v>22573.48</v>
      </c>
      <c r="C21" s="241">
        <v>3968.51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482316.73</v>
      </c>
      <c r="C22" s="232">
        <f>SUM(C19:C21)</f>
        <v>196504.19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36907.07</v>
      </c>
      <c r="C36" s="236">
        <f>'DOE25'!G192+'DOE25'!G210+'DOE25'!G228+'DOE25'!G271+'DOE25'!G290+'DOE25'!G309</f>
        <v>5470.05</v>
      </c>
    </row>
    <row r="37" spans="1:3" x14ac:dyDescent="0.2">
      <c r="A37" t="s">
        <v>813</v>
      </c>
      <c r="B37" s="241">
        <v>36907.07</v>
      </c>
      <c r="C37" s="241">
        <v>5470.05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36907.07</v>
      </c>
      <c r="C40" s="232">
        <f>SUM(C37:C39)</f>
        <v>5470.05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CA1A-48FD-44EE-A63C-85A6585D923B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CAMPTON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2717850.4</v>
      </c>
      <c r="D5" s="20">
        <f>SUM('DOE25'!L189:L192)+SUM('DOE25'!L207:L210)+SUM('DOE25'!L225:L228)-F5-G5</f>
        <v>2704994.4899999998</v>
      </c>
      <c r="E5" s="244"/>
      <c r="F5" s="256">
        <f>SUM('DOE25'!J189:J192)+SUM('DOE25'!J207:J210)+SUM('DOE25'!J225:J228)</f>
        <v>10708.66</v>
      </c>
      <c r="G5" s="53">
        <f>SUM('DOE25'!K189:K192)+SUM('DOE25'!K207:K210)+SUM('DOE25'!K225:K228)</f>
        <v>2147.25</v>
      </c>
      <c r="H5" s="260"/>
    </row>
    <row r="6" spans="1:9" x14ac:dyDescent="0.2">
      <c r="A6" s="32">
        <v>2100</v>
      </c>
      <c r="B6" t="s">
        <v>835</v>
      </c>
      <c r="C6" s="246">
        <f t="shared" si="0"/>
        <v>357941.77</v>
      </c>
      <c r="D6" s="20">
        <f>'DOE25'!L194+'DOE25'!L212+'DOE25'!L230-F6-G6</f>
        <v>357663.88</v>
      </c>
      <c r="E6" s="244"/>
      <c r="F6" s="256">
        <f>'DOE25'!J194+'DOE25'!J212+'DOE25'!J230</f>
        <v>277.89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69324.319999999992</v>
      </c>
      <c r="D7" s="20">
        <f>'DOE25'!L195+'DOE25'!L213+'DOE25'!L231-F7-G7</f>
        <v>69324.319999999992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123595.87</v>
      </c>
      <c r="D8" s="244"/>
      <c r="E8" s="20">
        <f>'DOE25'!L196+'DOE25'!L214+'DOE25'!L232-F8-G8-D9-D11</f>
        <v>119350.9</v>
      </c>
      <c r="F8" s="256">
        <f>'DOE25'!J196+'DOE25'!J214+'DOE25'!J232</f>
        <v>0</v>
      </c>
      <c r="G8" s="53">
        <f>'DOE25'!K196+'DOE25'!K214+'DOE25'!K232</f>
        <v>4244.97</v>
      </c>
      <c r="H8" s="260"/>
    </row>
    <row r="9" spans="1:9" x14ac:dyDescent="0.2">
      <c r="A9" s="32">
        <v>2310</v>
      </c>
      <c r="B9" t="s">
        <v>852</v>
      </c>
      <c r="C9" s="246">
        <f t="shared" si="0"/>
        <v>19462.04</v>
      </c>
      <c r="D9" s="245">
        <v>19462.04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4000</v>
      </c>
      <c r="D10" s="244"/>
      <c r="E10" s="245">
        <v>4000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33453.129999999997</v>
      </c>
      <c r="D11" s="245">
        <v>33453.129999999997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287840.36</v>
      </c>
      <c r="D12" s="20">
        <f>'DOE25'!L197+'DOE25'!L215+'DOE25'!L233-F12-G12</f>
        <v>285581.15999999997</v>
      </c>
      <c r="E12" s="244"/>
      <c r="F12" s="256">
        <f>'DOE25'!J197+'DOE25'!J215+'DOE25'!J233</f>
        <v>0</v>
      </c>
      <c r="G12" s="53">
        <f>'DOE25'!K197+'DOE25'!K215+'DOE25'!K233</f>
        <v>2259.1999999999998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312532.31000000006</v>
      </c>
      <c r="D14" s="20">
        <f>'DOE25'!L199+'DOE25'!L217+'DOE25'!L235-F14-G14</f>
        <v>304673.16000000003</v>
      </c>
      <c r="E14" s="244"/>
      <c r="F14" s="256">
        <f>'DOE25'!J199+'DOE25'!J217+'DOE25'!J235</f>
        <v>7859.15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175750.55</v>
      </c>
      <c r="D15" s="20">
        <f>'DOE25'!L200+'DOE25'!L218+'DOE25'!L236-F15-G15</f>
        <v>175750.55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53556.07</v>
      </c>
      <c r="D19" s="20">
        <f>'DOE25'!L245-F19-G19</f>
        <v>53556.07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467822.64</v>
      </c>
      <c r="D25" s="244"/>
      <c r="E25" s="244"/>
      <c r="F25" s="259"/>
      <c r="G25" s="257"/>
      <c r="H25" s="258">
        <f>'DOE25'!L252+'DOE25'!L253+'DOE25'!L333+'DOE25'!L334</f>
        <v>467822.64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83534.169999999984</v>
      </c>
      <c r="D29" s="20">
        <f>'DOE25'!L350+'DOE25'!L351+'DOE25'!L352-'DOE25'!I359-F29-G29</f>
        <v>82964.049999999988</v>
      </c>
      <c r="E29" s="244"/>
      <c r="F29" s="256">
        <f>'DOE25'!J350+'DOE25'!J351+'DOE25'!J352</f>
        <v>0</v>
      </c>
      <c r="G29" s="53">
        <f>'DOE25'!K350+'DOE25'!K351+'DOE25'!K352</f>
        <v>570.12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85423.23000000001</v>
      </c>
      <c r="D31" s="20">
        <f>'DOE25'!L282+'DOE25'!L301+'DOE25'!L320+'DOE25'!L325+'DOE25'!L326+'DOE25'!L327-F31-G31</f>
        <v>81230.080000000002</v>
      </c>
      <c r="E31" s="244"/>
      <c r="F31" s="256">
        <f>'DOE25'!J282+'DOE25'!J301+'DOE25'!J320+'DOE25'!J325+'DOE25'!J326+'DOE25'!J327</f>
        <v>1315.8</v>
      </c>
      <c r="G31" s="53">
        <f>'DOE25'!K282+'DOE25'!K301+'DOE25'!K320+'DOE25'!K325+'DOE25'!K326+'DOE25'!K327</f>
        <v>2877.35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4168652.9299999992</v>
      </c>
      <c r="E33" s="247">
        <f>SUM(E5:E31)</f>
        <v>123350.9</v>
      </c>
      <c r="F33" s="247">
        <f>SUM(F5:F31)</f>
        <v>20161.499999999996</v>
      </c>
      <c r="G33" s="247">
        <f>SUM(G5:G31)</f>
        <v>12098.890000000001</v>
      </c>
      <c r="H33" s="247">
        <f>SUM(H5:H31)</f>
        <v>467822.64</v>
      </c>
    </row>
    <row r="35" spans="2:8" ht="12" thickBot="1" x14ac:dyDescent="0.25">
      <c r="B35" s="254" t="s">
        <v>881</v>
      </c>
      <c r="D35" s="255">
        <f>E33</f>
        <v>123350.9</v>
      </c>
      <c r="E35" s="250"/>
    </row>
    <row r="36" spans="2:8" ht="12" thickTop="1" x14ac:dyDescent="0.2">
      <c r="B36" t="s">
        <v>849</v>
      </c>
      <c r="D36" s="20">
        <f>D33</f>
        <v>4168652.9299999992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AC62-ECF6-4191-9C1D-AA772A0ADEDE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CAMPTON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90230.080000000002</v>
      </c>
      <c r="D9" s="95">
        <f>'DOE25'!G9</f>
        <v>-12073.3</v>
      </c>
      <c r="E9" s="95">
        <f>'DOE25'!H9</f>
        <v>-10452.73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112599.46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40313.72</v>
      </c>
      <c r="D13" s="95">
        <f>'DOE25'!G13</f>
        <v>12248.24</v>
      </c>
      <c r="E13" s="95">
        <f>'DOE25'!H13</f>
        <v>10452.73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130543.8</v>
      </c>
      <c r="D19" s="41">
        <f>SUM(D9:D18)</f>
        <v>174.94000000000051</v>
      </c>
      <c r="E19" s="41">
        <f>SUM(E9:E18)</f>
        <v>0</v>
      </c>
      <c r="F19" s="41">
        <f>SUM(F9:F18)</f>
        <v>0</v>
      </c>
      <c r="G19" s="41">
        <f>SUM(G9:G18)</f>
        <v>112599.46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17528.2</v>
      </c>
      <c r="D24" s="95">
        <f>'DOE25'!G25</f>
        <v>174.94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56878.14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10183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84589.34</v>
      </c>
      <c r="D32" s="41">
        <f>SUM(D22:D31)</f>
        <v>174.94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14903.54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112599.46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31050.92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45954.46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112599.46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130543.79999999999</v>
      </c>
      <c r="D43" s="41">
        <f>D42+D32</f>
        <v>174.94</v>
      </c>
      <c r="E43" s="41">
        <f>E42+E32</f>
        <v>0</v>
      </c>
      <c r="F43" s="41">
        <f>F42+F32</f>
        <v>0</v>
      </c>
      <c r="G43" s="41">
        <f>G42+G32</f>
        <v>112599.46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2711518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98469.5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1211.81</v>
      </c>
      <c r="D51" s="95">
        <f>'DOE25'!G88</f>
        <v>3.17</v>
      </c>
      <c r="E51" s="95">
        <f>'DOE25'!H88</f>
        <v>0</v>
      </c>
      <c r="F51" s="95">
        <f>'DOE25'!I88</f>
        <v>0</v>
      </c>
      <c r="G51" s="95">
        <f>'DOE25'!J88</f>
        <v>137.52000000000001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40663.120000000003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21688.1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121369.41</v>
      </c>
      <c r="D54" s="130">
        <f>SUM(D49:D53)</f>
        <v>40666.29</v>
      </c>
      <c r="E54" s="130">
        <f>SUM(E49:E53)</f>
        <v>0</v>
      </c>
      <c r="F54" s="130">
        <f>SUM(F49:F53)</f>
        <v>0</v>
      </c>
      <c r="G54" s="130">
        <f>SUM(G49:G53)</f>
        <v>137.52000000000001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2832887.41</v>
      </c>
      <c r="D55" s="22">
        <f>D48+D54</f>
        <v>40666.29</v>
      </c>
      <c r="E55" s="22">
        <f>E48+E54</f>
        <v>0</v>
      </c>
      <c r="F55" s="22">
        <f>F48+F54</f>
        <v>0</v>
      </c>
      <c r="G55" s="22">
        <f>G48+G54</f>
        <v>137.52000000000001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719581.26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643446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276081.74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1639109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197186.93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5536.93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1249.8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202723.86</v>
      </c>
      <c r="D70" s="130">
        <f>SUM(D64:D69)</f>
        <v>1249.8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1841832.8599999999</v>
      </c>
      <c r="D73" s="130">
        <f>SUM(D71:D72)+D70+D62</f>
        <v>1249.8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49309.98</v>
      </c>
      <c r="D80" s="95">
        <f>SUM('DOE25'!G145:G153)</f>
        <v>43670.63</v>
      </c>
      <c r="E80" s="95">
        <f>SUM('DOE25'!H145:H153)</f>
        <v>82684.89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49309.98</v>
      </c>
      <c r="D83" s="131">
        <f>SUM(D77:D82)</f>
        <v>43670.63</v>
      </c>
      <c r="E83" s="131">
        <f>SUM(E77:E82)</f>
        <v>82684.89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70909.3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70909.3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4724030.25</v>
      </c>
      <c r="D96" s="86">
        <f>D55+D73+D83+D95</f>
        <v>156496.02000000002</v>
      </c>
      <c r="E96" s="86">
        <f>E55+E73+E83+E95</f>
        <v>82684.89</v>
      </c>
      <c r="F96" s="86">
        <f>F55+F73+F83+F95</f>
        <v>0</v>
      </c>
      <c r="G96" s="86">
        <f>G55+G73+G95</f>
        <v>137.52000000000001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1878521.1099999999</v>
      </c>
      <c r="D101" s="24" t="s">
        <v>312</v>
      </c>
      <c r="E101" s="95">
        <f>('DOE25'!L268)+('DOE25'!L287)+('DOE25'!L306)</f>
        <v>34765.620000000003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786838.06</v>
      </c>
      <c r="D102" s="24" t="s">
        <v>312</v>
      </c>
      <c r="E102" s="95">
        <f>('DOE25'!L269)+('DOE25'!L288)+('DOE25'!L307)</f>
        <v>21420.36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52491.23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53556.07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2771406.4699999997</v>
      </c>
      <c r="D107" s="86">
        <f>SUM(D101:D106)</f>
        <v>0</v>
      </c>
      <c r="E107" s="86">
        <f>SUM(E101:E106)</f>
        <v>56185.98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357941.77</v>
      </c>
      <c r="D110" s="24" t="s">
        <v>312</v>
      </c>
      <c r="E110" s="95">
        <f>+('DOE25'!L273)+('DOE25'!L292)+('DOE25'!L311)</f>
        <v>15839.9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69324.319999999992</v>
      </c>
      <c r="D111" s="24" t="s">
        <v>312</v>
      </c>
      <c r="E111" s="95">
        <f>+('DOE25'!L274)+('DOE25'!L293)+('DOE25'!L312)</f>
        <v>10520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176511.04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287840.36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2877.35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312532.31000000006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175750.55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156496.01999999999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1379900.35</v>
      </c>
      <c r="D120" s="86">
        <f>SUM(D110:D119)</f>
        <v>156496.01999999999</v>
      </c>
      <c r="E120" s="86">
        <f>SUM(E110:E119)</f>
        <v>29237.25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405000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62822.64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70909.3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113.27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24.25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-137.51999999999998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538731.94000000006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4690038.76</v>
      </c>
      <c r="D137" s="86">
        <f>(D107+D120+D136)</f>
        <v>156496.01999999999</v>
      </c>
      <c r="E137" s="86">
        <f>(E107+E120+E136)</f>
        <v>85423.23000000001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7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07/89</v>
      </c>
      <c r="C144" s="152" t="str">
        <f>'DOE25'!G481</f>
        <v>07/06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07/09</v>
      </c>
      <c r="C145" s="152" t="str">
        <f>'DOE25'!G482</f>
        <v>07/13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2593000</v>
      </c>
      <c r="C146" s="137">
        <f>'DOE25'!G483</f>
        <v>1950000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6.8</v>
      </c>
      <c r="C147" s="137">
        <f>'DOE25'!G484</f>
        <v>4.1500000000000004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129250</v>
      </c>
      <c r="C148" s="137">
        <f>'DOE25'!G485</f>
        <v>1390000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1519250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1110000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1110000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143590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143590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1253590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1253590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280000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280000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51875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51875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331875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331875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7F95-70BF-4C8A-9F1F-7876BA38F090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CAMPTON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12895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12895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1913287</v>
      </c>
      <c r="D10" s="182">
        <f>ROUND((C10/$C$28)*100,1)</f>
        <v>43.3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808258</v>
      </c>
      <c r="D11" s="182">
        <f>ROUND((C11/$C$28)*100,1)</f>
        <v>18.3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52491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373782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79844</v>
      </c>
      <c r="D16" s="182">
        <f t="shared" si="0"/>
        <v>1.8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176511</v>
      </c>
      <c r="D17" s="182">
        <f t="shared" si="0"/>
        <v>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287840</v>
      </c>
      <c r="D18" s="182">
        <f t="shared" si="0"/>
        <v>6.5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2877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312532</v>
      </c>
      <c r="D20" s="182">
        <f t="shared" si="0"/>
        <v>7.1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175751</v>
      </c>
      <c r="D21" s="182">
        <f t="shared" si="0"/>
        <v>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53556</v>
      </c>
      <c r="D24" s="182">
        <f t="shared" si="0"/>
        <v>1.2</v>
      </c>
    </row>
    <row r="25" spans="1:4" x14ac:dyDescent="0.2">
      <c r="A25">
        <v>5120</v>
      </c>
      <c r="B25" t="s">
        <v>751</v>
      </c>
      <c r="C25" s="179">
        <f>ROUND('DOE25'!L253+'DOE25'!L334,0)</f>
        <v>62823</v>
      </c>
      <c r="D25" s="182">
        <f t="shared" si="0"/>
        <v>1.4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115832.88</v>
      </c>
      <c r="D27" s="182">
        <f t="shared" si="0"/>
        <v>2.6</v>
      </c>
    </row>
    <row r="28" spans="1:4" x14ac:dyDescent="0.2">
      <c r="B28" s="187" t="s">
        <v>754</v>
      </c>
      <c r="C28" s="180">
        <f>SUM(C10:C27)</f>
        <v>4415384.88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4415384.88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405000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2711518</v>
      </c>
      <c r="D35" s="182">
        <f t="shared" ref="D35:D40" si="1">ROUND((C35/$C$41)*100,1)</f>
        <v>55.9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121510.10000000009</v>
      </c>
      <c r="D36" s="182">
        <f t="shared" si="1"/>
        <v>2.5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1363027</v>
      </c>
      <c r="D37" s="182">
        <f t="shared" si="1"/>
        <v>28.1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480055</v>
      </c>
      <c r="D38" s="182">
        <f t="shared" si="1"/>
        <v>9.9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175666</v>
      </c>
      <c r="D39" s="182">
        <f t="shared" si="1"/>
        <v>3.6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4851776.0999999996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582F-0F75-4FF7-96E8-22642701D21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CAMPTON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2010-11-22T20:34:13Z</cp:lastPrinted>
  <dcterms:created xsi:type="dcterms:W3CDTF">1997-12-04T19:04:30Z</dcterms:created>
  <dcterms:modified xsi:type="dcterms:W3CDTF">2025-01-02T14:24:51Z</dcterms:modified>
</cp:coreProperties>
</file>