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C0800A9-9701-4D8F-B063-C9BD1D021450}" xr6:coauthVersionLast="47" xr6:coauthVersionMax="47" xr10:uidLastSave="{00000000-0000-0000-0000-000000000000}"/>
  <workbookProtection workbookPassword="B70A" lockStructure="1"/>
  <bookViews>
    <workbookView xWindow="2505" yWindow="2505" windowWidth="21600" windowHeight="11505" tabRatio="855" xr2:uid="{4AE832A0-C6AA-4504-9E9C-299A74980AE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1" i="1" l="1"/>
  <c r="H513" i="1"/>
  <c r="L513" i="1" s="1"/>
  <c r="F541" i="1" s="1"/>
  <c r="H512" i="1"/>
  <c r="H571" i="1"/>
  <c r="G572" i="1"/>
  <c r="H601" i="1"/>
  <c r="L601" i="1" s="1"/>
  <c r="H516" i="1"/>
  <c r="G511" i="1"/>
  <c r="F511" i="1"/>
  <c r="J511" i="1"/>
  <c r="J514" i="1" s="1"/>
  <c r="I516" i="1"/>
  <c r="I519" i="1" s="1"/>
  <c r="G516" i="1"/>
  <c r="L516" i="1" s="1"/>
  <c r="F516" i="1"/>
  <c r="I511" i="1"/>
  <c r="I514" i="1" s="1"/>
  <c r="K521" i="1"/>
  <c r="J521" i="1"/>
  <c r="J524" i="1" s="1"/>
  <c r="H521" i="1"/>
  <c r="H524" i="1" s="1"/>
  <c r="F521" i="1"/>
  <c r="H594" i="1"/>
  <c r="K277" i="1"/>
  <c r="H274" i="1"/>
  <c r="G274" i="1"/>
  <c r="G282" i="1" s="1"/>
  <c r="G330" i="1" s="1"/>
  <c r="G344" i="1" s="1"/>
  <c r="F274" i="1"/>
  <c r="H273" i="1"/>
  <c r="G269" i="1"/>
  <c r="F269" i="1"/>
  <c r="F282" i="1" s="1"/>
  <c r="F330" i="1" s="1"/>
  <c r="F344" i="1" s="1"/>
  <c r="J269" i="1"/>
  <c r="I271" i="1"/>
  <c r="I282" i="1" s="1"/>
  <c r="I330" i="1" s="1"/>
  <c r="I344" i="1" s="1"/>
  <c r="H271" i="1"/>
  <c r="H282" i="1" s="1"/>
  <c r="H330" i="1" s="1"/>
  <c r="H344" i="1" s="1"/>
  <c r="J268" i="1"/>
  <c r="L268" i="1" s="1"/>
  <c r="H268" i="1"/>
  <c r="J462" i="1"/>
  <c r="F359" i="1"/>
  <c r="K192" i="1"/>
  <c r="K203" i="1" s="1"/>
  <c r="K249" i="1" s="1"/>
  <c r="K263" i="1" s="1"/>
  <c r="H190" i="1"/>
  <c r="H203" i="1" s="1"/>
  <c r="G190" i="1"/>
  <c r="L190" i="1" s="1"/>
  <c r="H200" i="1"/>
  <c r="H236" i="1"/>
  <c r="H201" i="1"/>
  <c r="L201" i="1" s="1"/>
  <c r="H197" i="1"/>
  <c r="H196" i="1"/>
  <c r="J195" i="1"/>
  <c r="I195" i="1"/>
  <c r="H195" i="1"/>
  <c r="G195" i="1"/>
  <c r="F195" i="1"/>
  <c r="F203" i="1" s="1"/>
  <c r="F249" i="1" s="1"/>
  <c r="F263" i="1" s="1"/>
  <c r="I194" i="1"/>
  <c r="I203" i="1" s="1"/>
  <c r="I249" i="1" s="1"/>
  <c r="I263" i="1" s="1"/>
  <c r="H194" i="1"/>
  <c r="G194" i="1"/>
  <c r="F194" i="1"/>
  <c r="J194" i="1"/>
  <c r="J203" i="1" s="1"/>
  <c r="J249" i="1" s="1"/>
  <c r="I192" i="1"/>
  <c r="H192" i="1"/>
  <c r="G192" i="1"/>
  <c r="F192" i="1"/>
  <c r="I190" i="1"/>
  <c r="F190" i="1"/>
  <c r="H226" i="1"/>
  <c r="H239" i="1" s="1"/>
  <c r="H208" i="1"/>
  <c r="L208" i="1" s="1"/>
  <c r="L221" i="1" s="1"/>
  <c r="G650" i="1" s="1"/>
  <c r="G654" i="1" s="1"/>
  <c r="H151" i="1"/>
  <c r="E80" i="2" s="1"/>
  <c r="H147" i="1"/>
  <c r="H146" i="1"/>
  <c r="H154" i="1" s="1"/>
  <c r="H161" i="1" s="1"/>
  <c r="G150" i="1"/>
  <c r="D80" i="2" s="1"/>
  <c r="H388" i="1"/>
  <c r="L388" i="1" s="1"/>
  <c r="L393" i="1" s="1"/>
  <c r="C131" i="2" s="1"/>
  <c r="G431" i="1"/>
  <c r="G438" i="1" s="1"/>
  <c r="G630" i="1" s="1"/>
  <c r="F9" i="1"/>
  <c r="F12" i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L234" i="1"/>
  <c r="E13" i="13"/>
  <c r="C13" i="13" s="1"/>
  <c r="F16" i="13"/>
  <c r="G16" i="13"/>
  <c r="L219" i="1"/>
  <c r="L237" i="1"/>
  <c r="F5" i="13"/>
  <c r="L189" i="1"/>
  <c r="L191" i="1"/>
  <c r="C103" i="2" s="1"/>
  <c r="L192" i="1"/>
  <c r="C13" i="10" s="1"/>
  <c r="L207" i="1"/>
  <c r="L209" i="1"/>
  <c r="L210" i="1"/>
  <c r="L225" i="1"/>
  <c r="L227" i="1"/>
  <c r="L228" i="1"/>
  <c r="F6" i="13"/>
  <c r="F33" i="13" s="1"/>
  <c r="G6" i="13"/>
  <c r="L212" i="1"/>
  <c r="L230" i="1"/>
  <c r="F7" i="13"/>
  <c r="G7" i="13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G641" i="1" s="1"/>
  <c r="J641" i="1" s="1"/>
  <c r="F17" i="13"/>
  <c r="G17" i="13"/>
  <c r="L243" i="1"/>
  <c r="C24" i="10" s="1"/>
  <c r="F18" i="13"/>
  <c r="G18" i="13"/>
  <c r="L244" i="1"/>
  <c r="C106" i="2" s="1"/>
  <c r="D18" i="13"/>
  <c r="C18" i="13" s="1"/>
  <c r="F19" i="13"/>
  <c r="D19" i="13" s="1"/>
  <c r="C19" i="13" s="1"/>
  <c r="G19" i="13"/>
  <c r="L245" i="1"/>
  <c r="F29" i="13"/>
  <c r="G29" i="13"/>
  <c r="L350" i="1"/>
  <c r="H651" i="1" s="1"/>
  <c r="L351" i="1"/>
  <c r="L352" i="1"/>
  <c r="I359" i="1"/>
  <c r="D29" i="13"/>
  <c r="C29" i="13" s="1"/>
  <c r="J282" i="1"/>
  <c r="F31" i="13" s="1"/>
  <c r="J301" i="1"/>
  <c r="J320" i="1"/>
  <c r="K282" i="1"/>
  <c r="G31" i="13" s="1"/>
  <c r="K301" i="1"/>
  <c r="K320" i="1"/>
  <c r="L270" i="1"/>
  <c r="L271" i="1"/>
  <c r="L273" i="1"/>
  <c r="E110" i="2" s="1"/>
  <c r="L274" i="1"/>
  <c r="L275" i="1"/>
  <c r="L276" i="1"/>
  <c r="L277" i="1"/>
  <c r="C19" i="10" s="1"/>
  <c r="L278" i="1"/>
  <c r="E115" i="2" s="1"/>
  <c r="L279" i="1"/>
  <c r="L280" i="1"/>
  <c r="L287" i="1"/>
  <c r="L288" i="1"/>
  <c r="L301" i="1" s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L334" i="1"/>
  <c r="L247" i="1"/>
  <c r="F22" i="13" s="1"/>
  <c r="C22" i="13" s="1"/>
  <c r="L328" i="1"/>
  <c r="E122" i="2" s="1"/>
  <c r="E136" i="2" s="1"/>
  <c r="C11" i="13"/>
  <c r="C10" i="13"/>
  <c r="C9" i="13"/>
  <c r="L353" i="1"/>
  <c r="L354" i="1"/>
  <c r="G625" i="1" s="1"/>
  <c r="J625" i="1" s="1"/>
  <c r="B4" i="12"/>
  <c r="B36" i="12"/>
  <c r="C36" i="12"/>
  <c r="B40" i="12"/>
  <c r="C40" i="12"/>
  <c r="A40" i="12" s="1"/>
  <c r="B27" i="12"/>
  <c r="C27" i="12"/>
  <c r="B31" i="12"/>
  <c r="C31" i="12"/>
  <c r="A31" i="12"/>
  <c r="B9" i="12"/>
  <c r="A13" i="12" s="1"/>
  <c r="B13" i="12"/>
  <c r="C9" i="12"/>
  <c r="C13" i="12"/>
  <c r="B18" i="12"/>
  <c r="B22" i="12"/>
  <c r="C22" i="12"/>
  <c r="B1" i="12"/>
  <c r="L379" i="1"/>
  <c r="L385" i="1" s="1"/>
  <c r="L380" i="1"/>
  <c r="L381" i="1"/>
  <c r="L382" i="1"/>
  <c r="L383" i="1"/>
  <c r="L384" i="1"/>
  <c r="L387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4" i="2" s="1"/>
  <c r="G53" i="2"/>
  <c r="F2" i="11"/>
  <c r="L603" i="1"/>
  <c r="H653" i="1" s="1"/>
  <c r="L602" i="1"/>
  <c r="G653" i="1" s="1"/>
  <c r="C40" i="10"/>
  <c r="F52" i="1"/>
  <c r="C35" i="10" s="1"/>
  <c r="G52" i="1"/>
  <c r="H52" i="1"/>
  <c r="E48" i="2" s="1"/>
  <c r="E55" i="2" s="1"/>
  <c r="I52" i="1"/>
  <c r="F71" i="1"/>
  <c r="F86" i="1"/>
  <c r="C50" i="2" s="1"/>
  <c r="C54" i="2" s="1"/>
  <c r="F103" i="1"/>
  <c r="G103" i="1"/>
  <c r="G104" i="1"/>
  <c r="H71" i="1"/>
  <c r="H104" i="1" s="1"/>
  <c r="H86" i="1"/>
  <c r="E50" i="2" s="1"/>
  <c r="H103" i="1"/>
  <c r="I103" i="1"/>
  <c r="I104" i="1"/>
  <c r="J103" i="1"/>
  <c r="C37" i="10"/>
  <c r="F113" i="1"/>
  <c r="F128" i="1"/>
  <c r="F132" i="1"/>
  <c r="G113" i="1"/>
  <c r="G132" i="1" s="1"/>
  <c r="G128" i="1"/>
  <c r="H113" i="1"/>
  <c r="H128" i="1"/>
  <c r="H132" i="1" s="1"/>
  <c r="I113" i="1"/>
  <c r="I132" i="1" s="1"/>
  <c r="I128" i="1"/>
  <c r="J113" i="1"/>
  <c r="J128" i="1"/>
  <c r="J132" i="1"/>
  <c r="F139" i="1"/>
  <c r="F154" i="1"/>
  <c r="F161" i="1" s="1"/>
  <c r="G139" i="1"/>
  <c r="G161" i="1" s="1"/>
  <c r="G154" i="1"/>
  <c r="H139" i="1"/>
  <c r="I139" i="1"/>
  <c r="F77" i="2" s="1"/>
  <c r="F83" i="2" s="1"/>
  <c r="I154" i="1"/>
  <c r="I161" i="1"/>
  <c r="L242" i="1"/>
  <c r="L324" i="1"/>
  <c r="E105" i="2" s="1"/>
  <c r="C23" i="10"/>
  <c r="L246" i="1"/>
  <c r="C25" i="10"/>
  <c r="L260" i="1"/>
  <c r="C26" i="10" s="1"/>
  <c r="L261" i="1"/>
  <c r="L341" i="1"/>
  <c r="L342" i="1"/>
  <c r="I655" i="1"/>
  <c r="I660" i="1"/>
  <c r="F651" i="1"/>
  <c r="G651" i="1"/>
  <c r="G652" i="1"/>
  <c r="H652" i="1"/>
  <c r="I659" i="1"/>
  <c r="C6" i="10"/>
  <c r="C5" i="10"/>
  <c r="C42" i="10"/>
  <c r="C3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/>
  <c r="L517" i="1"/>
  <c r="G540" i="1" s="1"/>
  <c r="L518" i="1"/>
  <c r="G541" i="1" s="1"/>
  <c r="L521" i="1"/>
  <c r="H539" i="1"/>
  <c r="H542" i="1" s="1"/>
  <c r="L522" i="1"/>
  <c r="H540" i="1"/>
  <c r="L523" i="1"/>
  <c r="H541" i="1"/>
  <c r="L526" i="1"/>
  <c r="I539" i="1" s="1"/>
  <c r="I542" i="1" s="1"/>
  <c r="L527" i="1"/>
  <c r="I540" i="1" s="1"/>
  <c r="L528" i="1"/>
  <c r="L529" i="1" s="1"/>
  <c r="I541" i="1"/>
  <c r="L531" i="1"/>
  <c r="J539" i="1"/>
  <c r="J542" i="1" s="1"/>
  <c r="L532" i="1"/>
  <c r="L534" i="1" s="1"/>
  <c r="J540" i="1"/>
  <c r="L533" i="1"/>
  <c r="J541" i="1" s="1"/>
  <c r="E124" i="2"/>
  <c r="E123" i="2"/>
  <c r="K262" i="1"/>
  <c r="J262" i="1"/>
  <c r="I262" i="1"/>
  <c r="H262" i="1"/>
  <c r="G262" i="1"/>
  <c r="F262" i="1"/>
  <c r="A1" i="2"/>
  <c r="A2" i="2"/>
  <c r="C9" i="2"/>
  <c r="C19" i="2" s="1"/>
  <c r="D9" i="2"/>
  <c r="E9" i="2"/>
  <c r="E19" i="2" s="1"/>
  <c r="F9" i="2"/>
  <c r="I431" i="1"/>
  <c r="J9" i="1" s="1"/>
  <c r="C10" i="2"/>
  <c r="D10" i="2"/>
  <c r="E10" i="2"/>
  <c r="F10" i="2"/>
  <c r="I432" i="1"/>
  <c r="I438" i="1" s="1"/>
  <c r="G632" i="1" s="1"/>
  <c r="J10" i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F23" i="2"/>
  <c r="F32" i="2" s="1"/>
  <c r="I441" i="1"/>
  <c r="I444" i="1" s="1"/>
  <c r="J24" i="1"/>
  <c r="G23" i="2" s="1"/>
  <c r="C24" i="2"/>
  <c r="D24" i="2"/>
  <c r="D32" i="2" s="1"/>
  <c r="E24" i="2"/>
  <c r="E32" i="2" s="1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C34" i="2"/>
  <c r="C42" i="2" s="1"/>
  <c r="C43" i="2" s="1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D42" i="2" s="1"/>
  <c r="E40" i="2"/>
  <c r="E42" i="2" s="1"/>
  <c r="E43" i="2" s="1"/>
  <c r="F40" i="2"/>
  <c r="I449" i="1"/>
  <c r="J41" i="1" s="1"/>
  <c r="G40" i="2" s="1"/>
  <c r="C41" i="2"/>
  <c r="D41" i="2"/>
  <c r="E41" i="2"/>
  <c r="F41" i="2"/>
  <c r="F42" i="2"/>
  <c r="D48" i="2"/>
  <c r="F48" i="2"/>
  <c r="C49" i="2"/>
  <c r="E49" i="2"/>
  <c r="E54" i="2" s="1"/>
  <c r="C51" i="2"/>
  <c r="D51" i="2"/>
  <c r="D54" i="2" s="1"/>
  <c r="D55" i="2" s="1"/>
  <c r="E51" i="2"/>
  <c r="F51" i="2"/>
  <c r="D52" i="2"/>
  <c r="C53" i="2"/>
  <c r="D53" i="2"/>
  <c r="E53" i="2"/>
  <c r="F53" i="2"/>
  <c r="F54" i="2" s="1"/>
  <c r="C58" i="2"/>
  <c r="C59" i="2"/>
  <c r="C61" i="2"/>
  <c r="C62" i="2" s="1"/>
  <c r="D61" i="2"/>
  <c r="D62" i="2" s="1"/>
  <c r="E61" i="2"/>
  <c r="E62" i="2" s="1"/>
  <c r="F61" i="2"/>
  <c r="G61" i="2"/>
  <c r="G62" i="2" s="1"/>
  <c r="G73" i="2" s="1"/>
  <c r="F62" i="2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D69" i="2"/>
  <c r="E69" i="2"/>
  <c r="F69" i="2"/>
  <c r="G69" i="2"/>
  <c r="D70" i="2"/>
  <c r="E70" i="2"/>
  <c r="E73" i="2" s="1"/>
  <c r="G70" i="2"/>
  <c r="C71" i="2"/>
  <c r="D71" i="2"/>
  <c r="E71" i="2"/>
  <c r="C72" i="2"/>
  <c r="E72" i="2"/>
  <c r="C77" i="2"/>
  <c r="D77" i="2"/>
  <c r="E77" i="2"/>
  <c r="C79" i="2"/>
  <c r="E79" i="2"/>
  <c r="F79" i="2"/>
  <c r="C80" i="2"/>
  <c r="F80" i="2"/>
  <c r="C81" i="2"/>
  <c r="C83" i="2" s="1"/>
  <c r="D81" i="2"/>
  <c r="E81" i="2"/>
  <c r="F81" i="2"/>
  <c r="C82" i="2"/>
  <c r="C85" i="2"/>
  <c r="F85" i="2"/>
  <c r="F95" i="2" s="1"/>
  <c r="C86" i="2"/>
  <c r="C95" i="2" s="1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4" i="2"/>
  <c r="C105" i="2"/>
  <c r="D107" i="2"/>
  <c r="F107" i="2"/>
  <c r="G107" i="2"/>
  <c r="E111" i="2"/>
  <c r="E112" i="2"/>
  <c r="E113" i="2"/>
  <c r="C114" i="2"/>
  <c r="C115" i="2"/>
  <c r="E116" i="2"/>
  <c r="E117" i="2"/>
  <c r="D119" i="2"/>
  <c r="D120" i="2"/>
  <c r="F120" i="2"/>
  <c r="G120" i="2"/>
  <c r="D126" i="2"/>
  <c r="D136" i="2" s="1"/>
  <c r="D137" i="2" s="1"/>
  <c r="E126" i="2"/>
  <c r="F126" i="2"/>
  <c r="K411" i="1"/>
  <c r="K419" i="1"/>
  <c r="K425" i="1"/>
  <c r="K426" i="1"/>
  <c r="G126" i="2" s="1"/>
  <c r="G136" i="2" s="1"/>
  <c r="G137" i="2" s="1"/>
  <c r="L255" i="1"/>
  <c r="C127" i="2" s="1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B153" i="2"/>
  <c r="G490" i="1"/>
  <c r="C153" i="2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C156" i="2" s="1"/>
  <c r="H493" i="1"/>
  <c r="D156" i="2" s="1"/>
  <c r="I493" i="1"/>
  <c r="E156" i="2" s="1"/>
  <c r="J493" i="1"/>
  <c r="F156" i="2" s="1"/>
  <c r="F19" i="1"/>
  <c r="G19" i="1"/>
  <c r="G608" i="1" s="1"/>
  <c r="H19" i="1"/>
  <c r="G609" i="1" s="1"/>
  <c r="J609" i="1" s="1"/>
  <c r="I19" i="1"/>
  <c r="G610" i="1" s="1"/>
  <c r="J610" i="1" s="1"/>
  <c r="F33" i="1"/>
  <c r="G33" i="1"/>
  <c r="H33" i="1"/>
  <c r="H44" i="1" s="1"/>
  <c r="H609" i="1" s="1"/>
  <c r="I33" i="1"/>
  <c r="F43" i="1"/>
  <c r="G43" i="1"/>
  <c r="G44" i="1" s="1"/>
  <c r="H608" i="1" s="1"/>
  <c r="H43" i="1"/>
  <c r="I43" i="1"/>
  <c r="I44" i="1" s="1"/>
  <c r="H610" i="1" s="1"/>
  <c r="F44" i="1"/>
  <c r="H607" i="1" s="1"/>
  <c r="F169" i="1"/>
  <c r="I169" i="1"/>
  <c r="I184" i="1" s="1"/>
  <c r="F175" i="1"/>
  <c r="G175" i="1"/>
  <c r="H175" i="1"/>
  <c r="I175" i="1"/>
  <c r="J175" i="1"/>
  <c r="J184" i="1" s="1"/>
  <c r="F180" i="1"/>
  <c r="F184" i="1" s="1"/>
  <c r="G180" i="1"/>
  <c r="H180" i="1"/>
  <c r="H184" i="1" s="1"/>
  <c r="I180" i="1"/>
  <c r="G184" i="1"/>
  <c r="F221" i="1"/>
  <c r="G221" i="1"/>
  <c r="I221" i="1"/>
  <c r="J221" i="1"/>
  <c r="K221" i="1"/>
  <c r="F239" i="1"/>
  <c r="G239" i="1"/>
  <c r="I239" i="1"/>
  <c r="J239" i="1"/>
  <c r="K239" i="1"/>
  <c r="F248" i="1"/>
  <c r="G248" i="1"/>
  <c r="H248" i="1"/>
  <c r="L248" i="1" s="1"/>
  <c r="I248" i="1"/>
  <c r="J248" i="1"/>
  <c r="K248" i="1"/>
  <c r="L26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G400" i="1"/>
  <c r="H635" i="1" s="1"/>
  <c r="H400" i="1"/>
  <c r="H634" i="1" s="1"/>
  <c r="J634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F460" i="1"/>
  <c r="F466" i="1" s="1"/>
  <c r="H612" i="1" s="1"/>
  <c r="J612" i="1" s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I464" i="1"/>
  <c r="J464" i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K514" i="1"/>
  <c r="K535" i="1" s="1"/>
  <c r="F519" i="1"/>
  <c r="F535" i="1" s="1"/>
  <c r="G519" i="1"/>
  <c r="H519" i="1"/>
  <c r="J519" i="1"/>
  <c r="K519" i="1"/>
  <c r="F524" i="1"/>
  <c r="G524" i="1"/>
  <c r="I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H550" i="1"/>
  <c r="H561" i="1" s="1"/>
  <c r="I550" i="1"/>
  <c r="I561" i="1" s="1"/>
  <c r="J550" i="1"/>
  <c r="J561" i="1" s="1"/>
  <c r="K550" i="1"/>
  <c r="K561" i="1" s="1"/>
  <c r="L552" i="1"/>
  <c r="L553" i="1"/>
  <c r="L554" i="1"/>
  <c r="F555" i="1"/>
  <c r="G555" i="1"/>
  <c r="G561" i="1" s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G612" i="1"/>
  <c r="G613" i="1"/>
  <c r="J613" i="1" s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1" i="1"/>
  <c r="J631" i="1" s="1"/>
  <c r="G633" i="1"/>
  <c r="G634" i="1"/>
  <c r="G635" i="1"/>
  <c r="G639" i="1"/>
  <c r="G640" i="1"/>
  <c r="H640" i="1"/>
  <c r="J640" i="1" s="1"/>
  <c r="H641" i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F55" i="2" l="1"/>
  <c r="F96" i="2" s="1"/>
  <c r="L203" i="1"/>
  <c r="C102" i="2"/>
  <c r="L519" i="1"/>
  <c r="G539" i="1"/>
  <c r="G542" i="1" s="1"/>
  <c r="H535" i="1"/>
  <c r="J608" i="1"/>
  <c r="D73" i="2"/>
  <c r="F43" i="2"/>
  <c r="J19" i="1"/>
  <c r="G611" i="1" s="1"/>
  <c r="G9" i="2"/>
  <c r="G19" i="2" s="1"/>
  <c r="J535" i="1"/>
  <c r="G185" i="1"/>
  <c r="G618" i="1" s="1"/>
  <c r="J618" i="1" s="1"/>
  <c r="C38" i="10"/>
  <c r="C25" i="13"/>
  <c r="H33" i="13"/>
  <c r="G153" i="2"/>
  <c r="G22" i="2"/>
  <c r="G32" i="2" s="1"/>
  <c r="J33" i="1"/>
  <c r="C39" i="10"/>
  <c r="G55" i="2"/>
  <c r="G96" i="2" s="1"/>
  <c r="L239" i="1"/>
  <c r="H650" i="1" s="1"/>
  <c r="H654" i="1" s="1"/>
  <c r="J639" i="1"/>
  <c r="E83" i="2"/>
  <c r="E96" i="2" s="1"/>
  <c r="J185" i="1"/>
  <c r="J635" i="1"/>
  <c r="D83" i="2"/>
  <c r="G662" i="1"/>
  <c r="G657" i="1"/>
  <c r="E101" i="2"/>
  <c r="C10" i="10"/>
  <c r="F653" i="1"/>
  <c r="I653" i="1" s="1"/>
  <c r="L604" i="1"/>
  <c r="J633" i="1"/>
  <c r="J630" i="1"/>
  <c r="D96" i="2"/>
  <c r="L400" i="1"/>
  <c r="C130" i="2"/>
  <c r="C133" i="2" s="1"/>
  <c r="J629" i="1"/>
  <c r="J632" i="1"/>
  <c r="I651" i="1"/>
  <c r="I185" i="1"/>
  <c r="G620" i="1" s="1"/>
  <c r="J620" i="1" s="1"/>
  <c r="H638" i="1"/>
  <c r="J638" i="1" s="1"/>
  <c r="J263" i="1"/>
  <c r="E16" i="13"/>
  <c r="C16" i="13" s="1"/>
  <c r="C117" i="2"/>
  <c r="J615" i="1"/>
  <c r="D43" i="2"/>
  <c r="I451" i="1"/>
  <c r="H632" i="1" s="1"/>
  <c r="K540" i="1"/>
  <c r="I535" i="1"/>
  <c r="K541" i="1"/>
  <c r="G36" i="2"/>
  <c r="G42" i="2" s="1"/>
  <c r="J43" i="1"/>
  <c r="H185" i="1"/>
  <c r="G619" i="1" s="1"/>
  <c r="J619" i="1" s="1"/>
  <c r="C12" i="10"/>
  <c r="L194" i="1"/>
  <c r="H221" i="1"/>
  <c r="H249" i="1" s="1"/>
  <c r="H263" i="1" s="1"/>
  <c r="L374" i="1"/>
  <c r="G626" i="1" s="1"/>
  <c r="J626" i="1" s="1"/>
  <c r="C116" i="2"/>
  <c r="C123" i="2"/>
  <c r="L511" i="1"/>
  <c r="C27" i="10"/>
  <c r="D14" i="13"/>
  <c r="C14" i="13" s="1"/>
  <c r="K493" i="1"/>
  <c r="C29" i="10"/>
  <c r="C21" i="10"/>
  <c r="F104" i="1"/>
  <c r="F185" i="1" s="1"/>
  <c r="G617" i="1" s="1"/>
  <c r="J617" i="1" s="1"/>
  <c r="L269" i="1"/>
  <c r="E102" i="2" s="1"/>
  <c r="G5" i="13"/>
  <c r="H637" i="1"/>
  <c r="J637" i="1" s="1"/>
  <c r="C122" i="2"/>
  <c r="C136" i="2" s="1"/>
  <c r="C48" i="2"/>
  <c r="C55" i="2" s="1"/>
  <c r="C96" i="2" s="1"/>
  <c r="D17" i="13"/>
  <c r="C17" i="13" s="1"/>
  <c r="I450" i="1"/>
  <c r="K330" i="1"/>
  <c r="K344" i="1" s="1"/>
  <c r="E114" i="2"/>
  <c r="E120" i="2" s="1"/>
  <c r="C18" i="12"/>
  <c r="A22" i="12" s="1"/>
  <c r="L195" i="1"/>
  <c r="L226" i="1"/>
  <c r="J330" i="1"/>
  <c r="J344" i="1" s="1"/>
  <c r="C18" i="10"/>
  <c r="C104" i="2"/>
  <c r="C17" i="10"/>
  <c r="G203" i="1"/>
  <c r="G249" i="1" s="1"/>
  <c r="G263" i="1" s="1"/>
  <c r="C113" i="2"/>
  <c r="F652" i="1"/>
  <c r="I652" i="1" s="1"/>
  <c r="E8" i="13"/>
  <c r="E33" i="13" l="1"/>
  <c r="D35" i="13" s="1"/>
  <c r="C8" i="13"/>
  <c r="G43" i="2"/>
  <c r="G616" i="1"/>
  <c r="J44" i="1"/>
  <c r="H611" i="1" s="1"/>
  <c r="J611" i="1" s="1"/>
  <c r="F539" i="1"/>
  <c r="L514" i="1"/>
  <c r="L535" i="1" s="1"/>
  <c r="G636" i="1"/>
  <c r="J636" i="1" s="1"/>
  <c r="G621" i="1"/>
  <c r="J621" i="1" s="1"/>
  <c r="C11" i="10"/>
  <c r="C107" i="2"/>
  <c r="G33" i="13"/>
  <c r="D5" i="13"/>
  <c r="F650" i="1"/>
  <c r="L249" i="1"/>
  <c r="L263" i="1" s="1"/>
  <c r="G622" i="1" s="1"/>
  <c r="J622" i="1" s="1"/>
  <c r="L282" i="1"/>
  <c r="C15" i="10"/>
  <c r="D6" i="13"/>
  <c r="C6" i="13" s="1"/>
  <c r="C110" i="2"/>
  <c r="H636" i="1"/>
  <c r="G627" i="1"/>
  <c r="J627" i="1" s="1"/>
  <c r="E107" i="2"/>
  <c r="E137" i="2" s="1"/>
  <c r="C16" i="10"/>
  <c r="C28" i="10" s="1"/>
  <c r="C111" i="2"/>
  <c r="D7" i="13"/>
  <c r="C7" i="13" s="1"/>
  <c r="H662" i="1"/>
  <c r="H657" i="1"/>
  <c r="C36" i="10"/>
  <c r="D22" i="10" l="1"/>
  <c r="D25" i="10"/>
  <c r="C30" i="10"/>
  <c r="D26" i="10"/>
  <c r="D23" i="10"/>
  <c r="D24" i="10"/>
  <c r="D19" i="10"/>
  <c r="D13" i="10"/>
  <c r="D20" i="10"/>
  <c r="D27" i="10"/>
  <c r="D10" i="10"/>
  <c r="D21" i="10"/>
  <c r="D17" i="10"/>
  <c r="D18" i="10"/>
  <c r="D12" i="10"/>
  <c r="J616" i="1"/>
  <c r="H646" i="1"/>
  <c r="D31" i="13"/>
  <c r="C31" i="13" s="1"/>
  <c r="L330" i="1"/>
  <c r="L344" i="1" s="1"/>
  <c r="G623" i="1" s="1"/>
  <c r="J623" i="1" s="1"/>
  <c r="D15" i="10"/>
  <c r="F654" i="1"/>
  <c r="I650" i="1"/>
  <c r="I654" i="1" s="1"/>
  <c r="F542" i="1"/>
  <c r="K539" i="1"/>
  <c r="K542" i="1" s="1"/>
  <c r="D16" i="10"/>
  <c r="C5" i="13"/>
  <c r="C41" i="10"/>
  <c r="D36" i="10" s="1"/>
  <c r="C137" i="2"/>
  <c r="C120" i="2"/>
  <c r="D11" i="10"/>
  <c r="I657" i="1" l="1"/>
  <c r="I662" i="1"/>
  <c r="C7" i="10" s="1"/>
  <c r="F662" i="1"/>
  <c r="C4" i="10" s="1"/>
  <c r="F657" i="1"/>
  <c r="D28" i="10"/>
  <c r="D33" i="13"/>
  <c r="D36" i="13" s="1"/>
  <c r="D37" i="10"/>
  <c r="D35" i="10"/>
  <c r="D40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05B88FE-C4D8-4E2F-A647-B4174449342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8561345-CB93-4952-97FE-1244DBDC704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E94ACD5-3AE5-48AE-A693-2C99F614763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198AC45-2A79-48E0-B3C4-796E15476DA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4786EEE-FED5-4642-BECC-4351857106C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CBEE22C-6A33-4F95-805A-34C09E32E53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E891FE4-EEBE-4E65-AE5D-FBD78F2023B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87A1C86-A225-468F-8E5D-9088F42B417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B896FE7-B178-43E0-95E4-75FEB0F649E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78D6CF3-D6F5-46AB-8018-932CBDFD0DE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1E3981C-BBA8-4AFB-A937-0FC51BD6DD6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F21073A-9A6C-4249-BD0A-260B6A55B83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<sst xmlns="http://schemas.openxmlformats.org/spreadsheetml/2006/main" count="3858" uniqueCount="895">
  <si>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</si>
  <si>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</si>
  <si>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</si>
  <si>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</si>
  <si>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</si>
  <si>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</si>
  <si>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</si>
  <si>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</si>
  <si>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</si>
  <si>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</si>
  <si>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</si>
  <si>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</si>
  <si>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</si>
  <si>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</si>
  <si>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</si>
  <si>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</si>
  <si>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</si>
  <si>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</si>
  <si>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</si>
  <si>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</si>
  <si>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</si>
  <si>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</si>
  <si>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</si>
  <si>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</si>
  <si>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</si>
  <si>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</si>
  <si>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</si>
  <si>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</si>
  <si>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</si>
  <si>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</si>
  <si>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</si>
  <si>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</si>
  <si>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</si>
  <si>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</si>
  <si>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</si>
  <si>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</si>
  <si>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</si>
  <si>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</si>
  <si>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</si>
  <si>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</si>
  <si>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</si>
  <si>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</si>
  <si>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</si>
  <si>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</si>
  <si>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</si>
  <si>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</si>
  <si>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</si>
  <si>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</si>
  <si>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</si>
  <si>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</si>
  <si>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</si>
  <si>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</si>
  <si>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</si>
  <si>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</si>
  <si>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</si>
  <si>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</si>
  <si>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</si>
  <si>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</si>
  <si>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</si>
  <si>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</si>
  <si>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</si>
  <si>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</si>
  <si>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</si>
  <si>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</si>
  <si>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</si>
  <si>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</si>
  <si>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</si>
  <si>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</si>
  <si>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</si>
  <si>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</si>
  <si>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</si>
  <si>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</si>
  <si>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</si>
  <si>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</si>
  <si>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</si>
  <si>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</si>
  <si>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</si>
  <si>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</si>
  <si>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</si>
  <si>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</si>
  <si>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</si>
  <si>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</si>
  <si>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</si>
  <si>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</si>
  <si>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</si>
  <si>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</si>
  <si>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</si>
  <si>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</si>
  <si>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</si>
  <si>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</si>
  <si>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</si>
  <si>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</si>
  <si>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</si>
  <si>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</si>
  <si>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</si>
  <si>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</si>
  <si>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</si>
  <si>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</si>
  <si>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</si>
  <si>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</si>
  <si>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</si>
  <si>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</si>
  <si>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</si>
  <si>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</si>
  <si>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</si>
  <si>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</si>
  <si>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</si>
  <si>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</si>
  <si>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</si>
  <si>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</si>
  <si>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</si>
  <si>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</si>
  <si>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</si>
  <si>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</si>
  <si>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</si>
  <si>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</si>
  <si>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</si>
  <si>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</si>
  <si>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</si>
  <si>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</si>
  <si>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</si>
  <si>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</si>
  <si>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</si>
  <si>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</si>
  <si>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</si>
  <si>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</si>
  <si>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</si>
  <si>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</si>
  <si>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</si>
  <si>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</si>
  <si>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</si>
  <si>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</si>
  <si>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</si>
  <si>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</si>
  <si>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</si>
  <si>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</si>
  <si>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</si>
  <si>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</si>
  <si>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</si>
  <si>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</si>
  <si>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</si>
  <si>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</si>
  <si>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</si>
  <si>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</si>
  <si>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</si>
  <si>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</si>
  <si>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</si>
  <si>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</si>
  <si>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</si>
  <si>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</si>
  <si>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</si>
  <si>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</si>
  <si>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</si>
  <si>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</si>
  <si>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</si>
  <si>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</si>
  <si>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</si>
  <si>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</si>
  <si>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</si>
  <si>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</si>
  <si>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</si>
  <si>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</si>
  <si>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</si>
  <si>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</si>
  <si>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</si>
  <si>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</si>
  <si>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</si>
  <si>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</si>
  <si>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</si>
  <si>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</si>
  <si>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</si>
  <si>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</si>
  <si>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</si>
  <si>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</si>
  <si>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</si>
  <si>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</si>
  <si>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</si>
  <si>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</si>
  <si>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</si>
  <si>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</si>
  <si>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</si>
  <si>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</si>
  <si>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</si>
  <si>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</si>
  <si>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</si>
  <si>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</si>
  <si>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</si>
  <si>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</si>
  <si>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</si>
  <si>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</si>
  <si>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</si>
  <si>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</si>
  <si>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</si>
  <si>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</si>
  <si>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</si>
  <si>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</si>
  <si>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</si>
  <si>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</si>
  <si>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</si>
  <si>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</si>
  <si>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</si>
  <si>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</si>
  <si>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</si>
  <si>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</si>
  <si>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</si>
  <si>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</si>
  <si>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</si>
  <si>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</si>
  <si>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</si>
  <si>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</si>
  <si>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</si>
  <si>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</si>
  <si>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</si>
  <si>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</si>
  <si>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</si>
  <si>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</si>
  <si>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</si>
  <si>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</si>
  <si>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</si>
  <si>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</si>
  <si>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</si>
  <si>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</si>
  <si>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</si>
  <si>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</si>
  <si>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</si>
  <si>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</si>
  <si>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</si>
  <si>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</si>
  <si>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</si>
  <si>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</si>
  <si>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</si>
  <si>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</si>
  <si>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</si>
  <si>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</si>
  <si>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</si>
  <si>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</si>
  <si>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</si>
  <si>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</si>
  <si>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</si>
  <si>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</si>
  <si>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</si>
  <si>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</si>
  <si>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</si>
  <si>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</si>
  <si>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</si>
  <si>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</si>
  <si>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</si>
  <si>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</si>
  <si>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</si>
  <si>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</si>
  <si>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</si>
  <si>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</si>
  <si>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</si>
  <si>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</si>
  <si>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</si>
  <si>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</si>
  <si>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</si>
  <si>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</si>
  <si>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</si>
  <si>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</si>
  <si>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</si>
  <si>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</si>
  <si>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</si>
  <si>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</si>
  <si>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</si>
  <si>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</si>
  <si>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</si>
  <si>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</si>
  <si>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</si>
  <si>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</si>
  <si>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</si>
  <si>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</si>
  <si>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</si>
  <si>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</si>
  <si>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</si>
  <si>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</si>
  <si>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</si>
  <si>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</si>
  <si>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</si>
  <si>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</si>
  <si>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</si>
  <si>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</si>
  <si>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</si>
  <si>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</si>
  <si>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</si>
  <si>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</si>
  <si>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</si>
  <si>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</si>
  <si>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</si>
  <si>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</si>
  <si>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</si>
  <si>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</si>
  <si>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</si>
  <si>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</si>
  <si>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</si>
  <si>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</si>
  <si>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</si>
  <si>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</si>
  <si>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</si>
  <si>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</si>
  <si>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</si>
  <si>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</si>
  <si>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</si>
  <si>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</si>
  <si>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</si>
  <si>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</si>
  <si>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</si>
  <si>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</si>
  <si>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</si>
  <si>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</si>
  <si>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</si>
  <si>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</si>
  <si>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</si>
  <si>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</si>
  <si>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</si>
  <si>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</si>
  <si>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</si>
  <si>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</si>
  <si>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</si>
  <si>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</si>
  <si>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</si>
  <si>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</si>
  <si>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</si>
  <si>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</si>
  <si>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</si>
  <si>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</si>
  <si>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</si>
  <si>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</si>
  <si>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</si>
  <si>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</si>
  <si>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</si>
  <si>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</si>
  <si>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</si>
  <si>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</si>
  <si>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</si>
  <si>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</si>
  <si>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</si>
  <si>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</si>
  <si>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</si>
  <si>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</si>
  <si>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</si>
  <si>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</si>
  <si>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</si>
  <si>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</si>
  <si>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</si>
  <si>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</si>
  <si>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</si>
  <si>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</si>
  <si>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</si>
  <si>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</si>
  <si>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</si>
  <si>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</si>
  <si>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</si>
  <si>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</si>
  <si>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</si>
  <si>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</si>
  <si>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</si>
  <si>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</si>
  <si>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</si>
  <si>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</si>
  <si>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</si>
  <si>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</si>
  <si>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</si>
  <si>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</si>
  <si>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</si>
  <si>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</si>
  <si>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</si>
  <si>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</si>
  <si>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</si>
  <si>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</si>
  <si>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</si>
  <si>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</si>
  <si>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</si>
  <si>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</si>
  <si>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</si>
  <si>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</si>
  <si>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</si>
  <si>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</si>
  <si>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</si>
  <si>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</si>
  <si>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</si>
  <si>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</si>
  <si>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</si>
  <si>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</si>
  <si>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</si>
  <si>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</si>
  <si>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</si>
  <si>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</si>
  <si>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</si>
  <si>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</si>
  <si>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</si>
  <si>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</si>
  <si>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</si>
  <si>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</si>
  <si>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</si>
  <si>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</si>
  <si>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</si>
  <si>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</si>
  <si>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</si>
  <si>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</si>
  <si>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</si>
  <si>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</si>
  <si>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</si>
  <si>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</si>
  <si>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</si>
  <si>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</si>
  <si>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</si>
  <si>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</si>
  <si>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</si>
  <si>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</si>
  <si>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</si>
  <si>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</si>
  <si>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</si>
  <si>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</si>
  <si>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</si>
  <si>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</si>
  <si>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</si>
  <si>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</si>
  <si>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</si>
  <si>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</si>
  <si>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</si>
  <si>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</si>
  <si>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</si>
  <si>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</si>
  <si>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</si>
  <si>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</si>
  <si>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</si>
  <si>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</si>
  <si>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</si>
  <si>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</si>
  <si>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</si>
  <si>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</si>
  <si>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</si>
  <si>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</si>
  <si>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</si>
  <si>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</si>
  <si>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</si>
  <si>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</si>
  <si>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</si>
  <si>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</si>
  <si>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</si>
  <si>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</si>
  <si>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</si>
  <si>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</si>
  <si>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</si>
  <si>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</si>
  <si>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</si>
  <si>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</si>
  <si>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</si>
  <si>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</si>
  <si>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</si>
  <si>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</si>
  <si>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</si>
  <si>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</si>
  <si>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</si>
  <si>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</si>
  <si>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</si>
  <si>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</si>
  <si>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</si>
  <si>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</si>
  <si>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</si>
  <si>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</si>
  <si>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</si>
  <si>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</si>
  <si>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</si>
  <si>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</si>
  <si>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</si>
  <si>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</si>
  <si>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</si>
  <si>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</si>
  <si>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</si>
  <si>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</si>
  <si>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</si>
  <si>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</si>
  <si>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</si>
  <si>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</si>
  <si>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</si>
  <si>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</si>
  <si>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</si>
  <si>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</si>
  <si>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</si>
  <si>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</si>
  <si>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</si>
  <si>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</si>
  <si>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</si>
  <si>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</si>
  <si>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</si>
  <si>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</si>
  <si>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</si>
  <si>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</si>
  <si>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</si>
  <si>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</si>
  <si>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</si>
  <si>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</si>
  <si>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</si>
  <si>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</si>
  <si>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</si>
  <si>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</si>
  <si>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</si>
  <si>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</si>
  <si>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</si>
  <si>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</si>
  <si>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</si>
  <si>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</si>
  <si>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</si>
  <si>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</si>
  <si>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</si>
  <si>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</si>
  <si>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</si>
  <si>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</si>
  <si>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</si>
  <si>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</si>
  <si>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</si>
  <si>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</si>
  <si>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</si>
  <si>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</si>
  <si>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</si>
  <si>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</si>
  <si>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</si>
  <si>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</si>
  <si>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</si>
  <si>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</si>
  <si>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</si>
  <si>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</si>
  <si>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</si>
  <si>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</si>
  <si>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</si>
  <si>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</si>
  <si>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</si>
  <si>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</si>
  <si>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</si>
  <si>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</si>
  <si>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</si>
  <si>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</si>
  <si>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</si>
  <si>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</si>
  <si>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</si>
  <si>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</si>
  <si>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</si>
  <si>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</si>
  <si>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</si>
  <si>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</si>
  <si>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</si>
  <si>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</si>
  <si>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</si>
  <si>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</si>
  <si>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</si>
  <si>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</si>
  <si>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</si>
  <si>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</si>
  <si>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</si>
  <si>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</si>
  <si>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</si>
  <si>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</si>
  <si>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</si>
  <si>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</si>
  <si>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</si>
  <si>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</si>
  <si>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</si>
  <si>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</si>
  <si>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</si>
  <si>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</si>
  <si>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</si>
  <si>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</si>
  <si>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</si>
  <si>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</si>
  <si>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</si>
  <si>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</si>
  <si>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</si>
  <si>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</si>
  <si>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</si>
  <si>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</si>
  <si>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</si>
  <si>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</si>
  <si>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</si>
  <si>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</si>
  <si>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</si>
  <si>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</si>
  <si>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</si>
  <si>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</si>
  <si>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</si>
  <si>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</si>
  <si>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</si>
  <si>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</si>
  <si>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</si>
  <si>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</si>
  <si>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</si>
  <si>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</si>
  <si>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</si>
  <si>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</si>
  <si>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</si>
  <si>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</si>
  <si>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</si>
  <si>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</si>
  <si>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</si>
  <si>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</si>
  <si>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</si>
  <si>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</si>
  <si>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</si>
  <si>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</si>
  <si>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</si>
  <si>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</si>
  <si>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</si>
  <si>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</si>
  <si>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</si>
  <si>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</si>
  <si>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</si>
  <si>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</si>
  <si>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</si>
  <si>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</si>
  <si>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</si>
  <si>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</si>
  <si>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</si>
  <si>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</si>
  <si>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</si>
  <si>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</si>
  <si>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</si>
  <si>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</si>
  <si>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</si>
  <si>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</si>
  <si>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</si>
  <si>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</si>
  <si>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</si>
  <si>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</si>
  <si>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</si>
  <si>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</si>
  <si>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</si>
  <si>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</si>
  <si>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</si>
  <si>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</si>
  <si>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</si>
  <si>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</si>
  <si>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</si>
  <si>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</si>
  <si>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</si>
  <si>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</si>
  <si>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</si>
  <si>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</si>
  <si>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</si>
  <si>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</si>
  <si>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</si>
  <si>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</si>
  <si>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</si>
  <si>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</si>
  <si>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</si>
  <si>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</si>
  <si>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</si>
  <si>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</si>
  <si>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</si>
  <si>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</si>
  <si>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</si>
  <si>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</si>
  <si>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</si>
  <si>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</si>
  <si>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</si>
  <si>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</si>
  <si>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</si>
  <si>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</si>
  <si>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</si>
  <si>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</si>
  <si>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</si>
  <si>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</si>
  <si>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</si>
  <si>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</si>
  <si>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</si>
  <si>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</si>
  <si>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</si>
  <si>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</si>
  <si>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</si>
  <si>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</si>
  <si>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</si>
  <si>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</si>
  <si>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</si>
  <si>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</si>
  <si>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</si>
  <si>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</si>
  <si>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</si>
  <si>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</si>
  <si>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</si>
  <si>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</si>
  <si>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</si>
  <si>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</si>
  <si>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</si>
  <si>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</si>
  <si>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</si>
  <si>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</si>
  <si>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</si>
  <si>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</si>
  <si>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</si>
  <si>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</si>
  <si>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</si>
  <si>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</si>
  <si>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</si>
  <si>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</si>
  <si>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</si>
  <si>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</si>
  <si>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</si>
  <si>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</si>
  <si>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</si>
  <si>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</si>
  <si>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</si>
  <si>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</si>
  <si>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</si>
  <si>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</si>
  <si>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</si>
  <si>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</si>
  <si>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</si>
  <si>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</si>
  <si>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</si>
  <si>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</si>
  <si>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</si>
  <si>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</si>
  <si>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</si>
  <si>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</si>
  <si>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</si>
  <si>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</si>
  <si>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</si>
  <si>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</si>
  <si>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</si>
  <si>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</si>
  <si>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</si>
  <si>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</si>
  <si>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</si>
  <si>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</si>
  <si>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</si>
  <si>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</si>
  <si>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</si>
  <si>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</si>
  <si>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</si>
  <si>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</si>
  <si>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</si>
  <si>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</si>
  <si>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</si>
  <si>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</si>
  <si>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</si>
  <si>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</si>
  <si>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</si>
  <si>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</si>
  <si>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</si>
  <si>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</si>
  <si>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</si>
  <si>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</si>
  <si>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</si>
  <si>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</si>
  <si>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</si>
  <si>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</si>
  <si>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</si>
  <si>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</si>
  <si>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</si>
  <si>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</si>
  <si>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</si>
  <si>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</si>
  <si>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</si>
  <si>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</si>
  <si>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</si>
  <si>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</si>
  <si>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</si>
  <si>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</si>
  <si>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</si>
  <si>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</si>
  <si>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</si>
  <si>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</si>
  <si>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</si>
  <si>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</si>
  <si>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</si>
  <si>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</si>
  <si>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</si>
  <si>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</si>
  <si>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</si>
  <si>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</si>
  <si>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</si>
  <si>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</si>
  <si>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</si>
  <si>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</si>
  <si>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</si>
  <si>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</si>
  <si>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</si>
  <si>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</si>
  <si>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</si>
  <si>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</si>
  <si>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</si>
  <si>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</si>
  <si>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</si>
  <si>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</si>
  <si>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</si>
  <si>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</si>
  <si>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</si>
  <si>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</si>
  <si>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</si>
  <si>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</si>
  <si>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</si>
  <si>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</si>
  <si>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</si>
  <si>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</si>
  <si>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</si>
  <si>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</si>
  <si>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</si>
  <si>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</si>
  <si>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</si>
  <si>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</si>
  <si>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</si>
  <si>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</si>
  <si>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</si>
  <si>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</si>
  <si>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</si>
  <si>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</si>
  <si>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</si>
  <si>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</si>
  <si>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</si>
  <si>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</si>
  <si>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</si>
  <si>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</si>
  <si>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</si>
  <si>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</si>
  <si>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</si>
  <si>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</si>
  <si>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</si>
  <si>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</si>
  <si>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</si>
  <si>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</si>
  <si>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</si>
  <si>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</si>
  <si>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</si>
  <si>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</si>
  <si>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</si>
  <si>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</si>
  <si>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</si>
  <si>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</si>
  <si>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</si>
  <si>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</si>
  <si>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</si>
  <si>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</si>
  <si>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</si>
  <si>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</si>
  <si>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</si>
  <si>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</si>
  <si>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</si>
  <si>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</si>
  <si>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</si>
  <si>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</si>
  <si>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</si>
  <si>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</si>
  <si>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</si>
  <si>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</si>
  <si>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</si>
  <si>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</si>
  <si>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</si>
  <si>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</si>
  <si>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</si>
  <si>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</si>
  <si>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</si>
  <si>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</si>
  <si>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</si>
  <si>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</si>
  <si>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</si>
  <si>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</si>
  <si>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</si>
  <si>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</si>
  <si>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</si>
  <si>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</si>
  <si>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</si>
  <si>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</si>
  <si>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</si>
  <si>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</si>
  <si>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</si>
  <si>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</si>
  <si>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</si>
  <si>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</si>
  <si>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</si>
  <si>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</si>
  <si>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</si>
  <si>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</si>
  <si>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</si>
  <si>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</si>
  <si>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</si>
  <si>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</si>
  <si>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</si>
  <si>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</si>
  <si>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</si>
  <si>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</si>
  <si>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</si>
  <si>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</si>
  <si>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</si>
  <si>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</si>
  <si>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</si>
  <si>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</si>
  <si>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</si>
  <si>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</si>
  <si>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</si>
  <si>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</si>
  <si>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</si>
  <si>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</si>
  <si>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</si>
  <si>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</si>
  <si>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Candia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</si>
</sst>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64FE-82C0-46CE-8A22-A8288A85FA0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531" sqref="H531:H53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79</v>
      </c>
      <c r="C2" s="21">
        <v>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318886.71-10425.07</f>
        <v>308461.64</v>
      </c>
      <c r="G9" s="18">
        <v>10425.07</v>
      </c>
      <c r="H9" s="18"/>
      <c r="I9" s="18"/>
      <c r="J9" s="67">
        <f>SUM(I431)</f>
        <v>825866.66999999993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27738.13+4900</f>
        <v>32638.13</v>
      </c>
      <c r="G12" s="18"/>
      <c r="H12" s="18">
        <v>232159.64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4377.4399999999996</v>
      </c>
      <c r="G13" s="18">
        <v>2741.82</v>
      </c>
      <c r="H13" s="18">
        <v>42099.040000000001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345477.21</v>
      </c>
      <c r="G19" s="41">
        <f>SUM(G9:G18)</f>
        <v>13166.89</v>
      </c>
      <c r="H19" s="41">
        <f>SUM(H9:H18)</f>
        <v>274258.68</v>
      </c>
      <c r="I19" s="41">
        <f>SUM(I9:I18)</f>
        <v>0</v>
      </c>
      <c r="J19" s="41">
        <f>SUM(J9:J18)</f>
        <v>825866.66999999993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259897.77</v>
      </c>
      <c r="I23" s="18"/>
      <c r="J23" s="67">
        <f>SUM(I440)</f>
        <v>4900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35750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77322.740000000005</v>
      </c>
      <c r="G25" s="18"/>
      <c r="H25" s="18">
        <v>48.47</v>
      </c>
      <c r="I25" s="18"/>
      <c r="J25" s="67">
        <f>SUM(I442)</f>
        <v>3969.42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1085.52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2284.27</v>
      </c>
      <c r="H31" s="18">
        <v>14312.44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114158.26000000001</v>
      </c>
      <c r="G33" s="41">
        <f>SUM(G23:G32)</f>
        <v>2284.27</v>
      </c>
      <c r="H33" s="41">
        <f>SUM(H23:H32)</f>
        <v>274258.68</v>
      </c>
      <c r="I33" s="41">
        <f>SUM(I23:I32)</f>
        <v>0</v>
      </c>
      <c r="J33" s="41">
        <f>SUM(J23:J32)</f>
        <v>8869.42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77335.03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95500</v>
      </c>
      <c r="G41" s="18">
        <v>10882.62</v>
      </c>
      <c r="H41" s="18"/>
      <c r="I41" s="18"/>
      <c r="J41" s="13">
        <f>SUM(I449)</f>
        <v>816997.25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58483.92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231318.95</v>
      </c>
      <c r="G43" s="41">
        <f>SUM(G35:G42)</f>
        <v>10882.62</v>
      </c>
      <c r="H43" s="41">
        <f>SUM(H35:H42)</f>
        <v>0</v>
      </c>
      <c r="I43" s="41">
        <f>SUM(I35:I42)</f>
        <v>0</v>
      </c>
      <c r="J43" s="41">
        <f>SUM(J35:J42)</f>
        <v>816997.25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345477.21</v>
      </c>
      <c r="G44" s="41">
        <f>G43+G33</f>
        <v>13166.890000000001</v>
      </c>
      <c r="H44" s="41">
        <f>H43+H33</f>
        <v>274258.68</v>
      </c>
      <c r="I44" s="41">
        <f>I43+I33</f>
        <v>0</v>
      </c>
      <c r="J44" s="41">
        <f>J43+J33</f>
        <v>825866.67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4765828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4765828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11402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11402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2424.0300000000002</v>
      </c>
      <c r="G88" s="18"/>
      <c r="H88" s="18"/>
      <c r="I88" s="18"/>
      <c r="J88" s="18">
        <v>2183.5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111217.7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1500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1086.73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451.19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5461.95</v>
      </c>
      <c r="G103" s="41">
        <f>SUM(G88:G102)</f>
        <v>111217.7</v>
      </c>
      <c r="H103" s="41">
        <f>SUM(H88:H102)</f>
        <v>0</v>
      </c>
      <c r="I103" s="41">
        <f>SUM(I88:I102)</f>
        <v>0</v>
      </c>
      <c r="J103" s="41">
        <f>SUM(J88:J102)</f>
        <v>2183.5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4782691.95</v>
      </c>
      <c r="G104" s="41">
        <f>G52+G103</f>
        <v>111217.7</v>
      </c>
      <c r="H104" s="41">
        <f>H52+H71+H86+H103</f>
        <v>0</v>
      </c>
      <c r="I104" s="41">
        <f>I52+I103</f>
        <v>0</v>
      </c>
      <c r="J104" s="41">
        <f>J52+J103</f>
        <v>2183.5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989252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993153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379546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2361951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139670.26999999999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1691.25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5400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145070.26999999999</v>
      </c>
      <c r="G128" s="41">
        <f>SUM(G115:G127)</f>
        <v>1691.25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2507021.27</v>
      </c>
      <c r="G132" s="41">
        <f>G113+SUM(G128:G129)</f>
        <v>1691.25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4842.09+550.12+38163.66+18720</f>
        <v>62275.87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22398.21+2402+3186.09+16382.96+2810.91</f>
        <v>47180.17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29884.92+6278.21</f>
        <v>36163.129999999997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4371.39+78969.48+20970</f>
        <v>104310.87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28821.119999999999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28821.119999999999</v>
      </c>
      <c r="G154" s="41">
        <f>SUM(G142:G153)</f>
        <v>36163.129999999997</v>
      </c>
      <c r="H154" s="41">
        <f>SUM(H142:H153)</f>
        <v>213766.91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28821.119999999999</v>
      </c>
      <c r="G161" s="41">
        <f>G139+G154+SUM(G155:G160)</f>
        <v>36163.129999999997</v>
      </c>
      <c r="H161" s="41">
        <f>H139+H154+SUM(H155:H160)</f>
        <v>213766.91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12500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12500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12500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7318534.3400000008</v>
      </c>
      <c r="G185" s="47">
        <f>G104+G132+G161+G184</f>
        <v>149072.07999999999</v>
      </c>
      <c r="H185" s="47">
        <f>H104+H132+H161+H184</f>
        <v>213766.91</v>
      </c>
      <c r="I185" s="47">
        <f>I104+I132+I161+I184</f>
        <v>0</v>
      </c>
      <c r="J185" s="47">
        <f>J104+J132+J184</f>
        <v>14683.5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1496750.64</v>
      </c>
      <c r="G189" s="18">
        <v>601712.13</v>
      </c>
      <c r="H189" s="18">
        <v>9310.64</v>
      </c>
      <c r="I189" s="18">
        <v>90408.36</v>
      </c>
      <c r="J189" s="18">
        <v>1443.48</v>
      </c>
      <c r="K189" s="18"/>
      <c r="L189" s="19">
        <f>SUM(F189:K189)</f>
        <v>2199625.25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421671.9+7347.5+4843.13+54653</f>
        <v>488515.53</v>
      </c>
      <c r="G190" s="18">
        <f>122162.48+803.78+370.55+20951.2</f>
        <v>144288.01</v>
      </c>
      <c r="H190" s="18">
        <f>15679.7+507.2+797.02+345+10929.35+929.35+3975+665.25</f>
        <v>33827.870000000003</v>
      </c>
      <c r="I190" s="18">
        <f>1819.34+66.34+1292.19</f>
        <v>3177.87</v>
      </c>
      <c r="J190" s="18">
        <v>3271.64</v>
      </c>
      <c r="K190" s="18">
        <v>705</v>
      </c>
      <c r="L190" s="19">
        <f>SUM(F190:K190)</f>
        <v>673785.92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12300+13500</f>
        <v>25800</v>
      </c>
      <c r="G192" s="18">
        <f>1720.31+1551.05</f>
        <v>3271.3599999999997</v>
      </c>
      <c r="H192" s="18">
        <f>3043+2155</f>
        <v>5198</v>
      </c>
      <c r="I192" s="18">
        <f>750+3372.75</f>
        <v>4122.75</v>
      </c>
      <c r="J192" s="18">
        <v>2589.9</v>
      </c>
      <c r="K192" s="18">
        <f>367+415</f>
        <v>782</v>
      </c>
      <c r="L192" s="19">
        <f>SUM(F192:K192)</f>
        <v>41764.01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58103+55725+52000+18406.93</f>
        <v>184234.93</v>
      </c>
      <c r="G194" s="18">
        <f>16441.44+23129.25+23110.65+8125.89</f>
        <v>70807.23000000001</v>
      </c>
      <c r="H194" s="18">
        <f>4757+2275+194+1475+5817.85+55185+338.8+57908+455</f>
        <v>128405.65000000001</v>
      </c>
      <c r="I194" s="18">
        <f>1204.94+1224.72+419.8+961.23</f>
        <v>3810.69</v>
      </c>
      <c r="J194" s="18">
        <f>170</f>
        <v>170</v>
      </c>
      <c r="K194" s="18">
        <v>1418.4</v>
      </c>
      <c r="L194" s="19">
        <f t="shared" ref="L194:L200" si="0">SUM(F194:K194)</f>
        <v>388846.9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9230+41301.48</f>
        <v>50531.48</v>
      </c>
      <c r="G195" s="18">
        <f>2878.78+13744.26</f>
        <v>16623.04</v>
      </c>
      <c r="H195" s="18">
        <f>730+3811</f>
        <v>4541</v>
      </c>
      <c r="I195" s="18">
        <f>11172.02</f>
        <v>11172.02</v>
      </c>
      <c r="J195" s="18">
        <f>2407.87</f>
        <v>2407.87</v>
      </c>
      <c r="K195" s="18"/>
      <c r="L195" s="19">
        <f t="shared" si="0"/>
        <v>85275.41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7025</v>
      </c>
      <c r="G196" s="18">
        <v>548.84</v>
      </c>
      <c r="H196" s="18">
        <f>24680.64+164684</f>
        <v>189364.64</v>
      </c>
      <c r="I196" s="18">
        <v>4554.32</v>
      </c>
      <c r="J196" s="18"/>
      <c r="K196" s="18">
        <v>5169</v>
      </c>
      <c r="L196" s="19">
        <f t="shared" si="0"/>
        <v>206661.80000000002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189507.96</v>
      </c>
      <c r="G197" s="18">
        <v>88817.88</v>
      </c>
      <c r="H197" s="18">
        <f>2106.81+22936.68</f>
        <v>25043.49</v>
      </c>
      <c r="I197" s="18">
        <v>1019.36</v>
      </c>
      <c r="J197" s="18">
        <v>719.98</v>
      </c>
      <c r="K197" s="18">
        <v>1440</v>
      </c>
      <c r="L197" s="19">
        <f t="shared" si="0"/>
        <v>306548.66999999993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98499.48</v>
      </c>
      <c r="G199" s="18">
        <v>56125.86</v>
      </c>
      <c r="H199" s="18">
        <v>82100.22</v>
      </c>
      <c r="I199" s="18">
        <v>92160.41</v>
      </c>
      <c r="J199" s="18">
        <v>519.54999999999995</v>
      </c>
      <c r="K199" s="18"/>
      <c r="L199" s="19">
        <f t="shared" si="0"/>
        <v>329405.51999999996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151796.15+116791.83+7555.38+7375.55</f>
        <v>283518.90999999997</v>
      </c>
      <c r="I200" s="18"/>
      <c r="J200" s="18"/>
      <c r="K200" s="18"/>
      <c r="L200" s="19">
        <f t="shared" si="0"/>
        <v>283518.90999999997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47917.8</v>
      </c>
      <c r="G201" s="18">
        <v>8351.84</v>
      </c>
      <c r="H201" s="18">
        <f>1210.25+2304.5+145</f>
        <v>3659.75</v>
      </c>
      <c r="I201" s="18">
        <v>11326.93</v>
      </c>
      <c r="J201" s="18">
        <v>6385.24</v>
      </c>
      <c r="K201" s="18"/>
      <c r="L201" s="19">
        <f>SUM(F201:K201)</f>
        <v>77641.560000000012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2588782.8199999998</v>
      </c>
      <c r="G203" s="41">
        <f t="shared" si="1"/>
        <v>990546.19</v>
      </c>
      <c r="H203" s="41">
        <f t="shared" si="1"/>
        <v>764970.16999999993</v>
      </c>
      <c r="I203" s="41">
        <f t="shared" si="1"/>
        <v>221752.71000000002</v>
      </c>
      <c r="J203" s="41">
        <f t="shared" si="1"/>
        <v>17507.659999999996</v>
      </c>
      <c r="K203" s="41">
        <f t="shared" si="1"/>
        <v>9514.4</v>
      </c>
      <c r="L203" s="41">
        <f t="shared" si="1"/>
        <v>4593073.9499999993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f>124199.11+56446.2+2600</f>
        <v>183245.31</v>
      </c>
      <c r="I208" s="18"/>
      <c r="J208" s="18"/>
      <c r="K208" s="18"/>
      <c r="L208" s="19">
        <f>SUM(F208:K208)</f>
        <v>183245.31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183245.31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183245.31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1604647.34</v>
      </c>
      <c r="I225" s="18"/>
      <c r="J225" s="18"/>
      <c r="K225" s="18"/>
      <c r="L225" s="19">
        <f>SUM(F225:K225)</f>
        <v>1604647.34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542118.76+159793.15+15228.92</f>
        <v>717140.83000000007</v>
      </c>
      <c r="I226" s="18"/>
      <c r="J226" s="18"/>
      <c r="K226" s="18"/>
      <c r="L226" s="19">
        <f>SUM(F226:K226)</f>
        <v>717140.83000000007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6150</v>
      </c>
      <c r="I228" s="18"/>
      <c r="J228" s="18"/>
      <c r="K228" s="18"/>
      <c r="L228" s="19">
        <f>SUM(F228:K228)</f>
        <v>6150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60145.64+81246.49</f>
        <v>141392.13</v>
      </c>
      <c r="I236" s="18"/>
      <c r="J236" s="18"/>
      <c r="K236" s="18"/>
      <c r="L236" s="19">
        <f t="shared" si="4"/>
        <v>141392.13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2469330.2999999998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2469330.2999999998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2588782.8199999998</v>
      </c>
      <c r="G249" s="41">
        <f t="shared" si="8"/>
        <v>990546.19</v>
      </c>
      <c r="H249" s="41">
        <f t="shared" si="8"/>
        <v>3417545.78</v>
      </c>
      <c r="I249" s="41">
        <f t="shared" si="8"/>
        <v>221752.71000000002</v>
      </c>
      <c r="J249" s="41">
        <f t="shared" si="8"/>
        <v>17507.659999999996</v>
      </c>
      <c r="K249" s="41">
        <f t="shared" si="8"/>
        <v>9514.4</v>
      </c>
      <c r="L249" s="41">
        <f t="shared" si="8"/>
        <v>7245649.5599999987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12500</v>
      </c>
      <c r="L258" s="19">
        <f t="shared" si="9"/>
        <v>12500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12500</v>
      </c>
      <c r="L262" s="41">
        <f t="shared" si="9"/>
        <v>12500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2588782.8199999998</v>
      </c>
      <c r="G263" s="42">
        <f t="shared" si="11"/>
        <v>990546.19</v>
      </c>
      <c r="H263" s="42">
        <f t="shared" si="11"/>
        <v>3417545.78</v>
      </c>
      <c r="I263" s="42">
        <f t="shared" si="11"/>
        <v>221752.71000000002</v>
      </c>
      <c r="J263" s="42">
        <f t="shared" si="11"/>
        <v>17507.659999999996</v>
      </c>
      <c r="K263" s="42">
        <f t="shared" si="11"/>
        <v>22014.400000000001</v>
      </c>
      <c r="L263" s="42">
        <f t="shared" si="11"/>
        <v>7258149.5599999987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>
        <f>1500</f>
        <v>1500</v>
      </c>
      <c r="I268" s="18"/>
      <c r="J268" s="18">
        <f>1686.09</f>
        <v>1686.09</v>
      </c>
      <c r="K268" s="18"/>
      <c r="L268" s="19">
        <f>SUM(F268:K268)</f>
        <v>3186.09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18720+37501.62+26726.46</f>
        <v>82948.08</v>
      </c>
      <c r="G269" s="18">
        <f>31375.57+1790.61</f>
        <v>33166.18</v>
      </c>
      <c r="H269" s="18"/>
      <c r="I269" s="18"/>
      <c r="J269" s="18">
        <f>5592+15378</f>
        <v>20970</v>
      </c>
      <c r="K269" s="18"/>
      <c r="L269" s="19">
        <f>SUM(F269:K269)</f>
        <v>137084.26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f>1666+260+239.25</f>
        <v>2165.25</v>
      </c>
      <c r="I271" s="18">
        <f>441.96+203.7</f>
        <v>645.66</v>
      </c>
      <c r="J271" s="18"/>
      <c r="K271" s="18"/>
      <c r="L271" s="19">
        <f>SUM(F271:K271)</f>
        <v>2810.91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8067.5+1627.5</f>
        <v>9695</v>
      </c>
      <c r="I273" s="18"/>
      <c r="J273" s="18"/>
      <c r="K273" s="18"/>
      <c r="L273" s="19">
        <f t="shared" ref="L273:L279" si="12">SUM(F273:K273)</f>
        <v>9695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6160</f>
        <v>6160</v>
      </c>
      <c r="G274" s="18">
        <f>452.36+401.21</f>
        <v>853.56999999999994</v>
      </c>
      <c r="H274" s="18">
        <f>9335.5+3640+8645+734.99</f>
        <v>22355.49</v>
      </c>
      <c r="I274" s="18">
        <v>5823.75</v>
      </c>
      <c r="J274" s="18"/>
      <c r="K274" s="18"/>
      <c r="L274" s="19">
        <f t="shared" si="12"/>
        <v>35192.81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>
        <v>2402</v>
      </c>
      <c r="K276" s="18"/>
      <c r="L276" s="19">
        <f t="shared" si="12"/>
        <v>2402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662.04+1673.84+2743.89+550.12+1202.09+180.9</f>
        <v>7012.88</v>
      </c>
      <c r="L277" s="19">
        <f t="shared" si="12"/>
        <v>7012.88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89108.08</v>
      </c>
      <c r="G282" s="42">
        <f t="shared" si="13"/>
        <v>34019.75</v>
      </c>
      <c r="H282" s="42">
        <f t="shared" si="13"/>
        <v>35715.740000000005</v>
      </c>
      <c r="I282" s="42">
        <f t="shared" si="13"/>
        <v>6469.41</v>
      </c>
      <c r="J282" s="42">
        <f t="shared" si="13"/>
        <v>25058.09</v>
      </c>
      <c r="K282" s="42">
        <f t="shared" si="13"/>
        <v>7012.88</v>
      </c>
      <c r="L282" s="41">
        <f t="shared" si="13"/>
        <v>197383.95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>
        <v>16382.96</v>
      </c>
      <c r="K328" s="18"/>
      <c r="L328" s="19">
        <f t="shared" si="18"/>
        <v>16382.96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16382.96</v>
      </c>
      <c r="K329" s="41">
        <f t="shared" si="19"/>
        <v>0</v>
      </c>
      <c r="L329" s="41">
        <f t="shared" si="18"/>
        <v>16382.96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89108.08</v>
      </c>
      <c r="G330" s="41">
        <f t="shared" si="20"/>
        <v>34019.75</v>
      </c>
      <c r="H330" s="41">
        <f t="shared" si="20"/>
        <v>35715.740000000005</v>
      </c>
      <c r="I330" s="41">
        <f t="shared" si="20"/>
        <v>6469.41</v>
      </c>
      <c r="J330" s="41">
        <f t="shared" si="20"/>
        <v>41441.050000000003</v>
      </c>
      <c r="K330" s="41">
        <f t="shared" si="20"/>
        <v>7012.88</v>
      </c>
      <c r="L330" s="41">
        <f t="shared" si="20"/>
        <v>213766.91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89108.08</v>
      </c>
      <c r="G344" s="41">
        <f>G330</f>
        <v>34019.75</v>
      </c>
      <c r="H344" s="41">
        <f>H330</f>
        <v>35715.740000000005</v>
      </c>
      <c r="I344" s="41">
        <f>I330</f>
        <v>6469.41</v>
      </c>
      <c r="J344" s="41">
        <f>J330</f>
        <v>41441.050000000003</v>
      </c>
      <c r="K344" s="47">
        <f>K330+K343</f>
        <v>7012.88</v>
      </c>
      <c r="L344" s="41">
        <f>L330+L343</f>
        <v>213766.91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53708.94</v>
      </c>
      <c r="G350" s="18">
        <v>24056.38</v>
      </c>
      <c r="H350" s="18">
        <v>2372.06</v>
      </c>
      <c r="I350" s="18">
        <v>60639.69</v>
      </c>
      <c r="J350" s="18">
        <v>903.83</v>
      </c>
      <c r="K350" s="18"/>
      <c r="L350" s="13">
        <f>SUM(F350:K350)</f>
        <v>141680.9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53708.94</v>
      </c>
      <c r="G354" s="47">
        <f t="shared" si="22"/>
        <v>24056.38</v>
      </c>
      <c r="H354" s="47">
        <f t="shared" si="22"/>
        <v>2372.06</v>
      </c>
      <c r="I354" s="47">
        <f t="shared" si="22"/>
        <v>60639.69</v>
      </c>
      <c r="J354" s="47">
        <f t="shared" si="22"/>
        <v>903.83</v>
      </c>
      <c r="K354" s="47">
        <f t="shared" si="22"/>
        <v>0</v>
      </c>
      <c r="L354" s="47">
        <f t="shared" si="22"/>
        <v>141680.9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50339.34+6278.21</f>
        <v>56617.549999999996</v>
      </c>
      <c r="G359" s="18"/>
      <c r="H359" s="18"/>
      <c r="I359" s="56">
        <f>SUM(F359:H359)</f>
        <v>56617.549999999996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4022.14</v>
      </c>
      <c r="G360" s="63"/>
      <c r="H360" s="63"/>
      <c r="I360" s="56">
        <f>SUM(F360:H360)</f>
        <v>4022.14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60639.689999999995</v>
      </c>
      <c r="G361" s="47">
        <f>SUM(G359:G360)</f>
        <v>0</v>
      </c>
      <c r="H361" s="47">
        <f>SUM(H359:H360)</f>
        <v>0</v>
      </c>
      <c r="I361" s="47">
        <f>SUM(I359:I360)</f>
        <v>60639.689999999995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1498.64</v>
      </c>
      <c r="I384" s="18"/>
      <c r="J384" s="24" t="s">
        <v>312</v>
      </c>
      <c r="K384" s="24" t="s">
        <v>312</v>
      </c>
      <c r="L384" s="56">
        <f t="shared" si="25"/>
        <v>1498.64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1498.64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1498.64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f>103.77+218.48</f>
        <v>322.25</v>
      </c>
      <c r="I388" s="18"/>
      <c r="J388" s="24" t="s">
        <v>312</v>
      </c>
      <c r="K388" s="24" t="s">
        <v>312</v>
      </c>
      <c r="L388" s="56">
        <f t="shared" si="26"/>
        <v>322.25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296.74</v>
      </c>
      <c r="I389" s="18"/>
      <c r="J389" s="24" t="s">
        <v>312</v>
      </c>
      <c r="K389" s="24" t="s">
        <v>312</v>
      </c>
      <c r="L389" s="56">
        <f t="shared" si="26"/>
        <v>296.74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12500</v>
      </c>
      <c r="H391" s="18">
        <v>65.87</v>
      </c>
      <c r="I391" s="18"/>
      <c r="J391" s="24" t="s">
        <v>312</v>
      </c>
      <c r="K391" s="24" t="s">
        <v>312</v>
      </c>
      <c r="L391" s="56">
        <f t="shared" si="26"/>
        <v>12565.87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</v>
      </c>
      <c r="H393" s="47">
        <f>SUM(H387:H392)</f>
        <v>684.86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13184.86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12500</v>
      </c>
      <c r="H400" s="47">
        <f>H385+H393+H399</f>
        <v>2183.5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14683.5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45265.919999999998</v>
      </c>
      <c r="I407" s="18"/>
      <c r="J407" s="18"/>
      <c r="K407" s="18"/>
      <c r="L407" s="56">
        <f t="shared" si="27"/>
        <v>45265.919999999998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45265.919999999998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45265.919999999998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45265.919999999998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45265.919999999998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571330.73</v>
      </c>
      <c r="G431" s="18">
        <f>39550.13+64211.6+113160.38+37613.83</f>
        <v>254535.94</v>
      </c>
      <c r="H431" s="18"/>
      <c r="I431" s="56">
        <f t="shared" ref="I431:I437" si="33">SUM(F431:H431)</f>
        <v>825866.66999999993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571330.73</v>
      </c>
      <c r="G438" s="13">
        <f>SUM(G431:G437)</f>
        <v>254535.94</v>
      </c>
      <c r="H438" s="13">
        <f>SUM(H431:H437)</f>
        <v>0</v>
      </c>
      <c r="I438" s="13">
        <f>SUM(I431:I437)</f>
        <v>825866.66999999993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4900</v>
      </c>
      <c r="H440" s="18"/>
      <c r="I440" s="56">
        <f>SUM(F440:H440)</f>
        <v>4900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3969.42</v>
      </c>
      <c r="H442" s="18"/>
      <c r="I442" s="56">
        <f>SUM(F442:H442)</f>
        <v>3969.42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8869.42</v>
      </c>
      <c r="H444" s="72">
        <f>SUM(H440:H443)</f>
        <v>0</v>
      </c>
      <c r="I444" s="72">
        <f>SUM(I440:I443)</f>
        <v>8869.42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571330.73</v>
      </c>
      <c r="G449" s="18">
        <v>245666.52</v>
      </c>
      <c r="H449" s="18"/>
      <c r="I449" s="56">
        <f>SUM(F449:H449)</f>
        <v>816997.25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571330.73</v>
      </c>
      <c r="G450" s="83">
        <f>SUM(G446:G449)</f>
        <v>245666.52</v>
      </c>
      <c r="H450" s="83">
        <f>SUM(H446:H449)</f>
        <v>0</v>
      </c>
      <c r="I450" s="83">
        <f>SUM(I446:I449)</f>
        <v>816997.25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571330.73</v>
      </c>
      <c r="G451" s="42">
        <f>G444+G450</f>
        <v>254535.94</v>
      </c>
      <c r="H451" s="42">
        <f>H444+H450</f>
        <v>0</v>
      </c>
      <c r="I451" s="42">
        <f>I444+I450</f>
        <v>825866.67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170934.17</v>
      </c>
      <c r="G455" s="18">
        <v>3491.44</v>
      </c>
      <c r="H455" s="18">
        <v>0</v>
      </c>
      <c r="I455" s="18">
        <v>0</v>
      </c>
      <c r="J455" s="18">
        <v>847579.67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7318534.3399999999</v>
      </c>
      <c r="G458" s="18">
        <v>149072.07999999999</v>
      </c>
      <c r="H458" s="18">
        <v>213766.91</v>
      </c>
      <c r="I458" s="18"/>
      <c r="J458" s="18">
        <v>14683.5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7318534.3399999999</v>
      </c>
      <c r="G460" s="53">
        <f>SUM(G458:G459)</f>
        <v>149072.07999999999</v>
      </c>
      <c r="H460" s="53">
        <f>SUM(H458:H459)</f>
        <v>213766.91</v>
      </c>
      <c r="I460" s="53">
        <f>SUM(I458:I459)</f>
        <v>0</v>
      </c>
      <c r="J460" s="53">
        <f>SUM(J458:J459)</f>
        <v>14683.5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7258149.5599999996</v>
      </c>
      <c r="G462" s="18">
        <v>141680.9</v>
      </c>
      <c r="H462" s="18">
        <v>213766.91</v>
      </c>
      <c r="I462" s="18"/>
      <c r="J462" s="18">
        <f>36396.5+3969.42+4900</f>
        <v>45265.919999999998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7258149.5599999996</v>
      </c>
      <c r="G464" s="53">
        <f>SUM(G462:G463)</f>
        <v>141680.9</v>
      </c>
      <c r="H464" s="53">
        <f>SUM(H462:H463)</f>
        <v>213766.91</v>
      </c>
      <c r="I464" s="53">
        <f>SUM(I462:I463)</f>
        <v>0</v>
      </c>
      <c r="J464" s="53">
        <f>SUM(J462:J463)</f>
        <v>45265.919999999998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231318.95000000019</v>
      </c>
      <c r="G466" s="53">
        <f>(G455+G460)- G464</f>
        <v>10882.619999999995</v>
      </c>
      <c r="H466" s="53">
        <f>(H455+H460)- H464</f>
        <v>0</v>
      </c>
      <c r="I466" s="53">
        <f>(I455+I460)- I464</f>
        <v>0</v>
      </c>
      <c r="J466" s="53">
        <f>(J455+J460)- J464</f>
        <v>816997.25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200859+114335.7+2550+4797.5+4843.13+54653+26726.46</f>
        <v>408764.79000000004</v>
      </c>
      <c r="G511" s="18">
        <f>81675.49+803.78+370.55+20951.2+31375.57+1790.61</f>
        <v>136967.19999999998</v>
      </c>
      <c r="H511" s="18">
        <f>13101.8+10929.35+665.25</f>
        <v>24696.400000000001</v>
      </c>
      <c r="I511" s="18">
        <f>1819.34+66.34+1292.19</f>
        <v>3177.87</v>
      </c>
      <c r="J511" s="18">
        <f>2377.64+5592+15378</f>
        <v>23347.64</v>
      </c>
      <c r="K511" s="18"/>
      <c r="L511" s="88">
        <f>SUM(F511:K511)</f>
        <v>596953.9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f>2600+56446.2+124199.11</f>
        <v>183245.31</v>
      </c>
      <c r="I512" s="18"/>
      <c r="J512" s="18"/>
      <c r="K512" s="18"/>
      <c r="L512" s="88">
        <f>SUM(F512:K512)</f>
        <v>183245.31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542118.76+159793.15+15228.92</f>
        <v>717140.83000000007</v>
      </c>
      <c r="I513" s="18"/>
      <c r="J513" s="18"/>
      <c r="K513" s="18"/>
      <c r="L513" s="88">
        <f>SUM(F513:K513)</f>
        <v>717140.83000000007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408764.79000000004</v>
      </c>
      <c r="G514" s="108">
        <f t="shared" ref="G514:L514" si="35">SUM(G511:G513)</f>
        <v>136967.19999999998</v>
      </c>
      <c r="H514" s="108">
        <f t="shared" si="35"/>
        <v>925082.54</v>
      </c>
      <c r="I514" s="108">
        <f t="shared" si="35"/>
        <v>3177.87</v>
      </c>
      <c r="J514" s="108">
        <f t="shared" si="35"/>
        <v>23347.64</v>
      </c>
      <c r="K514" s="108">
        <f t="shared" si="35"/>
        <v>0</v>
      </c>
      <c r="L514" s="89">
        <f t="shared" si="35"/>
        <v>1497340.04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52000+18406.93</f>
        <v>70406.929999999993</v>
      </c>
      <c r="G516" s="18">
        <f>23110.65+8125.89</f>
        <v>31236.54</v>
      </c>
      <c r="H516" s="18">
        <f>2577.9+3975+5817.85+55185+338.8+8067.5+9335.5+1627.5</f>
        <v>86925.05</v>
      </c>
      <c r="I516" s="18">
        <f>1224.72+419.8</f>
        <v>1644.52</v>
      </c>
      <c r="J516" s="18"/>
      <c r="K516" s="18"/>
      <c r="L516" s="88">
        <f>SUM(F516:K516)</f>
        <v>190213.04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70406.929999999993</v>
      </c>
      <c r="G519" s="89">
        <f t="shared" ref="G519:L519" si="36">SUM(G516:G518)</f>
        <v>31236.54</v>
      </c>
      <c r="H519" s="89">
        <f t="shared" si="36"/>
        <v>86925.05</v>
      </c>
      <c r="I519" s="89">
        <f t="shared" si="36"/>
        <v>1644.52</v>
      </c>
      <c r="J519" s="89">
        <f t="shared" si="36"/>
        <v>0</v>
      </c>
      <c r="K519" s="89">
        <f t="shared" si="36"/>
        <v>0</v>
      </c>
      <c r="L519" s="89">
        <f t="shared" si="36"/>
        <v>190213.04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74329+21989.65</f>
        <v>96318.65</v>
      </c>
      <c r="G521" s="18">
        <v>40486.99</v>
      </c>
      <c r="H521" s="18">
        <f>507.2+797.02+345+929.35</f>
        <v>2578.5700000000002</v>
      </c>
      <c r="I521" s="18"/>
      <c r="J521" s="18">
        <f>894</f>
        <v>894</v>
      </c>
      <c r="K521" s="18">
        <f>705</f>
        <v>705</v>
      </c>
      <c r="L521" s="88">
        <f>SUM(F521:K521)</f>
        <v>140983.21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96318.65</v>
      </c>
      <c r="G524" s="89">
        <f t="shared" ref="G524:L524" si="37">SUM(G521:G523)</f>
        <v>40486.99</v>
      </c>
      <c r="H524" s="89">
        <f t="shared" si="37"/>
        <v>2578.5700000000002</v>
      </c>
      <c r="I524" s="89">
        <f t="shared" si="37"/>
        <v>0</v>
      </c>
      <c r="J524" s="89">
        <f t="shared" si="37"/>
        <v>894</v>
      </c>
      <c r="K524" s="89">
        <f t="shared" si="37"/>
        <v>705</v>
      </c>
      <c r="L524" s="89">
        <f t="shared" si="37"/>
        <v>140983.21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116791.83</v>
      </c>
      <c r="I531" s="18"/>
      <c r="J531" s="18"/>
      <c r="K531" s="18"/>
      <c r="L531" s="88">
        <f>SUM(F531:K531)</f>
        <v>116791.83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81246.490000000005</v>
      </c>
      <c r="I533" s="18"/>
      <c r="J533" s="18"/>
      <c r="K533" s="18"/>
      <c r="L533" s="88">
        <f>SUM(F533:K533)</f>
        <v>81246.490000000005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198038.32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198038.32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575490.37</v>
      </c>
      <c r="G535" s="89">
        <f t="shared" ref="G535:L535" si="40">G514+G519+G524+G529+G534</f>
        <v>208690.72999999998</v>
      </c>
      <c r="H535" s="89">
        <f t="shared" si="40"/>
        <v>1212624.48</v>
      </c>
      <c r="I535" s="89">
        <f t="shared" si="40"/>
        <v>4822.3899999999994</v>
      </c>
      <c r="J535" s="89">
        <f t="shared" si="40"/>
        <v>24241.64</v>
      </c>
      <c r="K535" s="89">
        <f t="shared" si="40"/>
        <v>705</v>
      </c>
      <c r="L535" s="89">
        <f t="shared" si="40"/>
        <v>2026574.61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596953.9</v>
      </c>
      <c r="G539" s="87">
        <f>L516</f>
        <v>190213.04</v>
      </c>
      <c r="H539" s="87">
        <f>L521</f>
        <v>140983.21</v>
      </c>
      <c r="I539" s="87">
        <f>L526</f>
        <v>0</v>
      </c>
      <c r="J539" s="87">
        <f>L531</f>
        <v>116791.83</v>
      </c>
      <c r="K539" s="87">
        <f>SUM(F539:J539)</f>
        <v>1044941.98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183245.31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183245.31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717140.83000000007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81246.490000000005</v>
      </c>
      <c r="K541" s="87">
        <f>SUM(F541:J541)</f>
        <v>798387.32000000007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1497340.04</v>
      </c>
      <c r="G542" s="89">
        <f t="shared" si="41"/>
        <v>190213.04</v>
      </c>
      <c r="H542" s="89">
        <f t="shared" si="41"/>
        <v>140983.21</v>
      </c>
      <c r="I542" s="89">
        <f t="shared" si="41"/>
        <v>0</v>
      </c>
      <c r="J542" s="89">
        <f t="shared" si="41"/>
        <v>198038.32</v>
      </c>
      <c r="K542" s="89">
        <f t="shared" si="41"/>
        <v>2026574.61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54653</v>
      </c>
      <c r="G557" s="18">
        <v>20951.2</v>
      </c>
      <c r="H557" s="18"/>
      <c r="I557" s="18">
        <v>1292.19</v>
      </c>
      <c r="J557" s="18"/>
      <c r="K557" s="18"/>
      <c r="L557" s="88">
        <f>SUM(F557:K557)</f>
        <v>76896.39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54653</v>
      </c>
      <c r="G560" s="194">
        <f t="shared" ref="G560:L560" si="44">SUM(G557:G559)</f>
        <v>20951.2</v>
      </c>
      <c r="H560" s="194">
        <f t="shared" si="44"/>
        <v>0</v>
      </c>
      <c r="I560" s="194">
        <f t="shared" si="44"/>
        <v>1292.19</v>
      </c>
      <c r="J560" s="194">
        <f t="shared" si="44"/>
        <v>0</v>
      </c>
      <c r="K560" s="194">
        <f t="shared" si="44"/>
        <v>0</v>
      </c>
      <c r="L560" s="194">
        <f t="shared" si="44"/>
        <v>76896.39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54653</v>
      </c>
      <c r="G561" s="89">
        <f t="shared" ref="G561:L561" si="45">G550+G555+G560</f>
        <v>20951.2</v>
      </c>
      <c r="H561" s="89">
        <f t="shared" si="45"/>
        <v>0</v>
      </c>
      <c r="I561" s="89">
        <f t="shared" si="45"/>
        <v>1292.19</v>
      </c>
      <c r="J561" s="89">
        <f t="shared" si="45"/>
        <v>0</v>
      </c>
      <c r="K561" s="89">
        <f t="shared" si="45"/>
        <v>0</v>
      </c>
      <c r="L561" s="89">
        <f t="shared" si="45"/>
        <v>76896.39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1604647.34</v>
      </c>
      <c r="I565" s="87">
        <f>SUM(F565:H565)</f>
        <v>1604647.34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10929.35</v>
      </c>
      <c r="G569" s="18"/>
      <c r="H569" s="18">
        <v>542118.76</v>
      </c>
      <c r="I569" s="87">
        <f t="shared" si="46"/>
        <v>553048.11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f>159793.15</f>
        <v>159793.15</v>
      </c>
      <c r="I571" s="87">
        <f t="shared" si="46"/>
        <v>159793.15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f>124199.11+56446.2</f>
        <v>180645.31</v>
      </c>
      <c r="H572" s="18"/>
      <c r="I572" s="87">
        <f t="shared" si="46"/>
        <v>180645.31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151796.15</v>
      </c>
      <c r="I581" s="18"/>
      <c r="J581" s="18">
        <v>60145.64</v>
      </c>
      <c r="K581" s="104">
        <f t="shared" ref="K581:K587" si="47">SUM(H581:J581)</f>
        <v>211941.78999999998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116791.83</v>
      </c>
      <c r="I582" s="18"/>
      <c r="J582" s="18">
        <v>81246.490000000005</v>
      </c>
      <c r="K582" s="104">
        <f t="shared" si="47"/>
        <v>198038.32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7555.38</v>
      </c>
      <c r="I584" s="18"/>
      <c r="J584" s="18"/>
      <c r="K584" s="104">
        <f t="shared" si="47"/>
        <v>7555.38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7375.55</v>
      </c>
      <c r="I585" s="18"/>
      <c r="J585" s="18"/>
      <c r="K585" s="104">
        <f t="shared" si="47"/>
        <v>7375.55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283518.90999999997</v>
      </c>
      <c r="I588" s="108">
        <f>SUM(I581:I587)</f>
        <v>0</v>
      </c>
      <c r="J588" s="108">
        <f>SUM(J581:J587)</f>
        <v>141392.13</v>
      </c>
      <c r="K588" s="108">
        <f>SUM(K581:K587)</f>
        <v>424911.04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1443.48+3271.64+170+2407.87+719.98+519.55+6385.24+1686.09+5592+15378+2402+2589.9</f>
        <v>42565.75</v>
      </c>
      <c r="I594" s="18"/>
      <c r="J594" s="18"/>
      <c r="K594" s="104">
        <f>SUM(H594:J594)</f>
        <v>42565.75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42565.75</v>
      </c>
      <c r="I595" s="108">
        <f>SUM(I592:I594)</f>
        <v>0</v>
      </c>
      <c r="J595" s="108">
        <f>SUM(J592:J594)</f>
        <v>0</v>
      </c>
      <c r="K595" s="108">
        <f>SUM(K592:K594)</f>
        <v>42565.75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7347.5</v>
      </c>
      <c r="G601" s="18">
        <v>803.78</v>
      </c>
      <c r="H601" s="18">
        <f>3975+665.25</f>
        <v>4640.25</v>
      </c>
      <c r="I601" s="18">
        <v>66.34</v>
      </c>
      <c r="J601" s="18"/>
      <c r="K601" s="18"/>
      <c r="L601" s="88">
        <f>SUM(F601:K601)</f>
        <v>12857.869999999999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>
        <v>2600</v>
      </c>
      <c r="I602" s="18"/>
      <c r="J602" s="18"/>
      <c r="K602" s="18"/>
      <c r="L602" s="88">
        <f>SUM(F602:K602)</f>
        <v>2600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15228.92</v>
      </c>
      <c r="I603" s="18"/>
      <c r="J603" s="18"/>
      <c r="K603" s="18"/>
      <c r="L603" s="88">
        <f>SUM(F603:K603)</f>
        <v>15228.92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7347.5</v>
      </c>
      <c r="G604" s="108">
        <f t="shared" si="48"/>
        <v>803.78</v>
      </c>
      <c r="H604" s="108">
        <f t="shared" si="48"/>
        <v>22469.17</v>
      </c>
      <c r="I604" s="108">
        <f t="shared" si="48"/>
        <v>66.34</v>
      </c>
      <c r="J604" s="108">
        <f t="shared" si="48"/>
        <v>0</v>
      </c>
      <c r="K604" s="108">
        <f t="shared" si="48"/>
        <v>0</v>
      </c>
      <c r="L604" s="89">
        <f t="shared" si="48"/>
        <v>30686.79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345477.21</v>
      </c>
      <c r="H607" s="109">
        <f>SUM(F44)</f>
        <v>345477.21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13166.89</v>
      </c>
      <c r="H608" s="109">
        <f>SUM(G44)</f>
        <v>13166.890000000001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274258.68</v>
      </c>
      <c r="H609" s="109">
        <f>SUM(H44)</f>
        <v>274258.68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825866.66999999993</v>
      </c>
      <c r="H611" s="109">
        <f>SUM(J44)</f>
        <v>825866.67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231318.95</v>
      </c>
      <c r="H612" s="109">
        <f>F466</f>
        <v>231318.95000000019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10882.62</v>
      </c>
      <c r="H613" s="109">
        <f>G466</f>
        <v>10882.619999999995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816997.25</v>
      </c>
      <c r="H616" s="109">
        <f>J466</f>
        <v>816997.25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7318534.3400000008</v>
      </c>
      <c r="H617" s="104">
        <f>SUM(F458)</f>
        <v>7318534.3399999999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149072.07999999999</v>
      </c>
      <c r="H618" s="104">
        <f>SUM(G458)</f>
        <v>149072.07999999999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213766.91</v>
      </c>
      <c r="H619" s="104">
        <f>SUM(H458)</f>
        <v>213766.91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14683.5</v>
      </c>
      <c r="H621" s="104">
        <f>SUM(J458)</f>
        <v>14683.5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7258149.5599999987</v>
      </c>
      <c r="H622" s="104">
        <f>SUM(F462)</f>
        <v>7258149.5599999996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213766.91</v>
      </c>
      <c r="H623" s="104">
        <f>SUM(H462)</f>
        <v>213766.91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60639.69</v>
      </c>
      <c r="H624" s="104">
        <f>I361</f>
        <v>60639.689999999995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141680.9</v>
      </c>
      <c r="H625" s="104">
        <f>SUM(G462)</f>
        <v>141680.9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14683.5</v>
      </c>
      <c r="H627" s="164">
        <f>SUM(J458)</f>
        <v>14683.5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45265.919999999998</v>
      </c>
      <c r="H628" s="164">
        <f>SUM(J462)</f>
        <v>45265.919999999998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571330.73</v>
      </c>
      <c r="H629" s="104">
        <f>SUM(F451)</f>
        <v>571330.73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254535.94</v>
      </c>
      <c r="H630" s="104">
        <f>SUM(G451)</f>
        <v>254535.94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825866.66999999993</v>
      </c>
      <c r="H632" s="104">
        <f>SUM(I451)</f>
        <v>825866.67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2183.5</v>
      </c>
      <c r="H634" s="104">
        <f>H400</f>
        <v>2183.5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12500</v>
      </c>
      <c r="H635" s="104">
        <f>G400</f>
        <v>12500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14683.5</v>
      </c>
      <c r="H636" s="104">
        <f>L400</f>
        <v>14683.5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424911.04</v>
      </c>
      <c r="H637" s="104">
        <f>L200+L218+L236</f>
        <v>424911.04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42565.75</v>
      </c>
      <c r="H638" s="104">
        <f>(J249+J330)-(J247+J328)</f>
        <v>42565.75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283518.90999999997</v>
      </c>
      <c r="H639" s="104">
        <f>H588</f>
        <v>283518.90999999997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141392.13</v>
      </c>
      <c r="H641" s="104">
        <f>J588</f>
        <v>141392.13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12500</v>
      </c>
      <c r="H645" s="104">
        <f>K258+K339</f>
        <v>12500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4932138.8</v>
      </c>
      <c r="G650" s="19">
        <f>(L221+L301+L351)</f>
        <v>183245.31</v>
      </c>
      <c r="H650" s="19">
        <f>(L239+L320+L352)</f>
        <v>2469330.2999999998</v>
      </c>
      <c r="I650" s="19">
        <f>SUM(F650:H650)</f>
        <v>7584714.4099999992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111217.7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111217.7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283518.90999999997</v>
      </c>
      <c r="G652" s="19">
        <f>(L218+L298)-(J218+J298)</f>
        <v>0</v>
      </c>
      <c r="H652" s="19">
        <f>(L236+L317)-(J236+J317)</f>
        <v>141392.13</v>
      </c>
      <c r="I652" s="19">
        <f>SUM(F652:H652)</f>
        <v>424911.04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66352.97</v>
      </c>
      <c r="G653" s="200">
        <f>SUM(G565:G577)+SUM(I592:I594)+L602</f>
        <v>183245.31</v>
      </c>
      <c r="H653" s="200">
        <f>SUM(H565:H577)+SUM(J592:J594)+L603</f>
        <v>2321788.17</v>
      </c>
      <c r="I653" s="19">
        <f>SUM(F653:H653)</f>
        <v>2571386.4499999997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4471049.22</v>
      </c>
      <c r="G654" s="19">
        <f>G650-SUM(G651:G653)</f>
        <v>0</v>
      </c>
      <c r="H654" s="19">
        <f>H650-SUM(H651:H653)</f>
        <v>6150</v>
      </c>
      <c r="I654" s="19">
        <f>I650-SUM(I651:I653)</f>
        <v>4477199.22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396.02</v>
      </c>
      <c r="G655" s="249"/>
      <c r="H655" s="249"/>
      <c r="I655" s="19">
        <f>SUM(F655:H655)</f>
        <v>396.02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11289.96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11305.49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-6150</v>
      </c>
      <c r="I659" s="19">
        <f>SUM(F659:H659)</f>
        <v>-6150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11289.96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11289.96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E352-5975-41FE-9D16-D71CF713712F}">
  <sheetPr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Candia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1496750.64</v>
      </c>
      <c r="C9" s="230">
        <f>'DOE25'!G189+'DOE25'!G207+'DOE25'!G225+'DOE25'!G268+'DOE25'!G287+'DOE25'!G306</f>
        <v>601712.13</v>
      </c>
    </row>
    <row r="10" spans="1:3" x14ac:dyDescent="0.2">
      <c r="A10" t="s">
        <v>813</v>
      </c>
      <c r="B10" s="241">
        <v>1420556.53</v>
      </c>
      <c r="C10" s="241">
        <v>596055.22</v>
      </c>
    </row>
    <row r="11" spans="1:3" x14ac:dyDescent="0.2">
      <c r="A11" t="s">
        <v>814</v>
      </c>
      <c r="B11" s="241">
        <v>16359.48</v>
      </c>
      <c r="C11" s="241">
        <v>1293.28</v>
      </c>
    </row>
    <row r="12" spans="1:3" x14ac:dyDescent="0.2">
      <c r="A12" t="s">
        <v>815</v>
      </c>
      <c r="B12" s="241">
        <v>59834.63</v>
      </c>
      <c r="C12" s="241">
        <v>4363.63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1496750.64</v>
      </c>
      <c r="C13" s="232">
        <f>SUM(C10:C12)</f>
        <v>601712.13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571463.61</v>
      </c>
      <c r="C18" s="230">
        <f>'DOE25'!G190+'DOE25'!G208+'DOE25'!G226+'DOE25'!G269+'DOE25'!G288+'DOE25'!G307</f>
        <v>177454.19</v>
      </c>
    </row>
    <row r="19" spans="1:3" x14ac:dyDescent="0.2">
      <c r="A19" t="s">
        <v>813</v>
      </c>
      <c r="B19" s="241">
        <v>258062</v>
      </c>
      <c r="C19" s="241">
        <v>78422.009999999995</v>
      </c>
    </row>
    <row r="20" spans="1:3" x14ac:dyDescent="0.2">
      <c r="A20" t="s">
        <v>814</v>
      </c>
      <c r="B20" s="241">
        <v>206924.41</v>
      </c>
      <c r="C20" s="241">
        <v>64370.66</v>
      </c>
    </row>
    <row r="21" spans="1:3" x14ac:dyDescent="0.2">
      <c r="A21" t="s">
        <v>815</v>
      </c>
      <c r="B21" s="241">
        <v>106477.2</v>
      </c>
      <c r="C21" s="241">
        <v>34661.519999999997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571463.61</v>
      </c>
      <c r="C22" s="232">
        <f>SUM(C19:C21)</f>
        <v>177454.18999999997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25800</v>
      </c>
      <c r="C36" s="236">
        <f>'DOE25'!G192+'DOE25'!G210+'DOE25'!G228+'DOE25'!G271+'DOE25'!G290+'DOE25'!G309</f>
        <v>3271.3599999999997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25800</v>
      </c>
      <c r="C39" s="241">
        <v>3271.36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25800</v>
      </c>
      <c r="C40" s="232">
        <f>SUM(C37:C39)</f>
        <v>3271.36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007D-CC13-4218-BA89-384452B1E14E}">
  <sheetPr>
    <tabColor indexed="11"/>
  </sheetPr>
  <dimension ref="A1:I51"/>
  <sheetViews>
    <sheetView workbookViewId="0">
      <pane ySplit="4" topLeftCell="A5" activePane="bottomLeft" state="frozen"/>
      <selection pane="bottomLeft" activeCell="C13" sqref="C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Candia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5426358.6600000001</v>
      </c>
      <c r="D5" s="20">
        <f>SUM('DOE25'!L189:L192)+SUM('DOE25'!L207:L210)+SUM('DOE25'!L225:L228)-F5-G5</f>
        <v>5417566.6400000006</v>
      </c>
      <c r="E5" s="244"/>
      <c r="F5" s="256">
        <f>SUM('DOE25'!J189:J192)+SUM('DOE25'!J207:J210)+SUM('DOE25'!J225:J228)</f>
        <v>7305.02</v>
      </c>
      <c r="G5" s="53">
        <f>SUM('DOE25'!K189:K192)+SUM('DOE25'!K207:K210)+SUM('DOE25'!K225:K228)</f>
        <v>1487</v>
      </c>
      <c r="H5" s="260"/>
    </row>
    <row r="6" spans="1:9" x14ac:dyDescent="0.2">
      <c r="A6" s="32">
        <v>2100</v>
      </c>
      <c r="B6" t="s">
        <v>835</v>
      </c>
      <c r="C6" s="246">
        <f t="shared" si="0"/>
        <v>388846.9</v>
      </c>
      <c r="D6" s="20">
        <f>'DOE25'!L194+'DOE25'!L212+'DOE25'!L230-F6-G6</f>
        <v>387258.5</v>
      </c>
      <c r="E6" s="244"/>
      <c r="F6" s="256">
        <f>'DOE25'!J194+'DOE25'!J212+'DOE25'!J230</f>
        <v>170</v>
      </c>
      <c r="G6" s="53">
        <f>'DOE25'!K194+'DOE25'!K212+'DOE25'!K230</f>
        <v>1418.4</v>
      </c>
      <c r="H6" s="260"/>
    </row>
    <row r="7" spans="1:9" x14ac:dyDescent="0.2">
      <c r="A7" s="32">
        <v>2200</v>
      </c>
      <c r="B7" t="s">
        <v>868</v>
      </c>
      <c r="C7" s="246">
        <f t="shared" si="0"/>
        <v>85275.41</v>
      </c>
      <c r="D7" s="20">
        <f>'DOE25'!L195+'DOE25'!L213+'DOE25'!L231-F7-G7</f>
        <v>82867.540000000008</v>
      </c>
      <c r="E7" s="244"/>
      <c r="F7" s="256">
        <f>'DOE25'!J195+'DOE25'!J213+'DOE25'!J231</f>
        <v>2407.87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131909.75</v>
      </c>
      <c r="D8" s="244"/>
      <c r="E8" s="20">
        <f>'DOE25'!L196+'DOE25'!L214+'DOE25'!L232-F8-G8-D9-D11</f>
        <v>126740.75</v>
      </c>
      <c r="F8" s="256">
        <f>'DOE25'!J196+'DOE25'!J214+'DOE25'!J232</f>
        <v>0</v>
      </c>
      <c r="G8" s="53">
        <f>'DOE25'!K196+'DOE25'!K214+'DOE25'!K232</f>
        <v>5169</v>
      </c>
      <c r="H8" s="260"/>
    </row>
    <row r="9" spans="1:9" x14ac:dyDescent="0.2">
      <c r="A9" s="32">
        <v>2310</v>
      </c>
      <c r="B9" t="s">
        <v>852</v>
      </c>
      <c r="C9" s="246">
        <f t="shared" si="0"/>
        <v>41977.8</v>
      </c>
      <c r="D9" s="245">
        <v>41977.8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7875.5</v>
      </c>
      <c r="D10" s="244"/>
      <c r="E10" s="245">
        <v>7875.5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32774.25</v>
      </c>
      <c r="D11" s="245">
        <v>32774.25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306548.66999999993</v>
      </c>
      <c r="D12" s="20">
        <f>'DOE25'!L197+'DOE25'!L215+'DOE25'!L233-F12-G12</f>
        <v>304388.68999999994</v>
      </c>
      <c r="E12" s="244"/>
      <c r="F12" s="256">
        <f>'DOE25'!J197+'DOE25'!J215+'DOE25'!J233</f>
        <v>719.98</v>
      </c>
      <c r="G12" s="53">
        <f>'DOE25'!K197+'DOE25'!K215+'DOE25'!K233</f>
        <v>1440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329405.51999999996</v>
      </c>
      <c r="D14" s="20">
        <f>'DOE25'!L199+'DOE25'!L217+'DOE25'!L235-F14-G14</f>
        <v>328885.96999999997</v>
      </c>
      <c r="E14" s="244"/>
      <c r="F14" s="256">
        <f>'DOE25'!J199+'DOE25'!J217+'DOE25'!J235</f>
        <v>519.54999999999995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424911.04</v>
      </c>
      <c r="D15" s="20">
        <f>'DOE25'!L200+'DOE25'!L218+'DOE25'!L236-F15-G15</f>
        <v>424911.04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77641.560000000012</v>
      </c>
      <c r="D16" s="244"/>
      <c r="E16" s="20">
        <f>'DOE25'!L201+'DOE25'!L219+'DOE25'!L237-F16-G16</f>
        <v>71256.320000000007</v>
      </c>
      <c r="F16" s="256">
        <f>'DOE25'!J201+'DOE25'!J219+'DOE25'!J237</f>
        <v>6385.24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16382.96</v>
      </c>
      <c r="D22" s="244"/>
      <c r="E22" s="244"/>
      <c r="F22" s="256">
        <f>'DOE25'!L247+'DOE25'!L328</f>
        <v>16382.96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85063.35</v>
      </c>
      <c r="D29" s="20">
        <f>'DOE25'!L350+'DOE25'!L351+'DOE25'!L352-'DOE25'!I359-F29-G29</f>
        <v>84159.52</v>
      </c>
      <c r="E29" s="244"/>
      <c r="F29" s="256">
        <f>'DOE25'!J350+'DOE25'!J351+'DOE25'!J352</f>
        <v>903.83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197383.95</v>
      </c>
      <c r="D31" s="20">
        <f>'DOE25'!L282+'DOE25'!L301+'DOE25'!L320+'DOE25'!L325+'DOE25'!L326+'DOE25'!L327-F31-G31</f>
        <v>165312.98000000001</v>
      </c>
      <c r="E31" s="244"/>
      <c r="F31" s="256">
        <f>'DOE25'!J282+'DOE25'!J301+'DOE25'!J320+'DOE25'!J325+'DOE25'!J326+'DOE25'!J327</f>
        <v>25058.09</v>
      </c>
      <c r="G31" s="53">
        <f>'DOE25'!K282+'DOE25'!K301+'DOE25'!K320+'DOE25'!K325+'DOE25'!K326+'DOE25'!K327</f>
        <v>7012.88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7270102.9299999997</v>
      </c>
      <c r="E33" s="247">
        <f>SUM(E5:E31)</f>
        <v>205872.57</v>
      </c>
      <c r="F33" s="247">
        <f>SUM(F5:F31)</f>
        <v>59852.539999999994</v>
      </c>
      <c r="G33" s="247">
        <f>SUM(G5:G31)</f>
        <v>16527.28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205872.57</v>
      </c>
      <c r="E35" s="250"/>
    </row>
    <row r="36" spans="2:8" ht="12" thickTop="1" x14ac:dyDescent="0.2">
      <c r="B36" t="s">
        <v>849</v>
      </c>
      <c r="D36" s="20">
        <f>D33</f>
        <v>7270102.9299999997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0320-AE2A-4CBB-B7CC-F49679F19AF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308461.64</v>
      </c>
      <c r="D9" s="95">
        <f>'DOE25'!G9</f>
        <v>10425.07</v>
      </c>
      <c r="E9" s="95">
        <f>'DOE25'!H9</f>
        <v>0</v>
      </c>
      <c r="F9" s="95">
        <f>'DOE25'!I9</f>
        <v>0</v>
      </c>
      <c r="G9" s="95">
        <f>'DOE25'!J9</f>
        <v>825866.66999999993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32638.13</v>
      </c>
      <c r="D12" s="95">
        <f>'DOE25'!G12</f>
        <v>0</v>
      </c>
      <c r="E12" s="95">
        <f>'DOE25'!H12</f>
        <v>232159.64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4377.4399999999996</v>
      </c>
      <c r="D13" s="95">
        <f>'DOE25'!G13</f>
        <v>2741.82</v>
      </c>
      <c r="E13" s="95">
        <f>'DOE25'!H13</f>
        <v>42099.040000000001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345477.21</v>
      </c>
      <c r="D19" s="41">
        <f>SUM(D9:D18)</f>
        <v>13166.89</v>
      </c>
      <c r="E19" s="41">
        <f>SUM(E9:E18)</f>
        <v>274258.68</v>
      </c>
      <c r="F19" s="41">
        <f>SUM(F9:F18)</f>
        <v>0</v>
      </c>
      <c r="G19" s="41">
        <f>SUM(G9:G18)</f>
        <v>825866.66999999993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259897.77</v>
      </c>
      <c r="F22" s="95">
        <f>'DOE25'!I23</f>
        <v>0</v>
      </c>
      <c r="G22" s="95">
        <f>'DOE25'!J23</f>
        <v>4900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35750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77322.740000000005</v>
      </c>
      <c r="D24" s="95">
        <f>'DOE25'!G25</f>
        <v>0</v>
      </c>
      <c r="E24" s="95">
        <f>'DOE25'!H25</f>
        <v>48.47</v>
      </c>
      <c r="F24" s="95">
        <f>'DOE25'!I25</f>
        <v>0</v>
      </c>
      <c r="G24" s="95">
        <f>'DOE25'!J25</f>
        <v>3969.42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1085.52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2284.27</v>
      </c>
      <c r="E30" s="95">
        <f>'DOE25'!H31</f>
        <v>14312.44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114158.26000000001</v>
      </c>
      <c r="D32" s="41">
        <f>SUM(D22:D31)</f>
        <v>2284.27</v>
      </c>
      <c r="E32" s="41">
        <f>SUM(E22:E31)</f>
        <v>274258.68</v>
      </c>
      <c r="F32" s="41">
        <f>SUM(F22:F31)</f>
        <v>0</v>
      </c>
      <c r="G32" s="41">
        <f>SUM(G22:G31)</f>
        <v>8869.42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77335.03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95500</v>
      </c>
      <c r="D40" s="95">
        <f>'DOE25'!G41</f>
        <v>10882.62</v>
      </c>
      <c r="E40" s="95">
        <f>'DOE25'!H41</f>
        <v>0</v>
      </c>
      <c r="F40" s="95">
        <f>'DOE25'!I41</f>
        <v>0</v>
      </c>
      <c r="G40" s="95">
        <f>'DOE25'!J41</f>
        <v>816997.25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58483.92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231318.95</v>
      </c>
      <c r="D42" s="41">
        <f>SUM(D34:D41)</f>
        <v>10882.62</v>
      </c>
      <c r="E42" s="41">
        <f>SUM(E34:E41)</f>
        <v>0</v>
      </c>
      <c r="F42" s="41">
        <f>SUM(F34:F41)</f>
        <v>0</v>
      </c>
      <c r="G42" s="41">
        <f>SUM(G34:G41)</f>
        <v>816997.25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345477.21</v>
      </c>
      <c r="D43" s="41">
        <f>D42+D32</f>
        <v>13166.890000000001</v>
      </c>
      <c r="E43" s="41">
        <f>E42+E32</f>
        <v>274258.68</v>
      </c>
      <c r="F43" s="41">
        <f>F42+F32</f>
        <v>0</v>
      </c>
      <c r="G43" s="41">
        <f>G42+G32</f>
        <v>825866.67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4765828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11402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2424.0300000000002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2183.5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111217.7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3037.92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16863.95</v>
      </c>
      <c r="D54" s="130">
        <f>SUM(D49:D53)</f>
        <v>111217.7</v>
      </c>
      <c r="E54" s="130">
        <f>SUM(E49:E53)</f>
        <v>0</v>
      </c>
      <c r="F54" s="130">
        <f>SUM(F49:F53)</f>
        <v>0</v>
      </c>
      <c r="G54" s="130">
        <f>SUM(G49:G53)</f>
        <v>2183.5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4782691.95</v>
      </c>
      <c r="D55" s="22">
        <f>D48+D54</f>
        <v>111217.7</v>
      </c>
      <c r="E55" s="22">
        <f>E48+E54</f>
        <v>0</v>
      </c>
      <c r="F55" s="22">
        <f>F48+F54</f>
        <v>0</v>
      </c>
      <c r="G55" s="22">
        <f>G48+G54</f>
        <v>2183.5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989252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993153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379546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2361951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139670.26999999999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5400</v>
      </c>
      <c r="D69" s="95">
        <f>SUM('DOE25'!G123:G127)</f>
        <v>1691.25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145070.26999999999</v>
      </c>
      <c r="D70" s="130">
        <f>SUM(D64:D69)</f>
        <v>1691.25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2507021.27</v>
      </c>
      <c r="D73" s="130">
        <f>SUM(D71:D72)+D70+D62</f>
        <v>1691.25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28821.119999999999</v>
      </c>
      <c r="D80" s="95">
        <f>SUM('DOE25'!G145:G153)</f>
        <v>36163.129999999997</v>
      </c>
      <c r="E80" s="95">
        <f>SUM('DOE25'!H145:H153)</f>
        <v>213766.91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28821.119999999999</v>
      </c>
      <c r="D83" s="131">
        <f>SUM(D77:D82)</f>
        <v>36163.129999999997</v>
      </c>
      <c r="E83" s="131">
        <f>SUM(E77:E82)</f>
        <v>213766.91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12500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12500</v>
      </c>
    </row>
    <row r="96" spans="1:7" ht="12.75" thickTop="1" thickBot="1" x14ac:dyDescent="0.25">
      <c r="A96" s="33" t="s">
        <v>797</v>
      </c>
      <c r="C96" s="86">
        <f>C55+C73+C83+C95</f>
        <v>7318534.3400000008</v>
      </c>
      <c r="D96" s="86">
        <f>D55+D73+D83+D95</f>
        <v>149072.07999999999</v>
      </c>
      <c r="E96" s="86">
        <f>E55+E73+E83+E95</f>
        <v>213766.91</v>
      </c>
      <c r="F96" s="86">
        <f>F55+F73+F83+F95</f>
        <v>0</v>
      </c>
      <c r="G96" s="86">
        <f>G55+G73+G95</f>
        <v>14683.5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3804272.59</v>
      </c>
      <c r="D101" s="24" t="s">
        <v>312</v>
      </c>
      <c r="E101" s="95">
        <f>('DOE25'!L268)+('DOE25'!L287)+('DOE25'!L306)</f>
        <v>3186.09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1574172.06</v>
      </c>
      <c r="D102" s="24" t="s">
        <v>312</v>
      </c>
      <c r="E102" s="95">
        <f>('DOE25'!L269)+('DOE25'!L288)+('DOE25'!L307)</f>
        <v>137084.26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47914.01</v>
      </c>
      <c r="D104" s="24" t="s">
        <v>312</v>
      </c>
      <c r="E104" s="95">
        <f>+('DOE25'!L271)+('DOE25'!L290)+('DOE25'!L309)</f>
        <v>2810.91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5426358.6600000001</v>
      </c>
      <c r="D107" s="86">
        <f>SUM(D101:D106)</f>
        <v>0</v>
      </c>
      <c r="E107" s="86">
        <f>SUM(E101:E106)</f>
        <v>143081.26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388846.9</v>
      </c>
      <c r="D110" s="24" t="s">
        <v>312</v>
      </c>
      <c r="E110" s="95">
        <f>+('DOE25'!L273)+('DOE25'!L292)+('DOE25'!L311)</f>
        <v>9695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85275.41</v>
      </c>
      <c r="D111" s="24" t="s">
        <v>312</v>
      </c>
      <c r="E111" s="95">
        <f>+('DOE25'!L274)+('DOE25'!L293)+('DOE25'!L312)</f>
        <v>35192.81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206661.80000000002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306548.66999999993</v>
      </c>
      <c r="D113" s="24" t="s">
        <v>312</v>
      </c>
      <c r="E113" s="95">
        <f>+('DOE25'!L276)+('DOE25'!L295)+('DOE25'!L314)</f>
        <v>2402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7012.88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329405.51999999996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424911.04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77641.560000000012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141680.9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1819290.9000000001</v>
      </c>
      <c r="D120" s="86">
        <f>SUM(D110:D119)</f>
        <v>141680.9</v>
      </c>
      <c r="E120" s="86">
        <f>SUM(E110:E119)</f>
        <v>54302.689999999995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16382.96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1498.64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13184.86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-2183.5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12500</v>
      </c>
      <c r="D136" s="141">
        <f>SUM(D122:D135)</f>
        <v>0</v>
      </c>
      <c r="E136" s="141">
        <f>SUM(E122:E135)</f>
        <v>16382.96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7258149.5600000005</v>
      </c>
      <c r="D137" s="86">
        <f>(D107+D120+D136)</f>
        <v>141680.9</v>
      </c>
      <c r="E137" s="86">
        <f>(E107+E120+E136)</f>
        <v>213766.91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CD7D-B8A7-4612-B4B2-5BD5F7A90D7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Candia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11290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11290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3807459</v>
      </c>
      <c r="D10" s="182">
        <f>ROUND((C10/$C$28)*100,1)</f>
        <v>50.9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1711256</v>
      </c>
      <c r="D11" s="182">
        <f>ROUND((C11/$C$28)*100,1)</f>
        <v>22.9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50725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398542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120468</v>
      </c>
      <c r="D16" s="182">
        <f t="shared" si="0"/>
        <v>1.6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284303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308951</v>
      </c>
      <c r="D18" s="182">
        <f t="shared" si="0"/>
        <v>4.0999999999999996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7013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329406</v>
      </c>
      <c r="D20" s="182">
        <f t="shared" si="0"/>
        <v>4.4000000000000004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424911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30463.300000000003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7473497.2999999998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16383</v>
      </c>
    </row>
    <row r="30" spans="1:4" x14ac:dyDescent="0.2">
      <c r="B30" s="187" t="s">
        <v>760</v>
      </c>
      <c r="C30" s="180">
        <f>SUM(C28:C29)</f>
        <v>7489880.2999999998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4765828</v>
      </c>
      <c r="D35" s="182">
        <f t="shared" ref="D35:D40" si="1">ROUND((C35/$C$41)*100,1)</f>
        <v>62.9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19047.450000000186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1982405</v>
      </c>
      <c r="D37" s="182">
        <f t="shared" si="1"/>
        <v>26.2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526308</v>
      </c>
      <c r="D38" s="182">
        <f t="shared" si="1"/>
        <v>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278751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7572339.4500000002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825D-ED3C-4AD4-8757-4B29B554F4B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Candia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2010-10-27T12:02:51Z</cp:lastPrinted>
  <dcterms:created xsi:type="dcterms:W3CDTF">1997-12-04T19:04:30Z</dcterms:created>
  <dcterms:modified xsi:type="dcterms:W3CDTF">2025-01-02T14:24:43Z</dcterms:modified>
</cp:coreProperties>
</file>