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A77D8E0D-2CD3-4065-A3D3-D4A3D5907D39}" xr6:coauthVersionLast="47" xr6:coauthVersionMax="47" xr10:uidLastSave="{00000000-0000-0000-0000-000000000000}"/>
  <workbookProtection workbookPassword="B70A" lockStructure="1"/>
  <bookViews>
    <workbookView xWindow="3195" yWindow="3195" windowWidth="21600" windowHeight="11505" tabRatio="855" xr2:uid="{E699F8B0-D0D4-460A-BB78-3FBF0B2691DE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8" i="1" l="1"/>
  <c r="J458" i="1"/>
  <c r="J460" i="1" s="1"/>
  <c r="J466" i="1" s="1"/>
  <c r="H616" i="1" s="1"/>
  <c r="H236" i="1"/>
  <c r="L236" i="1" s="1"/>
  <c r="G601" i="1"/>
  <c r="H521" i="1"/>
  <c r="H511" i="1"/>
  <c r="H516" i="1"/>
  <c r="G511" i="1"/>
  <c r="F511" i="1"/>
  <c r="F516" i="1"/>
  <c r="F519" i="1" s="1"/>
  <c r="I516" i="1"/>
  <c r="I519" i="1" s="1"/>
  <c r="I511" i="1"/>
  <c r="L511" i="1" s="1"/>
  <c r="I350" i="1"/>
  <c r="H350" i="1"/>
  <c r="G350" i="1"/>
  <c r="G354" i="1" s="1"/>
  <c r="H274" i="1"/>
  <c r="H282" i="1" s="1"/>
  <c r="H330" i="1" s="1"/>
  <c r="H344" i="1" s="1"/>
  <c r="I268" i="1"/>
  <c r="G269" i="1"/>
  <c r="L269" i="1" s="1"/>
  <c r="G274" i="1"/>
  <c r="H273" i="1"/>
  <c r="F269" i="1"/>
  <c r="J268" i="1"/>
  <c r="J282" i="1" s="1"/>
  <c r="G268" i="1"/>
  <c r="C9" i="12" s="1"/>
  <c r="F268" i="1"/>
  <c r="B9" i="12" s="1"/>
  <c r="A13" i="12" s="1"/>
  <c r="J194" i="1"/>
  <c r="I195" i="1"/>
  <c r="I197" i="1"/>
  <c r="L197" i="1" s="1"/>
  <c r="I194" i="1"/>
  <c r="H201" i="1"/>
  <c r="H200" i="1"/>
  <c r="L200" i="1" s="1"/>
  <c r="H196" i="1"/>
  <c r="H195" i="1"/>
  <c r="H194" i="1"/>
  <c r="G196" i="1"/>
  <c r="G195" i="1"/>
  <c r="G194" i="1"/>
  <c r="G203" i="1" s="1"/>
  <c r="G249" i="1" s="1"/>
  <c r="G263" i="1" s="1"/>
  <c r="G192" i="1"/>
  <c r="C36" i="12" s="1"/>
  <c r="A40" i="12" s="1"/>
  <c r="F196" i="1"/>
  <c r="L196" i="1" s="1"/>
  <c r="F195" i="1"/>
  <c r="F194" i="1"/>
  <c r="L194" i="1" s="1"/>
  <c r="F192" i="1"/>
  <c r="H151" i="1"/>
  <c r="H154" i="1" s="1"/>
  <c r="H147" i="1"/>
  <c r="H146" i="1"/>
  <c r="H142" i="1"/>
  <c r="G89" i="1"/>
  <c r="G103" i="1" s="1"/>
  <c r="F102" i="1"/>
  <c r="C53" i="2" s="1"/>
  <c r="F9" i="1"/>
  <c r="F19" i="1" s="1"/>
  <c r="G607" i="1" s="1"/>
  <c r="C60" i="2"/>
  <c r="B2" i="13"/>
  <c r="F8" i="13"/>
  <c r="G8" i="13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D5" i="13" s="1"/>
  <c r="G5" i="13"/>
  <c r="G33" i="13" s="1"/>
  <c r="L189" i="1"/>
  <c r="L203" i="1" s="1"/>
  <c r="L190" i="1"/>
  <c r="L191" i="1"/>
  <c r="C103" i="2" s="1"/>
  <c r="L192" i="1"/>
  <c r="L207" i="1"/>
  <c r="L208" i="1"/>
  <c r="L209" i="1"/>
  <c r="L210" i="1"/>
  <c r="L225" i="1"/>
  <c r="L239" i="1" s="1"/>
  <c r="H650" i="1" s="1"/>
  <c r="L226" i="1"/>
  <c r="C11" i="10" s="1"/>
  <c r="L227" i="1"/>
  <c r="L228" i="1"/>
  <c r="F6" i="13"/>
  <c r="G6" i="13"/>
  <c r="L212" i="1"/>
  <c r="L230" i="1"/>
  <c r="F7" i="13"/>
  <c r="G7" i="13"/>
  <c r="L195" i="1"/>
  <c r="D7" i="13" s="1"/>
  <c r="C7" i="13" s="1"/>
  <c r="L213" i="1"/>
  <c r="L221" i="1" s="1"/>
  <c r="L231" i="1"/>
  <c r="F12" i="13"/>
  <c r="G12" i="13"/>
  <c r="L215" i="1"/>
  <c r="L233" i="1"/>
  <c r="F14" i="13"/>
  <c r="G14" i="13"/>
  <c r="L199" i="1"/>
  <c r="D14" i="13" s="1"/>
  <c r="C14" i="13" s="1"/>
  <c r="L217" i="1"/>
  <c r="L235" i="1"/>
  <c r="F15" i="13"/>
  <c r="G15" i="13"/>
  <c r="L218" i="1"/>
  <c r="G640" i="1" s="1"/>
  <c r="F17" i="13"/>
  <c r="G17" i="13"/>
  <c r="L243" i="1"/>
  <c r="C24" i="10" s="1"/>
  <c r="D17" i="13"/>
  <c r="C17" i="13" s="1"/>
  <c r="F18" i="13"/>
  <c r="G18" i="13"/>
  <c r="L244" i="1"/>
  <c r="D18" i="13" s="1"/>
  <c r="C18" i="13" s="1"/>
  <c r="F19" i="13"/>
  <c r="D19" i="13" s="1"/>
  <c r="C19" i="13" s="1"/>
  <c r="G19" i="13"/>
  <c r="L245" i="1"/>
  <c r="F29" i="13"/>
  <c r="G29" i="13"/>
  <c r="L350" i="1"/>
  <c r="D29" i="13" s="1"/>
  <c r="C29" i="13" s="1"/>
  <c r="L351" i="1"/>
  <c r="G651" i="1" s="1"/>
  <c r="L352" i="1"/>
  <c r="I359" i="1"/>
  <c r="J301" i="1"/>
  <c r="J320" i="1"/>
  <c r="K282" i="1"/>
  <c r="K301" i="1"/>
  <c r="K320" i="1"/>
  <c r="G31" i="13"/>
  <c r="L268" i="1"/>
  <c r="E101" i="2" s="1"/>
  <c r="L270" i="1"/>
  <c r="L271" i="1"/>
  <c r="L273" i="1"/>
  <c r="L275" i="1"/>
  <c r="E112" i="2" s="1"/>
  <c r="L276" i="1"/>
  <c r="L277" i="1"/>
  <c r="L278" i="1"/>
  <c r="L279" i="1"/>
  <c r="E116" i="2" s="1"/>
  <c r="L280" i="1"/>
  <c r="E117" i="2" s="1"/>
  <c r="L287" i="1"/>
  <c r="L288" i="1"/>
  <c r="L301" i="1" s="1"/>
  <c r="L289" i="1"/>
  <c r="L290" i="1"/>
  <c r="L292" i="1"/>
  <c r="L293" i="1"/>
  <c r="L294" i="1"/>
  <c r="L295" i="1"/>
  <c r="L296" i="1"/>
  <c r="L297" i="1"/>
  <c r="E115" i="2" s="1"/>
  <c r="L298" i="1"/>
  <c r="L299" i="1"/>
  <c r="L306" i="1"/>
  <c r="L307" i="1"/>
  <c r="L308" i="1"/>
  <c r="L309" i="1"/>
  <c r="L311" i="1"/>
  <c r="L312" i="1"/>
  <c r="L313" i="1"/>
  <c r="L314" i="1"/>
  <c r="L315" i="1"/>
  <c r="L320" i="1" s="1"/>
  <c r="L316" i="1"/>
  <c r="L317" i="1"/>
  <c r="L318" i="1"/>
  <c r="L325" i="1"/>
  <c r="E106" i="2" s="1"/>
  <c r="L326" i="1"/>
  <c r="L327" i="1"/>
  <c r="L252" i="1"/>
  <c r="H25" i="13" s="1"/>
  <c r="L253" i="1"/>
  <c r="C124" i="2" s="1"/>
  <c r="L333" i="1"/>
  <c r="E123" i="2" s="1"/>
  <c r="L334" i="1"/>
  <c r="L247" i="1"/>
  <c r="C29" i="10" s="1"/>
  <c r="L328" i="1"/>
  <c r="F22" i="13"/>
  <c r="C22" i="13"/>
  <c r="C11" i="13"/>
  <c r="C10" i="13"/>
  <c r="C9" i="13"/>
  <c r="L353" i="1"/>
  <c r="B4" i="12"/>
  <c r="B36" i="12"/>
  <c r="B40" i="12"/>
  <c r="C40" i="12"/>
  <c r="B27" i="12"/>
  <c r="A31" i="12" s="1"/>
  <c r="C27" i="12"/>
  <c r="B31" i="12"/>
  <c r="C31" i="12"/>
  <c r="B13" i="12"/>
  <c r="C13" i="12"/>
  <c r="B18" i="12"/>
  <c r="B22" i="12"/>
  <c r="A22" i="12" s="1"/>
  <c r="C18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/>
  <c r="L258" i="1"/>
  <c r="J52" i="1"/>
  <c r="G48" i="2" s="1"/>
  <c r="G55" i="2" s="1"/>
  <c r="G96" i="2" s="1"/>
  <c r="G51" i="2"/>
  <c r="G54" i="2" s="1"/>
  <c r="G53" i="2"/>
  <c r="F2" i="11"/>
  <c r="L603" i="1"/>
  <c r="H653" i="1"/>
  <c r="L602" i="1"/>
  <c r="G653" i="1" s="1"/>
  <c r="L601" i="1"/>
  <c r="F653" i="1" s="1"/>
  <c r="C40" i="10"/>
  <c r="F52" i="1"/>
  <c r="F104" i="1" s="1"/>
  <c r="G52" i="1"/>
  <c r="D48" i="2" s="1"/>
  <c r="H52" i="1"/>
  <c r="I52" i="1"/>
  <c r="F71" i="1"/>
  <c r="C49" i="2" s="1"/>
  <c r="F86" i="1"/>
  <c r="C50" i="2" s="1"/>
  <c r="F103" i="1"/>
  <c r="H71" i="1"/>
  <c r="E49" i="2" s="1"/>
  <c r="H86" i="1"/>
  <c r="E50" i="2" s="1"/>
  <c r="H103" i="1"/>
  <c r="I103" i="1"/>
  <c r="I104" i="1"/>
  <c r="J103" i="1"/>
  <c r="J104" i="1"/>
  <c r="C37" i="10"/>
  <c r="F113" i="1"/>
  <c r="F132" i="1" s="1"/>
  <c r="F128" i="1"/>
  <c r="G113" i="1"/>
  <c r="G132" i="1" s="1"/>
  <c r="G128" i="1"/>
  <c r="H113" i="1"/>
  <c r="H128" i="1"/>
  <c r="H132" i="1"/>
  <c r="I113" i="1"/>
  <c r="I132" i="1" s="1"/>
  <c r="I128" i="1"/>
  <c r="J113" i="1"/>
  <c r="J132" i="1" s="1"/>
  <c r="J128" i="1"/>
  <c r="F139" i="1"/>
  <c r="F161" i="1" s="1"/>
  <c r="C39" i="10" s="1"/>
  <c r="F154" i="1"/>
  <c r="G139" i="1"/>
  <c r="G154" i="1"/>
  <c r="G161" i="1"/>
  <c r="H139" i="1"/>
  <c r="H161" i="1" s="1"/>
  <c r="I139" i="1"/>
  <c r="I161" i="1" s="1"/>
  <c r="I154" i="1"/>
  <c r="C13" i="10"/>
  <c r="C20" i="10"/>
  <c r="L242" i="1"/>
  <c r="C23" i="10" s="1"/>
  <c r="L324" i="1"/>
  <c r="L246" i="1"/>
  <c r="L260" i="1"/>
  <c r="L261" i="1"/>
  <c r="L341" i="1"/>
  <c r="E134" i="2" s="1"/>
  <c r="L342" i="1"/>
  <c r="E135" i="2" s="1"/>
  <c r="C26" i="10"/>
  <c r="I655" i="1"/>
  <c r="I660" i="1"/>
  <c r="I659" i="1"/>
  <c r="C6" i="10"/>
  <c r="C5" i="10"/>
  <c r="C42" i="10"/>
  <c r="L366" i="1"/>
  <c r="L367" i="1"/>
  <c r="L368" i="1"/>
  <c r="L369" i="1"/>
  <c r="L370" i="1"/>
  <c r="F122" i="2" s="1"/>
  <c r="F136" i="2" s="1"/>
  <c r="L371" i="1"/>
  <c r="L372" i="1"/>
  <c r="B2" i="10"/>
  <c r="L336" i="1"/>
  <c r="L337" i="1"/>
  <c r="L338" i="1"/>
  <c r="L339" i="1"/>
  <c r="K343" i="1"/>
  <c r="L512" i="1"/>
  <c r="F540" i="1" s="1"/>
  <c r="K540" i="1" s="1"/>
  <c r="L513" i="1"/>
  <c r="F541" i="1" s="1"/>
  <c r="K541" i="1" s="1"/>
  <c r="L517" i="1"/>
  <c r="G540" i="1"/>
  <c r="L518" i="1"/>
  <c r="G541" i="1"/>
  <c r="L521" i="1"/>
  <c r="H539" i="1" s="1"/>
  <c r="H542" i="1" s="1"/>
  <c r="L522" i="1"/>
  <c r="H540" i="1" s="1"/>
  <c r="L523" i="1"/>
  <c r="H541" i="1" s="1"/>
  <c r="L526" i="1"/>
  <c r="I539" i="1"/>
  <c r="I542" i="1" s="1"/>
  <c r="L527" i="1"/>
  <c r="I540" i="1"/>
  <c r="L528" i="1"/>
  <c r="I541" i="1"/>
  <c r="L531" i="1"/>
  <c r="J539" i="1" s="1"/>
  <c r="J542" i="1" s="1"/>
  <c r="L532" i="1"/>
  <c r="J540" i="1" s="1"/>
  <c r="L533" i="1"/>
  <c r="L534" i="1" s="1"/>
  <c r="J541" i="1"/>
  <c r="E124" i="2"/>
  <c r="K262" i="1"/>
  <c r="J262" i="1"/>
  <c r="I262" i="1"/>
  <c r="H262" i="1"/>
  <c r="G262" i="1"/>
  <c r="F262" i="1"/>
  <c r="L262" i="1" s="1"/>
  <c r="A1" i="2"/>
  <c r="A2" i="2"/>
  <c r="D9" i="2"/>
  <c r="D19" i="2" s="1"/>
  <c r="E9" i="2"/>
  <c r="F9" i="2"/>
  <c r="I431" i="1"/>
  <c r="J9" i="1"/>
  <c r="G9" i="2"/>
  <c r="C10" i="2"/>
  <c r="D10" i="2"/>
  <c r="E10" i="2"/>
  <c r="F10" i="2"/>
  <c r="I432" i="1"/>
  <c r="J10" i="1" s="1"/>
  <c r="G10" i="2" s="1"/>
  <c r="C11" i="2"/>
  <c r="C12" i="2"/>
  <c r="D12" i="2"/>
  <c r="E12" i="2"/>
  <c r="E19" i="2" s="1"/>
  <c r="F12" i="2"/>
  <c r="F19" i="2" s="1"/>
  <c r="I433" i="1"/>
  <c r="J12" i="1" s="1"/>
  <c r="G12" i="2" s="1"/>
  <c r="C13" i="2"/>
  <c r="D13" i="2"/>
  <c r="E13" i="2"/>
  <c r="F13" i="2"/>
  <c r="I434" i="1"/>
  <c r="J13" i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/>
  <c r="C22" i="2"/>
  <c r="D22" i="2"/>
  <c r="E22" i="2"/>
  <c r="F22" i="2"/>
  <c r="I440" i="1"/>
  <c r="J23" i="1"/>
  <c r="G22" i="2"/>
  <c r="C23" i="2"/>
  <c r="C32" i="2" s="1"/>
  <c r="D23" i="2"/>
  <c r="E23" i="2"/>
  <c r="E32" i="2" s="1"/>
  <c r="F23" i="2"/>
  <c r="F32" i="2" s="1"/>
  <c r="I441" i="1"/>
  <c r="J24" i="1" s="1"/>
  <c r="C24" i="2"/>
  <c r="D24" i="2"/>
  <c r="E24" i="2"/>
  <c r="F24" i="2"/>
  <c r="I442" i="1"/>
  <c r="J25" i="1"/>
  <c r="G24" i="2" s="1"/>
  <c r="C25" i="2"/>
  <c r="D25" i="2"/>
  <c r="D32" i="2" s="1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C42" i="2" s="1"/>
  <c r="C43" i="2" s="1"/>
  <c r="D34" i="2"/>
  <c r="D42" i="2" s="1"/>
  <c r="D43" i="2" s="1"/>
  <c r="E34" i="2"/>
  <c r="E42" i="2" s="1"/>
  <c r="E43" i="2" s="1"/>
  <c r="F34" i="2"/>
  <c r="C35" i="2"/>
  <c r="D35" i="2"/>
  <c r="E35" i="2"/>
  <c r="F35" i="2"/>
  <c r="C36" i="2"/>
  <c r="D36" i="2"/>
  <c r="E36" i="2"/>
  <c r="F36" i="2"/>
  <c r="I446" i="1"/>
  <c r="J37" i="1"/>
  <c r="G36" i="2"/>
  <c r="C37" i="2"/>
  <c r="D37" i="2"/>
  <c r="E37" i="2"/>
  <c r="F37" i="2"/>
  <c r="F42" i="2" s="1"/>
  <c r="I447" i="1"/>
  <c r="J38" i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/>
  <c r="G40" i="2"/>
  <c r="C41" i="2"/>
  <c r="D41" i="2"/>
  <c r="E41" i="2"/>
  <c r="F41" i="2"/>
  <c r="C48" i="2"/>
  <c r="E48" i="2"/>
  <c r="F48" i="2"/>
  <c r="C51" i="2"/>
  <c r="D51" i="2"/>
  <c r="E51" i="2"/>
  <c r="F51" i="2"/>
  <c r="F54" i="2" s="1"/>
  <c r="F55" i="2" s="1"/>
  <c r="D52" i="2"/>
  <c r="D54" i="2" s="1"/>
  <c r="D53" i="2"/>
  <c r="E53" i="2"/>
  <c r="F53" i="2"/>
  <c r="C58" i="2"/>
  <c r="C62" i="2" s="1"/>
  <c r="C59" i="2"/>
  <c r="C61" i="2"/>
  <c r="D61" i="2"/>
  <c r="D62" i="2" s="1"/>
  <c r="E61" i="2"/>
  <c r="F61" i="2"/>
  <c r="G61" i="2"/>
  <c r="E62" i="2"/>
  <c r="F62" i="2"/>
  <c r="G62" i="2"/>
  <c r="C64" i="2"/>
  <c r="F64" i="2"/>
  <c r="F70" i="2" s="1"/>
  <c r="F73" i="2" s="1"/>
  <c r="C65" i="2"/>
  <c r="F65" i="2"/>
  <c r="C66" i="2"/>
  <c r="C67" i="2"/>
  <c r="C68" i="2"/>
  <c r="E68" i="2"/>
  <c r="F68" i="2"/>
  <c r="C69" i="2"/>
  <c r="C70" i="2" s="1"/>
  <c r="C73" i="2" s="1"/>
  <c r="D69" i="2"/>
  <c r="D70" i="2" s="1"/>
  <c r="D73" i="2" s="1"/>
  <c r="E69" i="2"/>
  <c r="E70" i="2" s="1"/>
  <c r="E73" i="2" s="1"/>
  <c r="F69" i="2"/>
  <c r="G69" i="2"/>
  <c r="G70" i="2" s="1"/>
  <c r="G73" i="2" s="1"/>
  <c r="C71" i="2"/>
  <c r="D71" i="2"/>
  <c r="E71" i="2"/>
  <c r="C72" i="2"/>
  <c r="E72" i="2"/>
  <c r="C77" i="2"/>
  <c r="D77" i="2"/>
  <c r="C79" i="2"/>
  <c r="E79" i="2"/>
  <c r="F79" i="2"/>
  <c r="C80" i="2"/>
  <c r="D80" i="2"/>
  <c r="E80" i="2"/>
  <c r="F80" i="2"/>
  <c r="C81" i="2"/>
  <c r="D81" i="2"/>
  <c r="E81" i="2"/>
  <c r="F81" i="2"/>
  <c r="C82" i="2"/>
  <c r="C83" i="2"/>
  <c r="D83" i="2"/>
  <c r="C85" i="2"/>
  <c r="F85" i="2"/>
  <c r="C86" i="2"/>
  <c r="F86" i="2"/>
  <c r="D88" i="2"/>
  <c r="E88" i="2"/>
  <c r="F88" i="2"/>
  <c r="G88" i="2"/>
  <c r="C89" i="2"/>
  <c r="D89" i="2"/>
  <c r="E89" i="2"/>
  <c r="E95" i="2" s="1"/>
  <c r="F89" i="2"/>
  <c r="G89" i="2"/>
  <c r="C90" i="2"/>
  <c r="D90" i="2"/>
  <c r="E90" i="2"/>
  <c r="G90" i="2"/>
  <c r="C91" i="2"/>
  <c r="D91" i="2"/>
  <c r="E91" i="2"/>
  <c r="F91" i="2"/>
  <c r="F95" i="2" s="1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G95" i="2"/>
  <c r="E103" i="2"/>
  <c r="C104" i="2"/>
  <c r="E104" i="2"/>
  <c r="E105" i="2"/>
  <c r="D107" i="2"/>
  <c r="F107" i="2"/>
  <c r="G107" i="2"/>
  <c r="E110" i="2"/>
  <c r="E113" i="2"/>
  <c r="E114" i="2"/>
  <c r="C115" i="2"/>
  <c r="C117" i="2"/>
  <c r="F120" i="2"/>
  <c r="G120" i="2"/>
  <c r="C122" i="2"/>
  <c r="E122" i="2"/>
  <c r="D126" i="2"/>
  <c r="E126" i="2"/>
  <c r="F126" i="2"/>
  <c r="K411" i="1"/>
  <c r="K426" i="1" s="1"/>
  <c r="G126" i="2" s="1"/>
  <c r="G136" i="2" s="1"/>
  <c r="K419" i="1"/>
  <c r="K425" i="1"/>
  <c r="L255" i="1"/>
  <c r="C127" i="2"/>
  <c r="E127" i="2"/>
  <c r="L256" i="1"/>
  <c r="C128" i="2" s="1"/>
  <c r="L257" i="1"/>
  <c r="C129" i="2" s="1"/>
  <c r="E129" i="2"/>
  <c r="C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B153" i="2" s="1"/>
  <c r="G490" i="1"/>
  <c r="C153" i="2" s="1"/>
  <c r="H490" i="1"/>
  <c r="D153" i="2" s="1"/>
  <c r="I490" i="1"/>
  <c r="E153" i="2"/>
  <c r="J490" i="1"/>
  <c r="F153" i="2" s="1"/>
  <c r="B154" i="2"/>
  <c r="G154" i="2" s="1"/>
  <c r="C154" i="2"/>
  <c r="D154" i="2"/>
  <c r="E154" i="2"/>
  <c r="F154" i="2"/>
  <c r="B155" i="2"/>
  <c r="C155" i="2"/>
  <c r="G155" i="2" s="1"/>
  <c r="D155" i="2"/>
  <c r="E155" i="2"/>
  <c r="F155" i="2"/>
  <c r="F493" i="1"/>
  <c r="B156" i="2"/>
  <c r="G156" i="2" s="1"/>
  <c r="G493" i="1"/>
  <c r="C156" i="2"/>
  <c r="H493" i="1"/>
  <c r="D156" i="2"/>
  <c r="I493" i="1"/>
  <c r="E156" i="2"/>
  <c r="J493" i="1"/>
  <c r="K493" i="1" s="1"/>
  <c r="F156" i="2"/>
  <c r="G19" i="1"/>
  <c r="G608" i="1" s="1"/>
  <c r="J608" i="1" s="1"/>
  <c r="H19" i="1"/>
  <c r="I19" i="1"/>
  <c r="F33" i="1"/>
  <c r="G33" i="1"/>
  <c r="H33" i="1"/>
  <c r="I33" i="1"/>
  <c r="F43" i="1"/>
  <c r="F44" i="1" s="1"/>
  <c r="H607" i="1" s="1"/>
  <c r="G43" i="1"/>
  <c r="H43" i="1"/>
  <c r="H44" i="1" s="1"/>
  <c r="H609" i="1" s="1"/>
  <c r="I43" i="1"/>
  <c r="G615" i="1" s="1"/>
  <c r="G44" i="1"/>
  <c r="H608" i="1" s="1"/>
  <c r="F169" i="1"/>
  <c r="F184" i="1" s="1"/>
  <c r="I169" i="1"/>
  <c r="F175" i="1"/>
  <c r="G175" i="1"/>
  <c r="H175" i="1"/>
  <c r="I175" i="1"/>
  <c r="J175" i="1"/>
  <c r="J184" i="1" s="1"/>
  <c r="F180" i="1"/>
  <c r="G180" i="1"/>
  <c r="H180" i="1"/>
  <c r="I180" i="1"/>
  <c r="G184" i="1"/>
  <c r="H184" i="1"/>
  <c r="I184" i="1"/>
  <c r="I203" i="1"/>
  <c r="J203" i="1"/>
  <c r="K203" i="1"/>
  <c r="K249" i="1" s="1"/>
  <c r="K263" i="1" s="1"/>
  <c r="F221" i="1"/>
  <c r="G221" i="1"/>
  <c r="H221" i="1"/>
  <c r="I221" i="1"/>
  <c r="J221" i="1"/>
  <c r="K221" i="1"/>
  <c r="F239" i="1"/>
  <c r="G239" i="1"/>
  <c r="I239" i="1"/>
  <c r="J239" i="1"/>
  <c r="K239" i="1"/>
  <c r="F248" i="1"/>
  <c r="L248" i="1" s="1"/>
  <c r="G248" i="1"/>
  <c r="H248" i="1"/>
  <c r="I248" i="1"/>
  <c r="J248" i="1"/>
  <c r="K248" i="1"/>
  <c r="I249" i="1"/>
  <c r="I263" i="1" s="1"/>
  <c r="J249" i="1"/>
  <c r="G282" i="1"/>
  <c r="G330" i="1" s="1"/>
  <c r="G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K330" i="1"/>
  <c r="K344" i="1" s="1"/>
  <c r="F354" i="1"/>
  <c r="H354" i="1"/>
  <c r="I354" i="1"/>
  <c r="G624" i="1" s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I400" i="1" s="1"/>
  <c r="F399" i="1"/>
  <c r="F400" i="1" s="1"/>
  <c r="H633" i="1" s="1"/>
  <c r="G399" i="1"/>
  <c r="G400" i="1" s="1"/>
  <c r="H635" i="1" s="1"/>
  <c r="H399" i="1"/>
  <c r="I399" i="1"/>
  <c r="H400" i="1"/>
  <c r="L405" i="1"/>
  <c r="L411" i="1" s="1"/>
  <c r="L406" i="1"/>
  <c r="L407" i="1"/>
  <c r="L408" i="1"/>
  <c r="L409" i="1"/>
  <c r="L410" i="1"/>
  <c r="F411" i="1"/>
  <c r="F426" i="1" s="1"/>
  <c r="G411" i="1"/>
  <c r="G426" i="1" s="1"/>
  <c r="H411" i="1"/>
  <c r="H426" i="1" s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5" i="1" s="1"/>
  <c r="L424" i="1"/>
  <c r="F425" i="1"/>
  <c r="G425" i="1"/>
  <c r="H425" i="1"/>
  <c r="I425" i="1"/>
  <c r="J425" i="1"/>
  <c r="J426" i="1"/>
  <c r="F438" i="1"/>
  <c r="G629" i="1" s="1"/>
  <c r="J629" i="1" s="1"/>
  <c r="G438" i="1"/>
  <c r="H438" i="1"/>
  <c r="G631" i="1" s="1"/>
  <c r="J631" i="1" s="1"/>
  <c r="F444" i="1"/>
  <c r="G444" i="1"/>
  <c r="G451" i="1" s="1"/>
  <c r="H630" i="1" s="1"/>
  <c r="H444" i="1"/>
  <c r="F450" i="1"/>
  <c r="G450" i="1"/>
  <c r="H450" i="1"/>
  <c r="H451" i="1" s="1"/>
  <c r="H631" i="1" s="1"/>
  <c r="F451" i="1"/>
  <c r="F460" i="1"/>
  <c r="G460" i="1"/>
  <c r="H460" i="1"/>
  <c r="I460" i="1"/>
  <c r="F464" i="1"/>
  <c r="G464" i="1"/>
  <c r="G466" i="1" s="1"/>
  <c r="H613" i="1" s="1"/>
  <c r="H464" i="1"/>
  <c r="H466" i="1" s="1"/>
  <c r="H614" i="1" s="1"/>
  <c r="I464" i="1"/>
  <c r="I466" i="1" s="1"/>
  <c r="H615" i="1" s="1"/>
  <c r="J464" i="1"/>
  <c r="F466" i="1"/>
  <c r="H612" i="1" s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F535" i="1" s="1"/>
  <c r="G514" i="1"/>
  <c r="H514" i="1"/>
  <c r="H535" i="1" s="1"/>
  <c r="J514" i="1"/>
  <c r="J535" i="1" s="1"/>
  <c r="K514" i="1"/>
  <c r="G519" i="1"/>
  <c r="G535" i="1" s="1"/>
  <c r="H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K535" i="1"/>
  <c r="L547" i="1"/>
  <c r="L548" i="1"/>
  <c r="L549" i="1"/>
  <c r="F550" i="1"/>
  <c r="F561" i="1" s="1"/>
  <c r="G550" i="1"/>
  <c r="G561" i="1" s="1"/>
  <c r="H550" i="1"/>
  <c r="I550" i="1"/>
  <c r="J550" i="1"/>
  <c r="K550" i="1"/>
  <c r="K561" i="1" s="1"/>
  <c r="L550" i="1"/>
  <c r="L561" i="1" s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H561" i="1"/>
  <c r="I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K588" i="1" s="1"/>
  <c r="G637" i="1" s="1"/>
  <c r="H588" i="1"/>
  <c r="H639" i="1" s="1"/>
  <c r="I588" i="1"/>
  <c r="H640" i="1" s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9" i="1"/>
  <c r="G610" i="1"/>
  <c r="G613" i="1"/>
  <c r="G614" i="1"/>
  <c r="J614" i="1" s="1"/>
  <c r="H617" i="1"/>
  <c r="H618" i="1"/>
  <c r="H619" i="1"/>
  <c r="H620" i="1"/>
  <c r="H621" i="1"/>
  <c r="H622" i="1"/>
  <c r="H623" i="1"/>
  <c r="H625" i="1"/>
  <c r="H626" i="1"/>
  <c r="H627" i="1"/>
  <c r="H628" i="1"/>
  <c r="H629" i="1"/>
  <c r="G630" i="1"/>
  <c r="J630" i="1" s="1"/>
  <c r="G633" i="1"/>
  <c r="G634" i="1"/>
  <c r="J634" i="1" s="1"/>
  <c r="H634" i="1"/>
  <c r="H641" i="1"/>
  <c r="G642" i="1"/>
  <c r="J642" i="1" s="1"/>
  <c r="H642" i="1"/>
  <c r="G643" i="1"/>
  <c r="J643" i="1" s="1"/>
  <c r="H643" i="1"/>
  <c r="G644" i="1"/>
  <c r="H644" i="1"/>
  <c r="J644" i="1"/>
  <c r="G645" i="1"/>
  <c r="J645" i="1" s="1"/>
  <c r="H645" i="1"/>
  <c r="J613" i="1" l="1"/>
  <c r="J185" i="1"/>
  <c r="D55" i="2"/>
  <c r="D96" i="2" s="1"/>
  <c r="J607" i="1"/>
  <c r="L514" i="1"/>
  <c r="F539" i="1"/>
  <c r="G19" i="2"/>
  <c r="F185" i="1"/>
  <c r="G617" i="1" s="1"/>
  <c r="J617" i="1" s="1"/>
  <c r="J609" i="1"/>
  <c r="J19" i="1"/>
  <c r="G611" i="1" s="1"/>
  <c r="F31" i="13"/>
  <c r="J330" i="1"/>
  <c r="J344" i="1" s="1"/>
  <c r="I185" i="1"/>
  <c r="G620" i="1" s="1"/>
  <c r="J620" i="1" s="1"/>
  <c r="I653" i="1"/>
  <c r="L249" i="1"/>
  <c r="L263" i="1" s="1"/>
  <c r="G622" i="1" s="1"/>
  <c r="J622" i="1" s="1"/>
  <c r="H638" i="1"/>
  <c r="J638" i="1" s="1"/>
  <c r="F96" i="2"/>
  <c r="L400" i="1"/>
  <c r="C130" i="2"/>
  <c r="C133" i="2" s="1"/>
  <c r="L426" i="1"/>
  <c r="G628" i="1" s="1"/>
  <c r="J628" i="1" s="1"/>
  <c r="J615" i="1"/>
  <c r="G153" i="2"/>
  <c r="F43" i="2"/>
  <c r="E54" i="2"/>
  <c r="E55" i="2" s="1"/>
  <c r="E136" i="2"/>
  <c r="C5" i="13"/>
  <c r="C21" i="10"/>
  <c r="C116" i="2"/>
  <c r="G639" i="1"/>
  <c r="J639" i="1" s="1"/>
  <c r="D15" i="13"/>
  <c r="C15" i="13" s="1"/>
  <c r="F652" i="1"/>
  <c r="H637" i="1"/>
  <c r="J637" i="1" s="1"/>
  <c r="L282" i="1"/>
  <c r="E102" i="2"/>
  <c r="E107" i="2" s="1"/>
  <c r="E137" i="2" s="1"/>
  <c r="E120" i="2"/>
  <c r="H33" i="13"/>
  <c r="C25" i="13"/>
  <c r="J640" i="1"/>
  <c r="C110" i="2"/>
  <c r="C15" i="10"/>
  <c r="D6" i="13"/>
  <c r="C6" i="13" s="1"/>
  <c r="J633" i="1"/>
  <c r="J624" i="1"/>
  <c r="G137" i="2"/>
  <c r="C54" i="2"/>
  <c r="C55" i="2" s="1"/>
  <c r="C96" i="2" s="1"/>
  <c r="G650" i="1"/>
  <c r="D12" i="13"/>
  <c r="C12" i="13" s="1"/>
  <c r="C113" i="2"/>
  <c r="C18" i="10"/>
  <c r="G641" i="1"/>
  <c r="J641" i="1" s="1"/>
  <c r="H652" i="1"/>
  <c r="F137" i="2"/>
  <c r="G42" i="2"/>
  <c r="G23" i="2"/>
  <c r="G32" i="2" s="1"/>
  <c r="J33" i="1"/>
  <c r="C38" i="10"/>
  <c r="C112" i="2"/>
  <c r="E8" i="13"/>
  <c r="C17" i="10"/>
  <c r="D137" i="2"/>
  <c r="J43" i="1"/>
  <c r="I514" i="1"/>
  <c r="I535" i="1" s="1"/>
  <c r="I450" i="1"/>
  <c r="F282" i="1"/>
  <c r="F330" i="1" s="1"/>
  <c r="F344" i="1" s="1"/>
  <c r="C102" i="2"/>
  <c r="C19" i="10"/>
  <c r="C114" i="2"/>
  <c r="H239" i="1"/>
  <c r="H203" i="1"/>
  <c r="H249" i="1" s="1"/>
  <c r="H263" i="1" s="1"/>
  <c r="C101" i="2"/>
  <c r="F77" i="2"/>
  <c r="F83" i="2" s="1"/>
  <c r="L516" i="1"/>
  <c r="G652" i="1"/>
  <c r="C35" i="10"/>
  <c r="G612" i="1"/>
  <c r="J612" i="1" s="1"/>
  <c r="J263" i="1"/>
  <c r="I44" i="1"/>
  <c r="H610" i="1" s="1"/>
  <c r="J610" i="1" s="1"/>
  <c r="E77" i="2"/>
  <c r="E83" i="2" s="1"/>
  <c r="L343" i="1"/>
  <c r="C16" i="10"/>
  <c r="I444" i="1"/>
  <c r="I451" i="1" s="1"/>
  <c r="H632" i="1" s="1"/>
  <c r="F203" i="1"/>
  <c r="F249" i="1" s="1"/>
  <c r="F263" i="1" s="1"/>
  <c r="C106" i="2"/>
  <c r="C25" i="10"/>
  <c r="H104" i="1"/>
  <c r="H185" i="1" s="1"/>
  <c r="G619" i="1" s="1"/>
  <c r="J619" i="1" s="1"/>
  <c r="F33" i="13"/>
  <c r="D119" i="2"/>
  <c r="D120" i="2" s="1"/>
  <c r="H651" i="1"/>
  <c r="H654" i="1" s="1"/>
  <c r="G635" i="1"/>
  <c r="J635" i="1" s="1"/>
  <c r="C105" i="2"/>
  <c r="C9" i="2"/>
  <c r="C19" i="2" s="1"/>
  <c r="C32" i="10"/>
  <c r="C12" i="10"/>
  <c r="L274" i="1"/>
  <c r="E111" i="2" s="1"/>
  <c r="L604" i="1"/>
  <c r="C111" i="2"/>
  <c r="F651" i="1"/>
  <c r="L354" i="1"/>
  <c r="I438" i="1"/>
  <c r="G632" i="1" s="1"/>
  <c r="C10" i="10"/>
  <c r="G104" i="1"/>
  <c r="G185" i="1" s="1"/>
  <c r="G618" i="1" s="1"/>
  <c r="J618" i="1" s="1"/>
  <c r="L374" i="1"/>
  <c r="G626" i="1" s="1"/>
  <c r="J626" i="1" s="1"/>
  <c r="C123" i="2"/>
  <c r="C136" i="2" s="1"/>
  <c r="H662" i="1" l="1"/>
  <c r="H657" i="1"/>
  <c r="C28" i="10"/>
  <c r="D10" i="10" s="1"/>
  <c r="D31" i="13"/>
  <c r="C31" i="13" s="1"/>
  <c r="L330" i="1"/>
  <c r="L344" i="1" s="1"/>
  <c r="G623" i="1" s="1"/>
  <c r="J623" i="1" s="1"/>
  <c r="J632" i="1"/>
  <c r="G43" i="2"/>
  <c r="C27" i="10"/>
  <c r="G625" i="1"/>
  <c r="J625" i="1" s="1"/>
  <c r="C36" i="10"/>
  <c r="I652" i="1"/>
  <c r="I651" i="1"/>
  <c r="L519" i="1"/>
  <c r="G539" i="1"/>
  <c r="G542" i="1" s="1"/>
  <c r="G616" i="1"/>
  <c r="J616" i="1" s="1"/>
  <c r="J44" i="1"/>
  <c r="H611" i="1" s="1"/>
  <c r="C120" i="2"/>
  <c r="K539" i="1"/>
  <c r="K542" i="1" s="1"/>
  <c r="F542" i="1"/>
  <c r="L535" i="1"/>
  <c r="C107" i="2"/>
  <c r="C137" i="2" s="1"/>
  <c r="D33" i="13"/>
  <c r="D36" i="13" s="1"/>
  <c r="G627" i="1"/>
  <c r="J627" i="1" s="1"/>
  <c r="H636" i="1"/>
  <c r="E33" i="13"/>
  <c r="D35" i="13" s="1"/>
  <c r="C8" i="13"/>
  <c r="G654" i="1"/>
  <c r="J611" i="1"/>
  <c r="G636" i="1"/>
  <c r="J636" i="1" s="1"/>
  <c r="G621" i="1"/>
  <c r="J621" i="1" s="1"/>
  <c r="E96" i="2"/>
  <c r="F650" i="1"/>
  <c r="D16" i="10" l="1"/>
  <c r="D27" i="10"/>
  <c r="I650" i="1"/>
  <c r="I654" i="1" s="1"/>
  <c r="F654" i="1"/>
  <c r="D17" i="10"/>
  <c r="D19" i="10"/>
  <c r="D12" i="10"/>
  <c r="D21" i="10"/>
  <c r="D25" i="10"/>
  <c r="C30" i="10"/>
  <c r="D22" i="10"/>
  <c r="D11" i="10"/>
  <c r="D28" i="10" s="1"/>
  <c r="D20" i="10"/>
  <c r="D24" i="10"/>
  <c r="D13" i="10"/>
  <c r="D23" i="10"/>
  <c r="D26" i="10"/>
  <c r="G662" i="1"/>
  <c r="G657" i="1"/>
  <c r="D18" i="10"/>
  <c r="D15" i="10"/>
  <c r="C41" i="10"/>
  <c r="H646" i="1"/>
  <c r="I662" i="1" l="1"/>
  <c r="C7" i="10" s="1"/>
  <c r="I657" i="1"/>
  <c r="D37" i="10"/>
  <c r="D40" i="10"/>
  <c r="D39" i="10"/>
  <c r="D38" i="10"/>
  <c r="D35" i="10"/>
  <c r="D36" i="10"/>
  <c r="F662" i="1"/>
  <c r="C4" i="10" s="1"/>
  <c r="F657" i="1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A9097E99-63C9-464B-9CD4-BC9658C734D9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EF06F81E-34B0-4B5C-9129-98A67C55388C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CB50F108-0A53-405A-977A-F9EAA4CCC8BA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65A79CC0-B7CC-406F-9127-5F59EADD3A2C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61A256FF-E6D3-4121-90D4-2E0D68E7894C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967903EB-DE49-481E-9D57-D75E3D139BD1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9A3138CA-4715-4A5B-9E3D-4D1A21EECAD5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A65FCEEB-214D-4E09-9A33-7E42687CB4CD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12171C43-79C5-4C65-8CA4-ACA232D9D6E2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946A7185-D8A6-4F91-B189-F30B714CA950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729C6187-E731-4258-A0C2-A19FDC884C04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02D710C4-0484-409D-85A2-977742CF6BC0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<sst xmlns="http://schemas.openxmlformats.org/spreadsheetml/2006/main" count="3858" uniqueCount="895">
  <si>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</si>
  <si>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</si>
  <si>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</si>
  <si>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</si>
  <si>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</si>
  <si>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</si>
  <si>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</si>
  <si>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</si>
  <si>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</si>
  <si>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</si>
  <si>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</si>
  <si>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</si>
  <si>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</si>
  <si>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</si>
  <si>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</si>
  <si>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</si>
  <si>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</si>
  <si>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</si>
  <si>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</si>
  <si>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</si>
  <si>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</si>
  <si>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</si>
  <si>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</si>
  <si>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</si>
  <si>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</si>
  <si>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</si>
  <si>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</si>
  <si>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</si>
  <si>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</si>
  <si>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</si>
  <si>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</si>
  <si>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</si>
  <si>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</si>
  <si>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</si>
  <si>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</si>
  <si>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</si>
  <si>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</si>
  <si>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</si>
  <si>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</si>
  <si>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</si>
  <si>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</si>
  <si>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</si>
  <si>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</si>
  <si>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</si>
  <si>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</si>
  <si>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</si>
  <si>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</si>
  <si>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</si>
  <si>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</si>
  <si>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</si>
  <si>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</si>
  <si>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</si>
  <si>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</si>
  <si>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</si>
  <si>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</si>
  <si>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</si>
  <si>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</si>
  <si>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</si>
  <si>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</si>
  <si>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</si>
  <si>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</si>
  <si>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</si>
  <si>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</si>
  <si>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</si>
  <si>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</si>
  <si>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</si>
  <si>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</si>
  <si>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</si>
  <si>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</si>
  <si>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</si>
  <si>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</si>
  <si>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</si>
  <si>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</si>
  <si>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</si>
  <si>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</si>
  <si>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</si>
  <si>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</si>
  <si>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</si>
  <si>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</si>
  <si>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</si>
  <si>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</si>
  <si>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</si>
  <si>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</si>
  <si>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</si>
  <si>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</si>
  <si>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</si>
  <si>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</si>
  <si>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</si>
  <si>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</si>
  <si>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</si>
  <si>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</si>
  <si>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</si>
  <si>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</si>
  <si>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</si>
  <si>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</si>
  <si>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</si>
  <si>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</si>
  <si>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</si>
  <si>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</si>
  <si>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</si>
  <si>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</si>
  <si>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</si>
  <si>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</si>
  <si>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</si>
  <si>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</si>
  <si>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</si>
  <si>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</si>
  <si>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</si>
  <si>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</si>
  <si>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</si>
  <si>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</si>
  <si>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</si>
  <si>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</si>
  <si>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</si>
  <si>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</si>
  <si>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</si>
  <si>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</si>
  <si>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</si>
  <si>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</si>
  <si>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</si>
  <si>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</si>
  <si>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</si>
  <si>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</si>
  <si>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</si>
  <si>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</si>
  <si>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</si>
  <si>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</si>
  <si>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</si>
  <si>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</si>
  <si>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</si>
  <si>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</si>
  <si>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</si>
  <si>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</si>
  <si>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</si>
  <si>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</si>
  <si>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</si>
  <si>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</si>
  <si>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</si>
  <si>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</si>
  <si>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</si>
  <si>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</si>
  <si>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</si>
  <si>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</si>
  <si>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</si>
  <si>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</si>
  <si>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</si>
  <si>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</si>
  <si>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</si>
  <si>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</si>
  <si>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</si>
  <si>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</si>
  <si>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</si>
  <si>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</si>
  <si>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</si>
  <si>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</si>
  <si>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</si>
  <si>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</si>
  <si>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</si>
  <si>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</si>
  <si>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</si>
  <si>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</si>
  <si>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</si>
  <si>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</si>
  <si>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</si>
  <si>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</si>
  <si>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</si>
  <si>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</si>
  <si>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</si>
  <si>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</si>
  <si>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</si>
  <si>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</si>
  <si>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</si>
  <si>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</si>
  <si>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</si>
  <si>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</si>
  <si>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</si>
  <si>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</si>
  <si>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</si>
  <si>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</si>
  <si>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</si>
  <si>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</si>
  <si>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</si>
  <si>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</si>
  <si>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</si>
  <si>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</si>
  <si>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</si>
  <si>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</si>
  <si>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</si>
  <si>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</si>
  <si>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</si>
  <si>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</si>
  <si>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</si>
  <si>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</si>
  <si>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</si>
  <si>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</si>
  <si>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</si>
  <si>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</si>
  <si>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</si>
  <si>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</si>
  <si>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</si>
  <si>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</si>
  <si>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</si>
  <si>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</si>
  <si>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</si>
  <si>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</si>
  <si>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</si>
  <si>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</si>
  <si>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</si>
  <si>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</si>
  <si>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</si>
  <si>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</si>
  <si>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</si>
  <si>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</si>
  <si>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</si>
  <si>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</si>
  <si>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</si>
  <si>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</si>
  <si>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</si>
  <si>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</si>
  <si>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</si>
  <si>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</si>
  <si>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</si>
  <si>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</si>
  <si>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</si>
  <si>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</si>
  <si>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</si>
  <si>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</si>
  <si>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</si>
  <si>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</si>
  <si>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</si>
  <si>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</si>
  <si>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</si>
  <si>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</si>
  <si>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</si>
  <si>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</si>
  <si>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</si>
  <si>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</si>
  <si>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</si>
  <si>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</si>
  <si>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</si>
  <si>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</si>
  <si>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</si>
  <si>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</si>
  <si>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</si>
  <si>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</si>
  <si>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</si>
  <si>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</si>
  <si>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</si>
  <si>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</si>
  <si>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</si>
  <si>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</si>
  <si>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</si>
  <si>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</si>
  <si>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</si>
  <si>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</si>
  <si>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</si>
  <si>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</si>
  <si>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</si>
  <si>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</si>
  <si>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</si>
  <si>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</si>
  <si>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</si>
  <si>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</si>
  <si>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</si>
  <si>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</si>
  <si>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</si>
  <si>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</si>
  <si>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</si>
  <si>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</si>
  <si>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</si>
  <si>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</si>
  <si>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</si>
  <si>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</si>
  <si>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</si>
  <si>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</si>
  <si>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</si>
  <si>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</si>
  <si>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</si>
  <si>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</si>
  <si>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</si>
  <si>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</si>
  <si>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</si>
  <si>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</si>
  <si>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</si>
  <si>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</si>
  <si>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</si>
  <si>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</si>
  <si>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</si>
  <si>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</si>
  <si>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</si>
  <si>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</si>
  <si>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</si>
  <si>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</si>
  <si>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</si>
  <si>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</si>
  <si>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</si>
  <si>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</si>
  <si>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</si>
  <si>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</si>
  <si>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</si>
  <si>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</si>
  <si>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</si>
  <si>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</si>
  <si>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</si>
  <si>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</si>
  <si>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</si>
  <si>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</si>
  <si>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</si>
  <si>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</si>
  <si>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</si>
  <si>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</si>
  <si>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</si>
  <si>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</si>
  <si>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</si>
  <si>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</si>
  <si>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</si>
  <si>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</si>
  <si>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</si>
  <si>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</si>
  <si>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</si>
  <si>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</si>
  <si>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</si>
  <si>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</si>
  <si>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</si>
  <si>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</si>
  <si>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</si>
  <si>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</si>
  <si>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</si>
  <si>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</si>
  <si>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</si>
  <si>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</si>
  <si>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</si>
  <si>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</si>
  <si>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</si>
  <si>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</si>
  <si>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</si>
  <si>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</si>
  <si>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</si>
  <si>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</si>
  <si>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</si>
  <si>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</si>
  <si>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</si>
  <si>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</si>
  <si>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</si>
  <si>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</si>
  <si>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</si>
  <si>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</si>
  <si>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</si>
  <si>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</si>
  <si>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</si>
  <si>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</si>
  <si>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</si>
  <si>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</si>
  <si>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</si>
  <si>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</si>
  <si>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</si>
  <si>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</si>
  <si>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</si>
  <si>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</si>
  <si>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</si>
  <si>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</si>
  <si>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</si>
  <si>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</si>
  <si>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</si>
  <si>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</si>
  <si>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</si>
  <si>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</si>
  <si>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</si>
  <si>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</si>
  <si>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</si>
  <si>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</si>
  <si>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</si>
  <si>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</si>
  <si>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</si>
  <si>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</si>
  <si>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</si>
  <si>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</si>
  <si>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</si>
  <si>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</si>
  <si>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</si>
  <si>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</si>
  <si>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</si>
  <si>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</si>
  <si>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</si>
  <si>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</si>
  <si>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</si>
  <si>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</si>
  <si>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</si>
  <si>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</si>
  <si>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</si>
  <si>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</si>
  <si>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</si>
  <si>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</si>
  <si>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</si>
  <si>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</si>
  <si>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</si>
  <si>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</si>
  <si>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</si>
  <si>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</si>
  <si>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</si>
  <si>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</si>
  <si>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</si>
  <si>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</si>
  <si>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</si>
  <si>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</si>
  <si>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</si>
  <si>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</si>
  <si>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</si>
  <si>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</si>
  <si>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</si>
  <si>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</si>
  <si>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</si>
  <si>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</si>
  <si>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</si>
  <si>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</si>
  <si>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</si>
  <si>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</si>
  <si>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</si>
  <si>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</si>
  <si>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</si>
  <si>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</si>
  <si>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</si>
  <si>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</si>
  <si>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</si>
  <si>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</si>
  <si>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</si>
  <si>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</si>
  <si>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</si>
  <si>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</si>
  <si>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</si>
  <si>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</si>
  <si>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</si>
  <si>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</si>
  <si>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</si>
  <si>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</si>
  <si>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</si>
  <si>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</si>
  <si>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</si>
  <si>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</si>
  <si>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</si>
  <si>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</si>
  <si>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</si>
  <si>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</si>
  <si>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</si>
  <si>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</si>
  <si>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</si>
  <si>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</si>
  <si>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</si>
  <si>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</si>
  <si>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</si>
  <si>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</si>
  <si>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</si>
  <si>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</si>
  <si>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</si>
  <si>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</si>
  <si>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</si>
  <si>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</si>
  <si>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</si>
  <si>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</si>
  <si>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</si>
  <si>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</si>
  <si>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</si>
  <si>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</si>
  <si>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</si>
  <si>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</si>
  <si>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</si>
  <si>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</si>
  <si>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</si>
  <si>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</si>
  <si>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</si>
  <si>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</si>
  <si>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</si>
  <si>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</si>
  <si>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</si>
  <si>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</si>
  <si>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</si>
  <si>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</si>
  <si>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</si>
  <si>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</si>
  <si>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</si>
  <si>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</si>
  <si>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</si>
  <si>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</si>
  <si>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</si>
  <si>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</si>
  <si>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</si>
  <si>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</si>
  <si>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</si>
  <si>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</si>
  <si>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</si>
  <si>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</si>
  <si>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</si>
  <si>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</si>
  <si>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</si>
  <si>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</si>
  <si>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</si>
  <si>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</si>
  <si>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</si>
  <si>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</si>
  <si>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</si>
  <si>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</si>
  <si>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</si>
  <si>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</si>
  <si>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</si>
  <si>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</si>
  <si>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</si>
  <si>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</si>
  <si>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</si>
  <si>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</si>
  <si>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</si>
  <si>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</si>
  <si>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</si>
  <si>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</si>
  <si>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</si>
  <si>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</si>
  <si>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</si>
  <si>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</si>
  <si>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</si>
  <si>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</si>
  <si>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</si>
  <si>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</si>
  <si>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</si>
  <si>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</si>
  <si>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</si>
  <si>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</si>
  <si>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</si>
  <si>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</si>
  <si>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</si>
  <si>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</si>
  <si>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</si>
  <si>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</si>
  <si>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</si>
  <si>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</si>
  <si>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</si>
  <si>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</si>
  <si>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</si>
  <si>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</si>
  <si>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</si>
  <si>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</si>
  <si>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</si>
  <si>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</si>
  <si>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</si>
  <si>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</si>
  <si>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</si>
  <si>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</si>
  <si>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</si>
  <si>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</si>
  <si>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</si>
  <si>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</si>
  <si>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</si>
  <si>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</si>
  <si>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</si>
  <si>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</si>
  <si>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</si>
  <si>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</si>
  <si>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</si>
  <si>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</si>
  <si>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</si>
  <si>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</si>
  <si>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</si>
  <si>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</si>
  <si>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</si>
  <si>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</si>
  <si>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</si>
  <si>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</si>
  <si>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</si>
  <si>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</si>
  <si>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</si>
  <si>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</si>
  <si>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</si>
  <si>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</si>
  <si>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</si>
  <si>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</si>
  <si>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</si>
  <si>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</si>
  <si>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</si>
  <si>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</si>
  <si>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</si>
  <si>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</si>
  <si>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</si>
  <si>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</si>
  <si>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</si>
  <si>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</si>
  <si>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</si>
  <si>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</si>
  <si>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</si>
  <si>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</si>
  <si>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</si>
  <si>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</si>
  <si>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</si>
  <si>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</si>
  <si>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</si>
  <si>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</si>
  <si>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</si>
  <si>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</si>
  <si>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</si>
  <si>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</si>
  <si>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</si>
  <si>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</si>
  <si>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</si>
  <si>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</si>
  <si>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</si>
  <si>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</si>
  <si>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</si>
  <si>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</si>
  <si>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</si>
  <si>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</si>
  <si>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</si>
  <si>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</si>
  <si>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</si>
  <si>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</si>
  <si>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</si>
  <si>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</si>
  <si>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</si>
  <si>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</si>
  <si>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</si>
  <si>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</si>
  <si>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</si>
  <si>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</si>
  <si>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</si>
  <si>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</si>
  <si>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</si>
  <si>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</si>
  <si>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</si>
  <si>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</si>
  <si>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</si>
  <si>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</si>
  <si>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</si>
  <si>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</si>
  <si>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</si>
  <si>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</si>
  <si>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</si>
  <si>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</si>
  <si>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</si>
  <si>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</si>
  <si>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</si>
  <si>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</si>
  <si>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</si>
  <si>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</si>
  <si>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</si>
  <si>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</si>
  <si>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</si>
  <si>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</si>
  <si>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</si>
  <si>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</si>
  <si>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</si>
  <si>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</si>
  <si>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</si>
  <si>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</si>
  <si>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</si>
  <si>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</si>
  <si>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</si>
  <si>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</si>
  <si>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</si>
  <si>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</si>
  <si>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</si>
  <si>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</si>
  <si>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</si>
  <si>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</si>
  <si>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</si>
  <si>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</si>
  <si>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</si>
  <si>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</si>
  <si>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</si>
  <si>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</si>
  <si>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</si>
  <si>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</si>
  <si>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</si>
  <si>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</si>
  <si>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</si>
  <si>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</si>
  <si>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</si>
  <si>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</si>
  <si>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</si>
  <si>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</si>
  <si>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</si>
  <si>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</si>
  <si>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</si>
  <si>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</si>
  <si>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</si>
  <si>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</si>
  <si>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</si>
  <si>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</si>
  <si>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</si>
  <si>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</si>
  <si>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</si>
  <si>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</si>
  <si>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</si>
  <si>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</si>
  <si>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</si>
  <si>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</si>
  <si>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</si>
  <si>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</si>
  <si>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</si>
  <si>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</si>
  <si>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</si>
  <si>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</si>
  <si>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</si>
  <si>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</si>
  <si>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</si>
  <si>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</si>
  <si>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</si>
  <si>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</si>
  <si>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</si>
  <si>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</si>
  <si>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</si>
  <si>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</si>
  <si>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</si>
  <si>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</si>
  <si>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</si>
  <si>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</si>
  <si>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</si>
  <si>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</si>
  <si>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</si>
  <si>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</si>
  <si>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</si>
  <si>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</si>
  <si>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</si>
  <si>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</si>
  <si>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</si>
  <si>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</si>
  <si>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</si>
  <si>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</si>
  <si>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</si>
  <si>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</si>
  <si>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</si>
  <si>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</si>
  <si>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</si>
  <si>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</si>
  <si>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</si>
  <si>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</si>
  <si>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</si>
  <si>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</si>
  <si>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</si>
  <si>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</si>
  <si>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</si>
  <si>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</si>
  <si>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</si>
  <si>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</si>
  <si>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</si>
  <si>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</si>
  <si>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</si>
  <si>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</si>
  <si>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</si>
  <si>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</si>
  <si>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</si>
  <si>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</si>
  <si>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</si>
  <si>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</si>
  <si>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</si>
  <si>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</si>
  <si>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</si>
  <si>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</si>
  <si>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</si>
  <si>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</si>
  <si>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</si>
  <si>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</si>
  <si>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</si>
  <si>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</si>
  <si>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</si>
  <si>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</si>
  <si>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</si>
  <si>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</si>
  <si>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</si>
  <si>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</si>
  <si>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</si>
  <si>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</si>
  <si>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</si>
  <si>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</si>
  <si>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</si>
  <si>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</si>
  <si>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</si>
  <si>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</si>
  <si>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</si>
  <si>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</si>
  <si>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</si>
  <si>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</si>
  <si>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</si>
  <si>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</si>
  <si>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</si>
  <si>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</si>
  <si>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</si>
  <si>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</si>
  <si>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</si>
  <si>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</si>
  <si>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</si>
  <si>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</si>
  <si>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</si>
  <si>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</si>
  <si>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</si>
  <si>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</si>
  <si>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</si>
  <si>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</si>
  <si>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</si>
  <si>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</si>
  <si>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</si>
  <si>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</si>
  <si>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</si>
  <si>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</si>
  <si>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</si>
  <si>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</si>
  <si>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</si>
  <si>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</si>
  <si>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</si>
  <si>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</si>
  <si>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</si>
  <si>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</si>
  <si>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</si>
  <si>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</si>
  <si>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</si>
  <si>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</si>
  <si>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</si>
  <si>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</si>
  <si>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</si>
  <si>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</si>
  <si>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</si>
  <si>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</si>
  <si>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</si>
  <si>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</si>
  <si>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</si>
  <si>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</si>
  <si>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</si>
  <si>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</si>
  <si>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</si>
  <si>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</si>
  <si>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</si>
  <si>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</si>
  <si>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</si>
  <si>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</si>
  <si>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</si>
  <si>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</si>
  <si>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</si>
  <si>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</si>
  <si>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</si>
  <si>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</si>
  <si>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</si>
  <si>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</si>
  <si>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</si>
  <si>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</si>
  <si>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</si>
  <si>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</si>
  <si>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</si>
  <si>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</si>
  <si>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</si>
  <si>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</si>
  <si>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</si>
  <si>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</si>
  <si>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</si>
  <si>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</si>
  <si>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</si>
  <si>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</si>
  <si>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</si>
  <si>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</si>
  <si>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</si>
  <si>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</si>
  <si>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</si>
  <si>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</si>
  <si>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</si>
  <si>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</si>
  <si>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</si>
  <si>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</si>
  <si>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</si>
  <si>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</si>
  <si>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</si>
  <si>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</si>
  <si>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</si>
  <si>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</si>
  <si>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</si>
  <si>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</si>
  <si>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</si>
  <si>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</si>
  <si>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</si>
  <si>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</si>
  <si>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</si>
  <si>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</si>
  <si>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</si>
  <si>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</si>
  <si>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</si>
  <si>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</si>
  <si>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</si>
  <si>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</si>
  <si>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</si>
  <si>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</si>
  <si>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</si>
  <si>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</si>
  <si>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</si>
  <si>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</si>
  <si>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</si>
  <si>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</si>
  <si>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</si>
  <si>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</si>
  <si>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</si>
  <si>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</si>
  <si>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</si>
  <si>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Chesterfield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</si>
</sst>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0979-C379-4978-95A0-CFDED267BDC4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3" activePane="bottomRight" state="frozen"/>
      <selection pane="topRight" activeCell="F1" sqref="F1"/>
      <selection pane="bottomLeft" activeCell="A4" sqref="A4"/>
      <selection pane="bottomRight" activeCell="F55" sqref="F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95</v>
      </c>
      <c r="C2" s="21">
        <v>95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571948.77+2000-59200.44</f>
        <v>514748.33</v>
      </c>
      <c r="G9" s="18"/>
      <c r="H9" s="18">
        <v>942.81</v>
      </c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184490.93</v>
      </c>
      <c r="G10" s="18"/>
      <c r="H10" s="18"/>
      <c r="I10" s="18"/>
      <c r="J10" s="67">
        <f>SUM(I432)</f>
        <v>227667.62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68144.05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18863.14</v>
      </c>
      <c r="G13" s="18"/>
      <c r="H13" s="18">
        <v>69732.649999999994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197.57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19192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805636.02</v>
      </c>
      <c r="G19" s="41">
        <f>SUM(G9:G18)</f>
        <v>0</v>
      </c>
      <c r="H19" s="41">
        <f>SUM(H9:H18)</f>
        <v>70675.459999999992</v>
      </c>
      <c r="I19" s="41">
        <f>SUM(I9:I18)</f>
        <v>0</v>
      </c>
      <c r="J19" s="41">
        <f>SUM(J9:J18)</f>
        <v>227667.62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68144.05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2567.7199999999998</v>
      </c>
      <c r="G24" s="18"/>
      <c r="H24" s="18">
        <v>647.35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37742.07</v>
      </c>
      <c r="G25" s="18"/>
      <c r="H25" s="18">
        <v>941.25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5674.74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942.81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45984.53</v>
      </c>
      <c r="G33" s="41">
        <f>SUM(G23:G32)</f>
        <v>0</v>
      </c>
      <c r="H33" s="41">
        <f>SUM(H23:H32)</f>
        <v>70675.460000000006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20625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150000</v>
      </c>
      <c r="G41" s="18"/>
      <c r="H41" s="18"/>
      <c r="I41" s="18"/>
      <c r="J41" s="13">
        <f>SUM(I449)</f>
        <v>227667.62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589026.49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759651.49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227667.62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805636.02</v>
      </c>
      <c r="G44" s="41">
        <f>G43+G33</f>
        <v>0</v>
      </c>
      <c r="H44" s="41">
        <f>H43+H33</f>
        <v>70675.460000000006</v>
      </c>
      <c r="I44" s="41">
        <f>I43+I33</f>
        <v>0</v>
      </c>
      <c r="J44" s="41">
        <f>J43+J33</f>
        <v>227667.62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5525581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5525581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39413.64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39413.64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5941.85</v>
      </c>
      <c r="G88" s="18"/>
      <c r="H88" s="18"/>
      <c r="I88" s="18"/>
      <c r="J88" s="18">
        <f>2914.19+1852.08</f>
        <v>4766.2700000000004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51469.22+5047.9+5801.95+6429.4+24.79</f>
        <v>68773.259999999995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395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1300</v>
      </c>
      <c r="G94" s="18"/>
      <c r="H94" s="18">
        <v>2307.19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14853.12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47909.14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12136.43+3416.22</f>
        <v>15552.65</v>
      </c>
      <c r="G102" s="18">
        <v>0.5</v>
      </c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85951.76</v>
      </c>
      <c r="G103" s="41">
        <f>SUM(G88:G102)</f>
        <v>68773.759999999995</v>
      </c>
      <c r="H103" s="41">
        <f>SUM(H88:H102)</f>
        <v>2307.19</v>
      </c>
      <c r="I103" s="41">
        <f>SUM(I88:I102)</f>
        <v>0</v>
      </c>
      <c r="J103" s="41">
        <f>SUM(J88:J102)</f>
        <v>4766.2700000000004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5650946.3999999994</v>
      </c>
      <c r="G104" s="41">
        <f>G52+G103</f>
        <v>68773.759999999995</v>
      </c>
      <c r="H104" s="41">
        <f>H52+H71+H86+H103</f>
        <v>2307.19</v>
      </c>
      <c r="I104" s="41">
        <f>I52+I103</f>
        <v>0</v>
      </c>
      <c r="J104" s="41">
        <f>J52+J103</f>
        <v>4766.2700000000004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826102.42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1132489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316950.58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2275542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415392.04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1539.75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415392.04</v>
      </c>
      <c r="G128" s="41">
        <f>SUM(G115:G127)</f>
        <v>1539.75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2690934.04</v>
      </c>
      <c r="G132" s="41">
        <f>G113+SUM(G128:G129)</f>
        <v>1539.75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f>8179.01+7901.55</f>
        <v>16080.560000000001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38028.74+5912.14</f>
        <v>43940.88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20050.9+3997.6</f>
        <v>24048.5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36127.15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93922.69+459.64+38204.56</f>
        <v>132586.89000000001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70532.289999999994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70532.289999999994</v>
      </c>
      <c r="G154" s="41">
        <f>SUM(G142:G153)</f>
        <v>36127.15</v>
      </c>
      <c r="H154" s="41">
        <f>SUM(H142:H153)</f>
        <v>216656.83000000002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70532.289999999994</v>
      </c>
      <c r="G161" s="41">
        <f>G139+G154+SUM(G155:G160)</f>
        <v>36127.15</v>
      </c>
      <c r="H161" s="41">
        <f>H139+H154+SUM(H155:H160)</f>
        <v>216656.83000000002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19370.25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19370.25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0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0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19370.25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8412412.7299999986</v>
      </c>
      <c r="G185" s="47">
        <f>G104+G132+G161+G184</f>
        <v>125810.91</v>
      </c>
      <c r="H185" s="47">
        <f>H104+H132+H161+H184</f>
        <v>218964.02000000002</v>
      </c>
      <c r="I185" s="47">
        <f>I104+I132+I161+I184</f>
        <v>0</v>
      </c>
      <c r="J185" s="47">
        <f>J104+J132+J184</f>
        <v>4766.2700000000004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1389150.86</v>
      </c>
      <c r="G189" s="18">
        <v>457005.16</v>
      </c>
      <c r="H189" s="18">
        <v>1276.95</v>
      </c>
      <c r="I189" s="18">
        <v>75447.92</v>
      </c>
      <c r="J189" s="18">
        <v>7264.35</v>
      </c>
      <c r="K189" s="18"/>
      <c r="L189" s="19">
        <f>SUM(F189:K189)</f>
        <v>1930145.24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579917.06999999995</v>
      </c>
      <c r="G190" s="18">
        <v>334423.14</v>
      </c>
      <c r="H190" s="18">
        <v>211234.69</v>
      </c>
      <c r="I190" s="18">
        <v>2578.2199999999998</v>
      </c>
      <c r="J190" s="18">
        <v>76.239999999999995</v>
      </c>
      <c r="K190" s="18"/>
      <c r="L190" s="19">
        <f>SUM(F190:K190)</f>
        <v>1128229.3599999999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14820.01+15344.78</f>
        <v>30164.79</v>
      </c>
      <c r="G192" s="18">
        <f>1715.41+2009.38</f>
        <v>3724.79</v>
      </c>
      <c r="H192" s="18">
        <v>6075.83</v>
      </c>
      <c r="I192" s="18">
        <v>2346.06</v>
      </c>
      <c r="J192" s="18">
        <v>1026.4000000000001</v>
      </c>
      <c r="K192" s="18">
        <v>3916.5</v>
      </c>
      <c r="L192" s="19">
        <f>SUM(F192:K192)</f>
        <v>47254.37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43550+45271.47+56351.82+12882+57650.06</f>
        <v>215705.35</v>
      </c>
      <c r="G194" s="18">
        <f>21910.97+7518.72+23955.21+4627.24+15535.43</f>
        <v>73547.570000000007</v>
      </c>
      <c r="H194" s="18">
        <f>7848+343+12750+26053.13+516.4-6722.03</f>
        <v>40788.500000000007</v>
      </c>
      <c r="I194" s="18">
        <f>487.59+1145.7+1434.25+1814.85+187.04</f>
        <v>5069.4299999999994</v>
      </c>
      <c r="J194" s="18">
        <f>712.6+1831.84</f>
        <v>2544.44</v>
      </c>
      <c r="K194" s="18"/>
      <c r="L194" s="19">
        <f t="shared" ref="L194:L200" si="0">SUM(F194:K194)</f>
        <v>337655.29000000004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16135+62149.98</f>
        <v>78284.98000000001</v>
      </c>
      <c r="G195" s="18">
        <f>2472.52+12000+10198.22</f>
        <v>24670.739999999998</v>
      </c>
      <c r="H195" s="18">
        <f>14634.08+3385</f>
        <v>18019.080000000002</v>
      </c>
      <c r="I195" s="18">
        <f>522+10506.49</f>
        <v>11028.49</v>
      </c>
      <c r="J195" s="18"/>
      <c r="K195" s="18">
        <v>318</v>
      </c>
      <c r="L195" s="19">
        <f t="shared" si="0"/>
        <v>132321.29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4692.63+3277</f>
        <v>7969.63</v>
      </c>
      <c r="G196" s="18">
        <f>367.54+259.42</f>
        <v>626.96</v>
      </c>
      <c r="H196" s="18">
        <f>100.64+150+2331.23+7500+7082.25+150+426106</f>
        <v>443420.12</v>
      </c>
      <c r="I196" s="18">
        <v>1458.45</v>
      </c>
      <c r="J196" s="18"/>
      <c r="K196" s="18">
        <v>4053.24</v>
      </c>
      <c r="L196" s="19">
        <f t="shared" si="0"/>
        <v>457528.4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206164.45</v>
      </c>
      <c r="G197" s="18">
        <v>59731.360000000001</v>
      </c>
      <c r="H197" s="18">
        <v>8179.94</v>
      </c>
      <c r="I197" s="18">
        <f>1421.24+1164.56</f>
        <v>2585.8000000000002</v>
      </c>
      <c r="J197" s="18">
        <v>428.28</v>
      </c>
      <c r="K197" s="18">
        <v>759</v>
      </c>
      <c r="L197" s="19">
        <f t="shared" si="0"/>
        <v>277848.83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105239.85</v>
      </c>
      <c r="G199" s="18">
        <v>39399.949999999997</v>
      </c>
      <c r="H199" s="18">
        <v>122127.54</v>
      </c>
      <c r="I199" s="18">
        <v>85762.06</v>
      </c>
      <c r="J199" s="18">
        <v>2288.63</v>
      </c>
      <c r="K199" s="18"/>
      <c r="L199" s="19">
        <f t="shared" si="0"/>
        <v>354818.02999999997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225094.38+55164.58+6735+2000</f>
        <v>288993.96000000002</v>
      </c>
      <c r="I200" s="18"/>
      <c r="J200" s="18"/>
      <c r="K200" s="18"/>
      <c r="L200" s="19">
        <f t="shared" si="0"/>
        <v>288993.96000000002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>
        <v>874.23</v>
      </c>
      <c r="H201" s="18">
        <f>1572.75+18761.47</f>
        <v>20334.22</v>
      </c>
      <c r="I201" s="18">
        <v>18315.29</v>
      </c>
      <c r="J201" s="18">
        <v>14775.03</v>
      </c>
      <c r="K201" s="18"/>
      <c r="L201" s="19">
        <f>SUM(F201:K201)</f>
        <v>54298.770000000004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2612596.9800000004</v>
      </c>
      <c r="G203" s="41">
        <f t="shared" si="1"/>
        <v>994003.9</v>
      </c>
      <c r="H203" s="41">
        <f t="shared" si="1"/>
        <v>1160450.8299999998</v>
      </c>
      <c r="I203" s="41">
        <f t="shared" si="1"/>
        <v>204591.72</v>
      </c>
      <c r="J203" s="41">
        <f t="shared" si="1"/>
        <v>28403.370000000003</v>
      </c>
      <c r="K203" s="41">
        <f t="shared" si="1"/>
        <v>9046.74</v>
      </c>
      <c r="L203" s="41">
        <f t="shared" si="1"/>
        <v>5009093.5399999991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1524795.53</v>
      </c>
      <c r="I225" s="18"/>
      <c r="J225" s="18"/>
      <c r="K225" s="18"/>
      <c r="L225" s="19">
        <f>SUM(F225:K225)</f>
        <v>1524795.53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973580.75</v>
      </c>
      <c r="I226" s="18"/>
      <c r="J226" s="18"/>
      <c r="K226" s="18"/>
      <c r="L226" s="19">
        <f>SUM(F226:K226)</f>
        <v>973580.75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79625.17+46296</f>
        <v>125921.17</v>
      </c>
      <c r="I236" s="18"/>
      <c r="J236" s="18"/>
      <c r="K236" s="18"/>
      <c r="L236" s="19">
        <f t="shared" si="4"/>
        <v>125921.17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2624297.4500000002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2624297.4500000002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2612596.9800000004</v>
      </c>
      <c r="G249" s="41">
        <f t="shared" si="8"/>
        <v>994003.9</v>
      </c>
      <c r="H249" s="41">
        <f t="shared" si="8"/>
        <v>3784748.2800000003</v>
      </c>
      <c r="I249" s="41">
        <f t="shared" si="8"/>
        <v>204591.72</v>
      </c>
      <c r="J249" s="41">
        <f t="shared" si="8"/>
        <v>28403.370000000003</v>
      </c>
      <c r="K249" s="41">
        <f t="shared" si="8"/>
        <v>9046.74</v>
      </c>
      <c r="L249" s="41">
        <f t="shared" si="8"/>
        <v>7633390.9899999993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19370.25</v>
      </c>
      <c r="L255" s="19">
        <f>SUM(F255:K255)</f>
        <v>19370.25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19370.25</v>
      </c>
      <c r="L262" s="41">
        <f t="shared" si="9"/>
        <v>19370.25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2612596.9800000004</v>
      </c>
      <c r="G263" s="42">
        <f t="shared" si="11"/>
        <v>994003.9</v>
      </c>
      <c r="H263" s="42">
        <f t="shared" si="11"/>
        <v>3784748.2800000003</v>
      </c>
      <c r="I263" s="42">
        <f t="shared" si="11"/>
        <v>204591.72</v>
      </c>
      <c r="J263" s="42">
        <f t="shared" si="11"/>
        <v>28403.370000000003</v>
      </c>
      <c r="K263" s="42">
        <f t="shared" si="11"/>
        <v>28416.989999999998</v>
      </c>
      <c r="L263" s="42">
        <f t="shared" si="11"/>
        <v>7652761.2399999993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1680+292.6+28535.51</f>
        <v>30508.109999999997</v>
      </c>
      <c r="G268" s="18">
        <f>150.91+2182.8+125.83+6.31+91.25</f>
        <v>2557.1</v>
      </c>
      <c r="H268" s="18">
        <v>102.58</v>
      </c>
      <c r="I268" s="18">
        <f>216.91+2611.63+762.49+205.65+3151.22+657.3</f>
        <v>7605.2</v>
      </c>
      <c r="J268" s="18">
        <f>5706.45+7901.55</f>
        <v>13608</v>
      </c>
      <c r="K268" s="18"/>
      <c r="L268" s="19">
        <f>SUM(F268:K268)</f>
        <v>54380.99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33354.86+14000</f>
        <v>47354.86</v>
      </c>
      <c r="G269" s="18">
        <f>14633.99+543.78+65.98+143+3477.81+3569.01+152.36</f>
        <v>22585.93</v>
      </c>
      <c r="H269" s="18">
        <v>21695</v>
      </c>
      <c r="I269" s="18"/>
      <c r="J269" s="18"/>
      <c r="K269" s="18"/>
      <c r="L269" s="19">
        <f>SUM(F269:K269)</f>
        <v>91635.790000000008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>
        <v>1530</v>
      </c>
      <c r="I271" s="18"/>
      <c r="J271" s="18"/>
      <c r="K271" s="18"/>
      <c r="L271" s="19">
        <f>SUM(F271:K271)</f>
        <v>1530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f>186.92+250</f>
        <v>436.91999999999996</v>
      </c>
      <c r="I273" s="18"/>
      <c r="J273" s="18"/>
      <c r="K273" s="18">
        <v>295.57</v>
      </c>
      <c r="L273" s="19">
        <f t="shared" ref="L273:L279" si="12">SUM(F273:K273)</f>
        <v>732.49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5650</v>
      </c>
      <c r="G274" s="18">
        <f>432.24+423.2+18.08</f>
        <v>873.5200000000001</v>
      </c>
      <c r="H274" s="18">
        <f>12536.27+3800+2509.56+33488.66+119.89</f>
        <v>52454.380000000005</v>
      </c>
      <c r="I274" s="18"/>
      <c r="J274" s="18"/>
      <c r="K274" s="18"/>
      <c r="L274" s="19">
        <f t="shared" si="12"/>
        <v>58977.900000000009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>
        <v>3858</v>
      </c>
      <c r="I275" s="18"/>
      <c r="J275" s="18"/>
      <c r="K275" s="18"/>
      <c r="L275" s="19">
        <f t="shared" si="12"/>
        <v>3858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7848.85</v>
      </c>
      <c r="L277" s="19">
        <f t="shared" si="12"/>
        <v>7848.85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83512.97</v>
      </c>
      <c r="G282" s="42">
        <f t="shared" si="13"/>
        <v>26016.55</v>
      </c>
      <c r="H282" s="42">
        <f t="shared" si="13"/>
        <v>80076.88</v>
      </c>
      <c r="I282" s="42">
        <f t="shared" si="13"/>
        <v>7605.2</v>
      </c>
      <c r="J282" s="42">
        <f t="shared" si="13"/>
        <v>13608</v>
      </c>
      <c r="K282" s="42">
        <f t="shared" si="13"/>
        <v>8144.42</v>
      </c>
      <c r="L282" s="41">
        <f t="shared" si="13"/>
        <v>218964.02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83512.97</v>
      </c>
      <c r="G330" s="41">
        <f t="shared" si="20"/>
        <v>26016.55</v>
      </c>
      <c r="H330" s="41">
        <f t="shared" si="20"/>
        <v>80076.88</v>
      </c>
      <c r="I330" s="41">
        <f t="shared" si="20"/>
        <v>7605.2</v>
      </c>
      <c r="J330" s="41">
        <f t="shared" si="20"/>
        <v>13608</v>
      </c>
      <c r="K330" s="41">
        <f t="shared" si="20"/>
        <v>8144.42</v>
      </c>
      <c r="L330" s="41">
        <f t="shared" si="20"/>
        <v>218964.02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83512.97</v>
      </c>
      <c r="G344" s="41">
        <f>G330</f>
        <v>26016.55</v>
      </c>
      <c r="H344" s="41">
        <f>H330</f>
        <v>80076.88</v>
      </c>
      <c r="I344" s="41">
        <f>I330</f>
        <v>7605.2</v>
      </c>
      <c r="J344" s="41">
        <f>J330</f>
        <v>13608</v>
      </c>
      <c r="K344" s="47">
        <f>K330+K343</f>
        <v>8144.42</v>
      </c>
      <c r="L344" s="41">
        <f>L330+L343</f>
        <v>218964.02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43638.47</v>
      </c>
      <c r="G350" s="18">
        <f>21883.82+1162.96+168.61+104.12+3082.87+764.61</f>
        <v>27166.989999999998</v>
      </c>
      <c r="H350" s="18">
        <f>7000+2549.52+390.39</f>
        <v>9939.91</v>
      </c>
      <c r="I350" s="18">
        <f>2801.76+40629.78</f>
        <v>43431.54</v>
      </c>
      <c r="J350" s="18"/>
      <c r="K350" s="18">
        <v>1634</v>
      </c>
      <c r="L350" s="13">
        <f>SUM(F350:K350)</f>
        <v>125810.91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43638.47</v>
      </c>
      <c r="G354" s="47">
        <f t="shared" si="22"/>
        <v>27166.989999999998</v>
      </c>
      <c r="H354" s="47">
        <f t="shared" si="22"/>
        <v>9939.91</v>
      </c>
      <c r="I354" s="47">
        <f t="shared" si="22"/>
        <v>43431.54</v>
      </c>
      <c r="J354" s="47">
        <f t="shared" si="22"/>
        <v>0</v>
      </c>
      <c r="K354" s="47">
        <f t="shared" si="22"/>
        <v>1634</v>
      </c>
      <c r="L354" s="47">
        <f t="shared" si="22"/>
        <v>125810.91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40629.78</v>
      </c>
      <c r="G359" s="18"/>
      <c r="H359" s="18"/>
      <c r="I359" s="56">
        <f>SUM(F359:H359)</f>
        <v>40629.78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2801.76</v>
      </c>
      <c r="G360" s="63"/>
      <c r="H360" s="63"/>
      <c r="I360" s="56">
        <f>SUM(F360:H360)</f>
        <v>2801.76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43431.54</v>
      </c>
      <c r="G361" s="47">
        <f>SUM(G359:G360)</f>
        <v>0</v>
      </c>
      <c r="H361" s="47">
        <f>SUM(H359:H360)</f>
        <v>0</v>
      </c>
      <c r="I361" s="47">
        <f>SUM(I359:I360)</f>
        <v>43431.54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1852.08</v>
      </c>
      <c r="I381" s="18"/>
      <c r="J381" s="24" t="s">
        <v>312</v>
      </c>
      <c r="K381" s="24" t="s">
        <v>312</v>
      </c>
      <c r="L381" s="56">
        <f t="shared" si="25"/>
        <v>1852.08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1852.08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1852.08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2914.19</v>
      </c>
      <c r="I390" s="18"/>
      <c r="J390" s="24" t="s">
        <v>312</v>
      </c>
      <c r="K390" s="24" t="s">
        <v>312</v>
      </c>
      <c r="L390" s="56">
        <f t="shared" si="26"/>
        <v>2914.19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2914.19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2914.19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4766.2700000000004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4766.2700000000004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>
        <v>39870.61</v>
      </c>
      <c r="L416" s="56">
        <f t="shared" si="29"/>
        <v>39870.61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39870.61</v>
      </c>
      <c r="L419" s="47">
        <f t="shared" si="30"/>
        <v>39870.61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39870.61</v>
      </c>
      <c r="L426" s="47">
        <f t="shared" si="32"/>
        <v>39870.61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79980.070000000007</v>
      </c>
      <c r="G432" s="18">
        <v>147687.54999999999</v>
      </c>
      <c r="H432" s="18"/>
      <c r="I432" s="56">
        <f t="shared" si="33"/>
        <v>227667.62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79980.070000000007</v>
      </c>
      <c r="G438" s="13">
        <f>SUM(G431:G437)</f>
        <v>147687.54999999999</v>
      </c>
      <c r="H438" s="13">
        <f>SUM(H431:H437)</f>
        <v>0</v>
      </c>
      <c r="I438" s="13">
        <f>SUM(I431:I437)</f>
        <v>227667.62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79980.070000000007</v>
      </c>
      <c r="G449" s="18">
        <v>147687.54999999999</v>
      </c>
      <c r="H449" s="18"/>
      <c r="I449" s="56">
        <f>SUM(F449:H449)</f>
        <v>227667.62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79980.070000000007</v>
      </c>
      <c r="G450" s="83">
        <f>SUM(G446:G449)</f>
        <v>147687.54999999999</v>
      </c>
      <c r="H450" s="83">
        <f>SUM(H446:H449)</f>
        <v>0</v>
      </c>
      <c r="I450" s="83">
        <f>SUM(I446:I449)</f>
        <v>227667.62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79980.070000000007</v>
      </c>
      <c r="G451" s="42">
        <f>G444+G450</f>
        <v>147687.54999999999</v>
      </c>
      <c r="H451" s="42">
        <f>H444+H450</f>
        <v>0</v>
      </c>
      <c r="I451" s="42">
        <f>I444+I450</f>
        <v>227667.62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0</v>
      </c>
      <c r="G455" s="18">
        <v>0</v>
      </c>
      <c r="H455" s="18">
        <v>0</v>
      </c>
      <c r="I455" s="18">
        <v>0</v>
      </c>
      <c r="J455" s="18">
        <v>262771.96000000002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8412412.7300000004</v>
      </c>
      <c r="G458" s="18">
        <v>125810.91</v>
      </c>
      <c r="H458" s="18">
        <v>218964.02</v>
      </c>
      <c r="I458" s="18"/>
      <c r="J458" s="18">
        <f>1852.08+2914.19</f>
        <v>4766.2700000000004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8412412.7300000004</v>
      </c>
      <c r="G460" s="53">
        <f>SUM(G458:G459)</f>
        <v>125810.91</v>
      </c>
      <c r="H460" s="53">
        <f>SUM(H458:H459)</f>
        <v>218964.02</v>
      </c>
      <c r="I460" s="53">
        <f>SUM(I458:I459)</f>
        <v>0</v>
      </c>
      <c r="J460" s="53">
        <f>SUM(J458:J459)</f>
        <v>4766.2700000000004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7652761.2400000002</v>
      </c>
      <c r="G462" s="18">
        <v>125810.91</v>
      </c>
      <c r="H462" s="18">
        <v>218964.02</v>
      </c>
      <c r="I462" s="18"/>
      <c r="J462" s="18">
        <v>39870.61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7652761.2400000002</v>
      </c>
      <c r="G464" s="53">
        <f>SUM(G462:G463)</f>
        <v>125810.91</v>
      </c>
      <c r="H464" s="53">
        <f>SUM(H462:H463)</f>
        <v>218964.02</v>
      </c>
      <c r="I464" s="53">
        <f>SUM(I462:I463)</f>
        <v>0</v>
      </c>
      <c r="J464" s="53">
        <f>SUM(J462:J463)</f>
        <v>39870.61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759651.49000000022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227667.62000000005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206270.22+373646.85+33354.86+14000</f>
        <v>627271.92999999993</v>
      </c>
      <c r="G511" s="18">
        <f>259148.86+13307.47+1969.55+1701.81+41573.68+15154.39+1567.38+14633.99+543.78+65.98+143+3477.81+3569.01+152.36</f>
        <v>357009.06999999995</v>
      </c>
      <c r="H511" s="18">
        <f>155991.43+9.57+55233.69+21695</f>
        <v>232929.69</v>
      </c>
      <c r="I511" s="18">
        <f>943.55+1634.67</f>
        <v>2578.2200000000003</v>
      </c>
      <c r="J511" s="18">
        <v>76.239999999999995</v>
      </c>
      <c r="K511" s="18"/>
      <c r="L511" s="88">
        <f>SUM(F511:K511)</f>
        <v>1219865.1499999999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973580.75</v>
      </c>
      <c r="I513" s="18"/>
      <c r="J513" s="18"/>
      <c r="K513" s="18"/>
      <c r="L513" s="88">
        <f>SUM(F513:K513)</f>
        <v>973580.75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627271.92999999993</v>
      </c>
      <c r="G514" s="108">
        <f t="shared" ref="G514:L514" si="35">SUM(G511:G513)</f>
        <v>357009.06999999995</v>
      </c>
      <c r="H514" s="108">
        <f t="shared" si="35"/>
        <v>1206510.44</v>
      </c>
      <c r="I514" s="108">
        <f t="shared" si="35"/>
        <v>2578.2200000000003</v>
      </c>
      <c r="J514" s="108">
        <f t="shared" si="35"/>
        <v>76.239999999999995</v>
      </c>
      <c r="K514" s="108">
        <f t="shared" si="35"/>
        <v>0</v>
      </c>
      <c r="L514" s="89">
        <f t="shared" si="35"/>
        <v>2193445.9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56351.82+12882+57650.06</f>
        <v>126883.88</v>
      </c>
      <c r="G516" s="18">
        <v>44117.88</v>
      </c>
      <c r="H516" s="18">
        <f>4048+12750+26053.13+516.4-6722.03+3385+186.92+250+2509.56+33488.66</f>
        <v>76465.640000000014</v>
      </c>
      <c r="I516" s="18">
        <f>905.35+528.9+1579.2+235.65+187.04</f>
        <v>3436.14</v>
      </c>
      <c r="J516" s="18">
        <v>1831.84</v>
      </c>
      <c r="K516" s="18"/>
      <c r="L516" s="88">
        <f>SUM(F516:K516)</f>
        <v>252735.38000000003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126883.88</v>
      </c>
      <c r="G519" s="89">
        <f t="shared" ref="G519:L519" si="36">SUM(G516:G518)</f>
        <v>44117.88</v>
      </c>
      <c r="H519" s="89">
        <f t="shared" si="36"/>
        <v>76465.640000000014</v>
      </c>
      <c r="I519" s="89">
        <f t="shared" si="36"/>
        <v>3436.14</v>
      </c>
      <c r="J519" s="89">
        <f t="shared" si="36"/>
        <v>1831.84</v>
      </c>
      <c r="K519" s="89">
        <f t="shared" si="36"/>
        <v>0</v>
      </c>
      <c r="L519" s="89">
        <f t="shared" si="36"/>
        <v>252735.38000000003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f>4515.96+40489</f>
        <v>45004.959999999999</v>
      </c>
      <c r="I521" s="18"/>
      <c r="J521" s="18"/>
      <c r="K521" s="18"/>
      <c r="L521" s="88">
        <f>SUM(F521:K521)</f>
        <v>45004.959999999999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45004.959999999999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45004.959999999999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55164.58</v>
      </c>
      <c r="I531" s="18"/>
      <c r="J531" s="18"/>
      <c r="K531" s="18"/>
      <c r="L531" s="88">
        <f>SUM(F531:K531)</f>
        <v>55164.58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46296</v>
      </c>
      <c r="I533" s="18"/>
      <c r="J533" s="18"/>
      <c r="K533" s="18"/>
      <c r="L533" s="88">
        <f>SUM(F533:K533)</f>
        <v>46296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101460.58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101460.58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754155.80999999994</v>
      </c>
      <c r="G535" s="89">
        <f t="shared" ref="G535:L535" si="40">G514+G519+G524+G529+G534</f>
        <v>401126.94999999995</v>
      </c>
      <c r="H535" s="89">
        <f t="shared" si="40"/>
        <v>1429441.62</v>
      </c>
      <c r="I535" s="89">
        <f t="shared" si="40"/>
        <v>6014.3600000000006</v>
      </c>
      <c r="J535" s="89">
        <f t="shared" si="40"/>
        <v>1908.08</v>
      </c>
      <c r="K535" s="89">
        <f t="shared" si="40"/>
        <v>0</v>
      </c>
      <c r="L535" s="89">
        <f t="shared" si="40"/>
        <v>2592646.8199999998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1219865.1499999999</v>
      </c>
      <c r="G539" s="87">
        <f>L516</f>
        <v>252735.38000000003</v>
      </c>
      <c r="H539" s="87">
        <f>L521</f>
        <v>45004.959999999999</v>
      </c>
      <c r="I539" s="87">
        <f>L526</f>
        <v>0</v>
      </c>
      <c r="J539" s="87">
        <f>L531</f>
        <v>55164.58</v>
      </c>
      <c r="K539" s="87">
        <f>SUM(F539:J539)</f>
        <v>1572770.07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973580.75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46296</v>
      </c>
      <c r="K541" s="87">
        <f>SUM(F541:J541)</f>
        <v>1019876.75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2193445.9</v>
      </c>
      <c r="G542" s="89">
        <f t="shared" si="41"/>
        <v>252735.38000000003</v>
      </c>
      <c r="H542" s="89">
        <f t="shared" si="41"/>
        <v>45004.959999999999</v>
      </c>
      <c r="I542" s="89">
        <f t="shared" si="41"/>
        <v>0</v>
      </c>
      <c r="J542" s="89">
        <f t="shared" si="41"/>
        <v>101460.58</v>
      </c>
      <c r="K542" s="89">
        <f t="shared" si="41"/>
        <v>2592646.8200000003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1524795.53</v>
      </c>
      <c r="I565" s="87">
        <f>SUM(F565:H565)</f>
        <v>1524795.53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55233.69</v>
      </c>
      <c r="G569" s="18"/>
      <c r="H569" s="18">
        <v>626212.92000000004</v>
      </c>
      <c r="I569" s="87">
        <f t="shared" si="46"/>
        <v>681446.6100000001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155991.43</v>
      </c>
      <c r="G572" s="18"/>
      <c r="H572" s="18">
        <v>347367.83</v>
      </c>
      <c r="I572" s="87">
        <f t="shared" si="46"/>
        <v>503359.26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225094.38</v>
      </c>
      <c r="I581" s="18"/>
      <c r="J581" s="18">
        <v>79625.17</v>
      </c>
      <c r="K581" s="104">
        <f t="shared" ref="K581:K587" si="47">SUM(H581:J581)</f>
        <v>304719.55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55164.58</v>
      </c>
      <c r="I582" s="18"/>
      <c r="J582" s="18">
        <v>46296</v>
      </c>
      <c r="K582" s="104">
        <f t="shared" si="47"/>
        <v>101460.58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6735</v>
      </c>
      <c r="I584" s="18"/>
      <c r="J584" s="18"/>
      <c r="K584" s="104">
        <f t="shared" si="47"/>
        <v>6735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2000</v>
      </c>
      <c r="I585" s="18"/>
      <c r="J585" s="18"/>
      <c r="K585" s="104">
        <f t="shared" si="47"/>
        <v>2000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288993.96000000002</v>
      </c>
      <c r="I588" s="108">
        <f>SUM(I581:I587)</f>
        <v>0</v>
      </c>
      <c r="J588" s="108">
        <f>SUM(J581:J587)</f>
        <v>125921.17</v>
      </c>
      <c r="K588" s="108">
        <f>SUM(K581:K587)</f>
        <v>414915.13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42011.37</v>
      </c>
      <c r="I594" s="18"/>
      <c r="J594" s="18"/>
      <c r="K594" s="104">
        <f>SUM(H594:J594)</f>
        <v>42011.37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42011.37</v>
      </c>
      <c r="I595" s="108">
        <f>SUM(I592:I594)</f>
        <v>0</v>
      </c>
      <c r="J595" s="108">
        <f>SUM(J592:J594)</f>
        <v>0</v>
      </c>
      <c r="K595" s="108">
        <f>SUM(K592:K594)</f>
        <v>42011.37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15344.78</v>
      </c>
      <c r="G601" s="18">
        <f>1173.88+794.69+40.81</f>
        <v>2009.38</v>
      </c>
      <c r="H601" s="18"/>
      <c r="I601" s="18"/>
      <c r="J601" s="18"/>
      <c r="K601" s="18"/>
      <c r="L601" s="88">
        <f>SUM(F601:K601)</f>
        <v>17354.16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15344.78</v>
      </c>
      <c r="G604" s="108">
        <f t="shared" si="48"/>
        <v>2009.38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17354.16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805636.02</v>
      </c>
      <c r="H607" s="109">
        <f>SUM(F44)</f>
        <v>805636.02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70675.459999999992</v>
      </c>
      <c r="H609" s="109">
        <f>SUM(H44)</f>
        <v>70675.460000000006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227667.62</v>
      </c>
      <c r="H611" s="109">
        <f>SUM(J44)</f>
        <v>227667.62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759651.49</v>
      </c>
      <c r="H612" s="109">
        <f>F466</f>
        <v>759651.49000000022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227667.62</v>
      </c>
      <c r="H616" s="109">
        <f>J466</f>
        <v>227667.62000000005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8412412.7299999986</v>
      </c>
      <c r="H617" s="104">
        <f>SUM(F458)</f>
        <v>8412412.7300000004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125810.91</v>
      </c>
      <c r="H618" s="104">
        <f>SUM(G458)</f>
        <v>125810.91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218964.02000000002</v>
      </c>
      <c r="H619" s="104">
        <f>SUM(H458)</f>
        <v>218964.02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4766.2700000000004</v>
      </c>
      <c r="H621" s="104">
        <f>SUM(J458)</f>
        <v>4766.2700000000004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7652761.2399999993</v>
      </c>
      <c r="H622" s="104">
        <f>SUM(F462)</f>
        <v>7652761.2400000002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218964.02</v>
      </c>
      <c r="H623" s="104">
        <f>SUM(H462)</f>
        <v>218964.02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43431.54</v>
      </c>
      <c r="H624" s="104">
        <f>I361</f>
        <v>43431.54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125810.91</v>
      </c>
      <c r="H625" s="104">
        <f>SUM(G462)</f>
        <v>125810.91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4766.2700000000004</v>
      </c>
      <c r="H627" s="164">
        <f>SUM(J458)</f>
        <v>4766.2700000000004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39870.61</v>
      </c>
      <c r="H628" s="164">
        <f>SUM(J462)</f>
        <v>39870.61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79980.070000000007</v>
      </c>
      <c r="H629" s="104">
        <f>SUM(F451)</f>
        <v>79980.070000000007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147687.54999999999</v>
      </c>
      <c r="H630" s="104">
        <f>SUM(G451)</f>
        <v>147687.54999999999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227667.62</v>
      </c>
      <c r="H632" s="104">
        <f>SUM(I451)</f>
        <v>227667.62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4766.2700000000004</v>
      </c>
      <c r="H634" s="104">
        <f>H400</f>
        <v>4766.2700000000004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4766.2700000000004</v>
      </c>
      <c r="H636" s="104">
        <f>L400</f>
        <v>4766.2700000000004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414915.13</v>
      </c>
      <c r="H637" s="104">
        <f>L200+L218+L236</f>
        <v>414915.13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42011.37</v>
      </c>
      <c r="H638" s="104">
        <f>(J249+J330)-(J247+J328)</f>
        <v>42011.37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288993.96000000002</v>
      </c>
      <c r="H639" s="104">
        <f>H588</f>
        <v>288993.96000000002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125921.17</v>
      </c>
      <c r="H641" s="104">
        <f>J588</f>
        <v>125921.17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19370.25</v>
      </c>
      <c r="H642" s="104">
        <f>K255+K337</f>
        <v>19370.25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5353868.4699999988</v>
      </c>
      <c r="G650" s="19">
        <f>(L221+L301+L351)</f>
        <v>0</v>
      </c>
      <c r="H650" s="19">
        <f>(L239+L320+L352)</f>
        <v>2624297.4500000002</v>
      </c>
      <c r="I650" s="19">
        <f>SUM(F650:H650)</f>
        <v>7978165.919999999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68773.759999999995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68773.759999999995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288993.96000000002</v>
      </c>
      <c r="G652" s="19">
        <f>(L218+L298)-(J218+J298)</f>
        <v>0</v>
      </c>
      <c r="H652" s="19">
        <f>(L236+L317)-(J236+J317)</f>
        <v>125921.17</v>
      </c>
      <c r="I652" s="19">
        <f>SUM(F652:H652)</f>
        <v>414915.13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270590.64999999997</v>
      </c>
      <c r="G653" s="200">
        <f>SUM(G565:G577)+SUM(I592:I594)+L602</f>
        <v>0</v>
      </c>
      <c r="H653" s="200">
        <f>SUM(H565:H577)+SUM(J592:J594)+L603</f>
        <v>2498376.2800000003</v>
      </c>
      <c r="I653" s="19">
        <f>SUM(F653:H653)</f>
        <v>2768966.93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4725510.0999999987</v>
      </c>
      <c r="G654" s="19">
        <f>G650-SUM(G651:G653)</f>
        <v>0</v>
      </c>
      <c r="H654" s="19">
        <f>H650-SUM(H651:H653)</f>
        <v>0</v>
      </c>
      <c r="I654" s="19">
        <f>I650-SUM(I651:I653)</f>
        <v>4725510.0999999987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348.75</v>
      </c>
      <c r="G655" s="249"/>
      <c r="H655" s="249"/>
      <c r="I655" s="19">
        <f>SUM(F655:H655)</f>
        <v>348.75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13549.85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13549.85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13549.85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13549.85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6F68-8009-41D6-95FA-2CC075794C50}">
  <sheetPr>
    <tabColor indexed="20"/>
  </sheetPr>
  <dimension ref="A1:C52"/>
  <sheetViews>
    <sheetView workbookViewId="0">
      <selection activeCell="B41" sqref="B4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Chesterfield SD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1419658.9700000002</v>
      </c>
      <c r="C9" s="230">
        <f>'DOE25'!G189+'DOE25'!G207+'DOE25'!G225+'DOE25'!G268+'DOE25'!G287+'DOE25'!G306</f>
        <v>459562.25999999995</v>
      </c>
    </row>
    <row r="10" spans="1:3" x14ac:dyDescent="0.2">
      <c r="A10" t="s">
        <v>813</v>
      </c>
      <c r="B10" s="241">
        <v>1390830.86</v>
      </c>
      <c r="C10" s="241">
        <v>450230.22</v>
      </c>
    </row>
    <row r="11" spans="1:3" x14ac:dyDescent="0.2">
      <c r="A11" t="s">
        <v>814</v>
      </c>
      <c r="B11" s="241">
        <v>28828.11</v>
      </c>
      <c r="C11" s="241">
        <v>9332.0400000000009</v>
      </c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1419658.9700000002</v>
      </c>
      <c r="C13" s="232">
        <f>SUM(C10:C12)</f>
        <v>459562.25999999995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627271.92999999993</v>
      </c>
      <c r="C18" s="230">
        <f>'DOE25'!G190+'DOE25'!G208+'DOE25'!G226+'DOE25'!G269+'DOE25'!G288+'DOE25'!G307</f>
        <v>357009.07</v>
      </c>
    </row>
    <row r="19" spans="1:3" x14ac:dyDescent="0.2">
      <c r="A19" t="s">
        <v>813</v>
      </c>
      <c r="B19" s="241">
        <v>253625.08</v>
      </c>
      <c r="C19" s="241">
        <v>144349.6</v>
      </c>
    </row>
    <row r="20" spans="1:3" x14ac:dyDescent="0.2">
      <c r="A20" t="s">
        <v>814</v>
      </c>
      <c r="B20" s="241">
        <v>373646.85</v>
      </c>
      <c r="C20" s="241">
        <v>212659.47</v>
      </c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627271.92999999993</v>
      </c>
      <c r="C22" s="232">
        <f>SUM(C19:C21)</f>
        <v>357009.07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30164.79</v>
      </c>
      <c r="C36" s="236">
        <f>'DOE25'!G192+'DOE25'!G210+'DOE25'!G228+'DOE25'!G271+'DOE25'!G290+'DOE25'!G309</f>
        <v>3724.79</v>
      </c>
    </row>
    <row r="37" spans="1:3" x14ac:dyDescent="0.2">
      <c r="A37" t="s">
        <v>813</v>
      </c>
      <c r="B37" s="241">
        <v>28194.79</v>
      </c>
      <c r="C37" s="241">
        <v>3481.53</v>
      </c>
    </row>
    <row r="38" spans="1:3" x14ac:dyDescent="0.2">
      <c r="A38" t="s">
        <v>814</v>
      </c>
      <c r="B38" s="241">
        <v>1970</v>
      </c>
      <c r="C38" s="241">
        <v>243.26</v>
      </c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30164.79</v>
      </c>
      <c r="C40" s="232">
        <f>SUM(C37:C39)</f>
        <v>3724.79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D9AFB-3CAA-464A-8F03-7436AB0EC80F}">
  <sheetPr>
    <tabColor indexed="11"/>
  </sheetPr>
  <dimension ref="A1:I51"/>
  <sheetViews>
    <sheetView zoomScale="120" workbookViewId="0">
      <pane ySplit="4" topLeftCell="A5" activePane="bottomLeft" state="frozen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Chesterfield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5604005.25</v>
      </c>
      <c r="D5" s="20">
        <f>SUM('DOE25'!L189:L192)+SUM('DOE25'!L207:L210)+SUM('DOE25'!L225:L228)-F5-G5</f>
        <v>5591721.7599999998</v>
      </c>
      <c r="E5" s="244"/>
      <c r="F5" s="256">
        <f>SUM('DOE25'!J189:J192)+SUM('DOE25'!J207:J210)+SUM('DOE25'!J225:J228)</f>
        <v>8366.99</v>
      </c>
      <c r="G5" s="53">
        <f>SUM('DOE25'!K189:K192)+SUM('DOE25'!K207:K210)+SUM('DOE25'!K225:K228)</f>
        <v>3916.5</v>
      </c>
      <c r="H5" s="260"/>
    </row>
    <row r="6" spans="1:9" x14ac:dyDescent="0.2">
      <c r="A6" s="32">
        <v>2100</v>
      </c>
      <c r="B6" t="s">
        <v>835</v>
      </c>
      <c r="C6" s="246">
        <f t="shared" si="0"/>
        <v>337655.29000000004</v>
      </c>
      <c r="D6" s="20">
        <f>'DOE25'!L194+'DOE25'!L212+'DOE25'!L230-F6-G6</f>
        <v>335110.85000000003</v>
      </c>
      <c r="E6" s="244"/>
      <c r="F6" s="256">
        <f>'DOE25'!J194+'DOE25'!J212+'DOE25'!J230</f>
        <v>2544.44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132321.29</v>
      </c>
      <c r="D7" s="20">
        <f>'DOE25'!L195+'DOE25'!L213+'DOE25'!L231-F7-G7</f>
        <v>132003.29</v>
      </c>
      <c r="E7" s="244"/>
      <c r="F7" s="256">
        <f>'DOE25'!J195+'DOE25'!J213+'DOE25'!J231</f>
        <v>0</v>
      </c>
      <c r="G7" s="53">
        <f>'DOE25'!K195+'DOE25'!K213+'DOE25'!K231</f>
        <v>318</v>
      </c>
      <c r="H7" s="260"/>
    </row>
    <row r="8" spans="1:9" x14ac:dyDescent="0.2">
      <c r="A8" s="32">
        <v>2300</v>
      </c>
      <c r="B8" t="s">
        <v>836</v>
      </c>
      <c r="C8" s="246">
        <f t="shared" si="0"/>
        <v>328648.90000000002</v>
      </c>
      <c r="D8" s="244"/>
      <c r="E8" s="20">
        <f>'DOE25'!L196+'DOE25'!L214+'DOE25'!L232-F8-G8-D9-D11</f>
        <v>324595.66000000003</v>
      </c>
      <c r="F8" s="256">
        <f>'DOE25'!J196+'DOE25'!J214+'DOE25'!J232</f>
        <v>0</v>
      </c>
      <c r="G8" s="53">
        <f>'DOE25'!K196+'DOE25'!K214+'DOE25'!K232</f>
        <v>4053.24</v>
      </c>
      <c r="H8" s="260"/>
    </row>
    <row r="9" spans="1:9" x14ac:dyDescent="0.2">
      <c r="A9" s="32">
        <v>2310</v>
      </c>
      <c r="B9" t="s">
        <v>852</v>
      </c>
      <c r="C9" s="246">
        <f t="shared" si="0"/>
        <v>10672.5</v>
      </c>
      <c r="D9" s="245">
        <v>10672.5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7500</v>
      </c>
      <c r="D10" s="244"/>
      <c r="E10" s="245">
        <v>7500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118207</v>
      </c>
      <c r="D11" s="245">
        <v>118207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277848.83</v>
      </c>
      <c r="D12" s="20">
        <f>'DOE25'!L197+'DOE25'!L215+'DOE25'!L233-F12-G12</f>
        <v>276661.55</v>
      </c>
      <c r="E12" s="244"/>
      <c r="F12" s="256">
        <f>'DOE25'!J197+'DOE25'!J215+'DOE25'!J233</f>
        <v>428.28</v>
      </c>
      <c r="G12" s="53">
        <f>'DOE25'!K197+'DOE25'!K215+'DOE25'!K233</f>
        <v>759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354818.02999999997</v>
      </c>
      <c r="D14" s="20">
        <f>'DOE25'!L199+'DOE25'!L217+'DOE25'!L235-F14-G14</f>
        <v>352529.39999999997</v>
      </c>
      <c r="E14" s="244"/>
      <c r="F14" s="256">
        <f>'DOE25'!J199+'DOE25'!J217+'DOE25'!J235</f>
        <v>2288.63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414915.13</v>
      </c>
      <c r="D15" s="20">
        <f>'DOE25'!L200+'DOE25'!L218+'DOE25'!L236-F15-G15</f>
        <v>414915.13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54298.770000000004</v>
      </c>
      <c r="D16" s="244"/>
      <c r="E16" s="20">
        <f>'DOE25'!L201+'DOE25'!L219+'DOE25'!L237-F16-G16</f>
        <v>39523.740000000005</v>
      </c>
      <c r="F16" s="256">
        <f>'DOE25'!J201+'DOE25'!J219+'DOE25'!J237</f>
        <v>14775.03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85181.13</v>
      </c>
      <c r="D29" s="20">
        <f>'DOE25'!L350+'DOE25'!L351+'DOE25'!L352-'DOE25'!I359-F29-G29</f>
        <v>83547.13</v>
      </c>
      <c r="E29" s="244"/>
      <c r="F29" s="256">
        <f>'DOE25'!J350+'DOE25'!J351+'DOE25'!J352</f>
        <v>0</v>
      </c>
      <c r="G29" s="53">
        <f>'DOE25'!K350+'DOE25'!K351+'DOE25'!K352</f>
        <v>1634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218964.02</v>
      </c>
      <c r="D31" s="20">
        <f>'DOE25'!L282+'DOE25'!L301+'DOE25'!L320+'DOE25'!L325+'DOE25'!L326+'DOE25'!L327-F31-G31</f>
        <v>197211.59999999998</v>
      </c>
      <c r="E31" s="244"/>
      <c r="F31" s="256">
        <f>'DOE25'!J282+'DOE25'!J301+'DOE25'!J320+'DOE25'!J325+'DOE25'!J326+'DOE25'!J327</f>
        <v>13608</v>
      </c>
      <c r="G31" s="53">
        <f>'DOE25'!K282+'DOE25'!K301+'DOE25'!K320+'DOE25'!K325+'DOE25'!K326+'DOE25'!K327</f>
        <v>8144.42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7512580.209999999</v>
      </c>
      <c r="E33" s="247">
        <f>SUM(E5:E31)</f>
        <v>371619.4</v>
      </c>
      <c r="F33" s="247">
        <f>SUM(F5:F31)</f>
        <v>42011.37</v>
      </c>
      <c r="G33" s="247">
        <f>SUM(G5:G31)</f>
        <v>18825.16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371619.4</v>
      </c>
      <c r="E35" s="250"/>
    </row>
    <row r="36" spans="2:8" ht="12" thickTop="1" x14ac:dyDescent="0.2">
      <c r="B36" t="s">
        <v>849</v>
      </c>
      <c r="D36" s="20">
        <f>D33</f>
        <v>7512580.209999999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1912-DEA0-4DCD-A60D-6A04DA055332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Chesterfield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514748.33</v>
      </c>
      <c r="D9" s="95">
        <f>'DOE25'!G9</f>
        <v>0</v>
      </c>
      <c r="E9" s="95">
        <f>'DOE25'!H9</f>
        <v>942.81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184490.93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227667.62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68144.05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18863.14</v>
      </c>
      <c r="D13" s="95">
        <f>'DOE25'!G13</f>
        <v>0</v>
      </c>
      <c r="E13" s="95">
        <f>'DOE25'!H13</f>
        <v>69732.649999999994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197.57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19192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805636.02</v>
      </c>
      <c r="D19" s="41">
        <f>SUM(D9:D18)</f>
        <v>0</v>
      </c>
      <c r="E19" s="41">
        <f>SUM(E9:E18)</f>
        <v>70675.459999999992</v>
      </c>
      <c r="F19" s="41">
        <f>SUM(F9:F18)</f>
        <v>0</v>
      </c>
      <c r="G19" s="41">
        <f>SUM(G9:G18)</f>
        <v>227667.62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68144.05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2567.7199999999998</v>
      </c>
      <c r="D23" s="95">
        <f>'DOE25'!G24</f>
        <v>0</v>
      </c>
      <c r="E23" s="95">
        <f>'DOE25'!H24</f>
        <v>647.35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37742.07</v>
      </c>
      <c r="D24" s="95">
        <f>'DOE25'!G25</f>
        <v>0</v>
      </c>
      <c r="E24" s="95">
        <f>'DOE25'!H25</f>
        <v>941.25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5674.74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942.81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45984.53</v>
      </c>
      <c r="D32" s="41">
        <f>SUM(D22:D31)</f>
        <v>0</v>
      </c>
      <c r="E32" s="41">
        <f>SUM(E22:E31)</f>
        <v>70675.460000000006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20625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150000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227667.62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589026.49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759651.49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227667.62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805636.02</v>
      </c>
      <c r="D43" s="41">
        <f>D42+D32</f>
        <v>0</v>
      </c>
      <c r="E43" s="41">
        <f>E42+E32</f>
        <v>70675.460000000006</v>
      </c>
      <c r="F43" s="41">
        <f>F42+F32</f>
        <v>0</v>
      </c>
      <c r="G43" s="41">
        <f>G42+G32</f>
        <v>227667.62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5525581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39413.64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5941.85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4766.2700000000004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68773.259999999995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80009.91</v>
      </c>
      <c r="D53" s="95">
        <f>SUM('DOE25'!G90:G102)</f>
        <v>0.5</v>
      </c>
      <c r="E53" s="95">
        <f>SUM('DOE25'!H90:H102)</f>
        <v>2307.19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125365.4</v>
      </c>
      <c r="D54" s="130">
        <f>SUM(D49:D53)</f>
        <v>68773.759999999995</v>
      </c>
      <c r="E54" s="130">
        <f>SUM(E49:E53)</f>
        <v>2307.19</v>
      </c>
      <c r="F54" s="130">
        <f>SUM(F49:F53)</f>
        <v>0</v>
      </c>
      <c r="G54" s="130">
        <f>SUM(G49:G53)</f>
        <v>4766.2700000000004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5650946.4000000004</v>
      </c>
      <c r="D55" s="22">
        <f>D48+D54</f>
        <v>68773.759999999995</v>
      </c>
      <c r="E55" s="22">
        <f>E48+E54</f>
        <v>2307.19</v>
      </c>
      <c r="F55" s="22">
        <f>F48+F54</f>
        <v>0</v>
      </c>
      <c r="G55" s="22">
        <f>G48+G54</f>
        <v>4766.2700000000004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826102.42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1132489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316950.58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2275542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415392.04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1539.75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415392.04</v>
      </c>
      <c r="D70" s="130">
        <f>SUM(D64:D69)</f>
        <v>1539.75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2690934.04</v>
      </c>
      <c r="D73" s="130">
        <f>SUM(D71:D72)+D70+D62</f>
        <v>1539.75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16080.560000000001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70532.289999999994</v>
      </c>
      <c r="D80" s="95">
        <f>SUM('DOE25'!G145:G153)</f>
        <v>36127.15</v>
      </c>
      <c r="E80" s="95">
        <f>SUM('DOE25'!H145:H153)</f>
        <v>200576.27000000002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70532.289999999994</v>
      </c>
      <c r="D83" s="131">
        <f>SUM(D77:D82)</f>
        <v>36127.15</v>
      </c>
      <c r="E83" s="131">
        <f>SUM(E77:E82)</f>
        <v>216656.83000000002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19370.25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19370.25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8412412.7300000004</v>
      </c>
      <c r="D96" s="86">
        <f>D55+D73+D83+D95</f>
        <v>125810.91</v>
      </c>
      <c r="E96" s="86">
        <f>E55+E73+E83+E95</f>
        <v>218964.02000000002</v>
      </c>
      <c r="F96" s="86">
        <f>F55+F73+F83+F95</f>
        <v>0</v>
      </c>
      <c r="G96" s="86">
        <f>G55+G73+G95</f>
        <v>4766.2700000000004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3454940.77</v>
      </c>
      <c r="D101" s="24" t="s">
        <v>312</v>
      </c>
      <c r="E101" s="95">
        <f>('DOE25'!L268)+('DOE25'!L287)+('DOE25'!L306)</f>
        <v>54380.99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2101810.11</v>
      </c>
      <c r="D102" s="24" t="s">
        <v>312</v>
      </c>
      <c r="E102" s="95">
        <f>('DOE25'!L269)+('DOE25'!L288)+('DOE25'!L307)</f>
        <v>91635.790000000008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47254.37</v>
      </c>
      <c r="D104" s="24" t="s">
        <v>312</v>
      </c>
      <c r="E104" s="95">
        <f>+('DOE25'!L271)+('DOE25'!L290)+('DOE25'!L309)</f>
        <v>1530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5604005.25</v>
      </c>
      <c r="D107" s="86">
        <f>SUM(D101:D106)</f>
        <v>0</v>
      </c>
      <c r="E107" s="86">
        <f>SUM(E101:E106)</f>
        <v>147546.78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337655.29000000004</v>
      </c>
      <c r="D110" s="24" t="s">
        <v>312</v>
      </c>
      <c r="E110" s="95">
        <f>+('DOE25'!L273)+('DOE25'!L292)+('DOE25'!L311)</f>
        <v>732.49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132321.29</v>
      </c>
      <c r="D111" s="24" t="s">
        <v>312</v>
      </c>
      <c r="E111" s="95">
        <f>+('DOE25'!L274)+('DOE25'!L293)+('DOE25'!L312)</f>
        <v>58977.900000000009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457528.4</v>
      </c>
      <c r="D112" s="24" t="s">
        <v>312</v>
      </c>
      <c r="E112" s="95">
        <f>+('DOE25'!L275)+('DOE25'!L294)+('DOE25'!L313)</f>
        <v>3858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277848.83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7848.85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354818.02999999997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414915.13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54298.770000000004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125810.91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2029385.7400000002</v>
      </c>
      <c r="D120" s="86">
        <f>SUM(D110:D119)</f>
        <v>125810.91</v>
      </c>
      <c r="E120" s="86">
        <f>SUM(E110:E119)</f>
        <v>71417.240000000005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39870.61</v>
      </c>
    </row>
    <row r="127" spans="1:7" x14ac:dyDescent="0.2">
      <c r="A127" t="s">
        <v>256</v>
      </c>
      <c r="B127" s="32" t="s">
        <v>257</v>
      </c>
      <c r="C127" s="95">
        <f>'DOE25'!L255</f>
        <v>19370.25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1852.08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2914.19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-4766.2700000000004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19370.25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39870.61</v>
      </c>
    </row>
    <row r="137" spans="1:9" ht="12.75" thickTop="1" thickBot="1" x14ac:dyDescent="0.25">
      <c r="A137" s="33" t="s">
        <v>267</v>
      </c>
      <c r="C137" s="86">
        <f>(C107+C120+C136)</f>
        <v>7652761.2400000002</v>
      </c>
      <c r="D137" s="86">
        <f>(D107+D120+D136)</f>
        <v>125810.91</v>
      </c>
      <c r="E137" s="86">
        <f>(E107+E120+E136)</f>
        <v>218964.02000000002</v>
      </c>
      <c r="F137" s="86">
        <f>(F107+F120+F136)</f>
        <v>0</v>
      </c>
      <c r="G137" s="86">
        <f>(G107+G120+G136)</f>
        <v>39870.61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AFCF-CA5E-4EA1-B7E3-E6A4AA84FFC9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Chesterfield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13550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13550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3509322</v>
      </c>
      <c r="D10" s="182">
        <f>ROUND((C10/$C$28)*100,1)</f>
        <v>44.4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2193446</v>
      </c>
      <c r="D11" s="182">
        <f>ROUND((C11/$C$28)*100,1)</f>
        <v>27.7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48784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338388</v>
      </c>
      <c r="D15" s="182">
        <f t="shared" ref="D15:D27" si="0">ROUND((C15/$C$28)*100,1)</f>
        <v>4.3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191299</v>
      </c>
      <c r="D16" s="182">
        <f t="shared" si="0"/>
        <v>2.4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515685</v>
      </c>
      <c r="D17" s="182">
        <f t="shared" si="0"/>
        <v>6.5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277849</v>
      </c>
      <c r="D18" s="182">
        <f t="shared" si="0"/>
        <v>3.5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7849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354818</v>
      </c>
      <c r="D20" s="182">
        <f t="shared" si="0"/>
        <v>4.5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414915</v>
      </c>
      <c r="D21" s="182">
        <f t="shared" si="0"/>
        <v>5.2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57037.240000000005</v>
      </c>
      <c r="D27" s="182">
        <f t="shared" si="0"/>
        <v>0.7</v>
      </c>
    </row>
    <row r="28" spans="1:4" x14ac:dyDescent="0.2">
      <c r="B28" s="187" t="s">
        <v>754</v>
      </c>
      <c r="C28" s="180">
        <f>SUM(C10:C27)</f>
        <v>7909392.2400000002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7909392.2400000002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5525581</v>
      </c>
      <c r="D35" s="182">
        <f t="shared" ref="D35:D40" si="1">ROUND((C35/$C$41)*100,1)</f>
        <v>63.7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132438.8599999994</v>
      </c>
      <c r="D36" s="182">
        <f t="shared" si="1"/>
        <v>1.5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1958591</v>
      </c>
      <c r="D37" s="182">
        <f t="shared" si="1"/>
        <v>22.6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733882</v>
      </c>
      <c r="D38" s="182">
        <f t="shared" si="1"/>
        <v>8.5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323316</v>
      </c>
      <c r="D39" s="182">
        <f t="shared" si="1"/>
        <v>3.7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8673808.8599999994</v>
      </c>
      <c r="D41" s="184">
        <f>SUM(D35:D40)</f>
        <v>100.00000000000001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A733-ADD5-4662-8A2D-EE7DE3F2C4A6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Chesterfield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2010-10-15T14:26:36Z</cp:lastPrinted>
  <dcterms:created xsi:type="dcterms:W3CDTF">1997-12-04T19:04:30Z</dcterms:created>
  <dcterms:modified xsi:type="dcterms:W3CDTF">2025-01-02T14:24:29Z</dcterms:modified>
</cp:coreProperties>
</file>