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38A99714-1410-49D8-B423-111A3B0AE875}" xr6:coauthVersionLast="47" xr6:coauthVersionMax="47" xr10:uidLastSave="{00000000-0000-0000-0000-000000000000}"/>
  <workbookProtection workbookPassword="B70A" lockStructure="1"/>
  <bookViews>
    <workbookView xWindow="1860" yWindow="1860" windowWidth="21600" windowHeight="11505" tabRatio="855" xr2:uid="{1ACED219-D971-4BAA-82C2-872DC44DA46B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2" l="1"/>
  <c r="C39" i="12"/>
  <c r="B20" i="12"/>
  <c r="B19" i="12"/>
  <c r="B22" i="12" s="1"/>
  <c r="H273" i="1"/>
  <c r="L273" i="1" s="1"/>
  <c r="E110" i="2" s="1"/>
  <c r="B37" i="12"/>
  <c r="B40" i="12" s="1"/>
  <c r="C20" i="12"/>
  <c r="C21" i="12"/>
  <c r="B10" i="12"/>
  <c r="B12" i="12"/>
  <c r="C12" i="12" s="1"/>
  <c r="B11" i="12"/>
  <c r="C11" i="12" s="1"/>
  <c r="F350" i="1"/>
  <c r="H127" i="1"/>
  <c r="H23" i="1"/>
  <c r="E22" i="2" s="1"/>
  <c r="E32" i="2" s="1"/>
  <c r="G463" i="1"/>
  <c r="G464" i="1" s="1"/>
  <c r="G601" i="1"/>
  <c r="G604" i="1" s="1"/>
  <c r="H585" i="1"/>
  <c r="H360" i="1"/>
  <c r="H361" i="1" s="1"/>
  <c r="F360" i="1"/>
  <c r="F361" i="1" s="1"/>
  <c r="G41" i="1"/>
  <c r="G43" i="1" s="1"/>
  <c r="F42" i="1"/>
  <c r="F29" i="1"/>
  <c r="C28" i="2" s="1"/>
  <c r="C32" i="2" s="1"/>
  <c r="H431" i="1"/>
  <c r="H388" i="1"/>
  <c r="H392" i="1"/>
  <c r="H102" i="1"/>
  <c r="H103" i="1" s="1"/>
  <c r="H147" i="1"/>
  <c r="H146" i="1"/>
  <c r="J594" i="1"/>
  <c r="H594" i="1"/>
  <c r="H595" i="1" s="1"/>
  <c r="E10" i="13"/>
  <c r="D39" i="13" s="1"/>
  <c r="G189" i="1"/>
  <c r="C9" i="12" s="1"/>
  <c r="G190" i="1"/>
  <c r="C18" i="12" s="1"/>
  <c r="C19" i="12" s="1"/>
  <c r="C22" i="12" s="1"/>
  <c r="H533" i="1"/>
  <c r="H534" i="1" s="1"/>
  <c r="H523" i="1"/>
  <c r="H521" i="1"/>
  <c r="H531" i="1"/>
  <c r="I516" i="1"/>
  <c r="I519" i="1" s="1"/>
  <c r="H516" i="1"/>
  <c r="H519" i="1" s="1"/>
  <c r="F516" i="1"/>
  <c r="J516" i="1"/>
  <c r="G516" i="1"/>
  <c r="I513" i="1"/>
  <c r="I514" i="1" s="1"/>
  <c r="I535" i="1" s="1"/>
  <c r="H513" i="1"/>
  <c r="H514" i="1" s="1"/>
  <c r="G513" i="1"/>
  <c r="F513" i="1"/>
  <c r="I511" i="1"/>
  <c r="H511" i="1"/>
  <c r="G511" i="1"/>
  <c r="F511" i="1"/>
  <c r="F514" i="1" s="1"/>
  <c r="F492" i="1"/>
  <c r="B155" i="2" s="1"/>
  <c r="G155" i="2" s="1"/>
  <c r="F488" i="1"/>
  <c r="I350" i="1"/>
  <c r="H350" i="1"/>
  <c r="G350" i="1"/>
  <c r="I273" i="1"/>
  <c r="G273" i="1"/>
  <c r="F273" i="1"/>
  <c r="H190" i="1"/>
  <c r="I311" i="1"/>
  <c r="K306" i="1"/>
  <c r="I306" i="1"/>
  <c r="I320" i="1"/>
  <c r="H274" i="1"/>
  <c r="H279" i="1"/>
  <c r="L279" i="1"/>
  <c r="I274" i="1"/>
  <c r="G274" i="1"/>
  <c r="F274" i="1"/>
  <c r="G275" i="1"/>
  <c r="F275" i="1"/>
  <c r="G271" i="1"/>
  <c r="F271" i="1"/>
  <c r="F282" i="1" s="1"/>
  <c r="F330" i="1" s="1"/>
  <c r="F344" i="1" s="1"/>
  <c r="L271" i="1"/>
  <c r="E104" i="2" s="1"/>
  <c r="K275" i="1"/>
  <c r="H236" i="1"/>
  <c r="J235" i="1"/>
  <c r="I235" i="1"/>
  <c r="H235" i="1"/>
  <c r="G235" i="1"/>
  <c r="F235" i="1"/>
  <c r="L235" i="1" s="1"/>
  <c r="K233" i="1"/>
  <c r="J233" i="1"/>
  <c r="I233" i="1"/>
  <c r="H233" i="1"/>
  <c r="G233" i="1"/>
  <c r="F233" i="1"/>
  <c r="L233" i="1" s="1"/>
  <c r="H232" i="1"/>
  <c r="K232" i="1"/>
  <c r="I232" i="1"/>
  <c r="G232" i="1"/>
  <c r="F232" i="1"/>
  <c r="L232" i="1" s="1"/>
  <c r="I231" i="1"/>
  <c r="L231" i="1" s="1"/>
  <c r="H231" i="1"/>
  <c r="G231" i="1"/>
  <c r="F231" i="1"/>
  <c r="K231" i="1"/>
  <c r="K230" i="1"/>
  <c r="K239" i="1" s="1"/>
  <c r="J230" i="1"/>
  <c r="J239" i="1" s="1"/>
  <c r="I230" i="1"/>
  <c r="H230" i="1"/>
  <c r="G230" i="1"/>
  <c r="F230" i="1"/>
  <c r="G228" i="1"/>
  <c r="F228" i="1"/>
  <c r="K228" i="1"/>
  <c r="I228" i="1"/>
  <c r="I226" i="1"/>
  <c r="H226" i="1"/>
  <c r="H239" i="1" s="1"/>
  <c r="G226" i="1"/>
  <c r="G239" i="1" s="1"/>
  <c r="F226" i="1"/>
  <c r="L226" i="1" s="1"/>
  <c r="J225" i="1"/>
  <c r="I225" i="1"/>
  <c r="I239" i="1" s="1"/>
  <c r="H225" i="1"/>
  <c r="G225" i="1"/>
  <c r="F225" i="1"/>
  <c r="B9" i="12" s="1"/>
  <c r="F239" i="1"/>
  <c r="K255" i="1"/>
  <c r="H200" i="1"/>
  <c r="K199" i="1"/>
  <c r="J199" i="1"/>
  <c r="F14" i="13" s="1"/>
  <c r="I199" i="1"/>
  <c r="H199" i="1"/>
  <c r="G199" i="1"/>
  <c r="F199" i="1"/>
  <c r="K197" i="1"/>
  <c r="G12" i="13"/>
  <c r="F12" i="13"/>
  <c r="I197" i="1"/>
  <c r="H197" i="1"/>
  <c r="G197" i="1"/>
  <c r="L197" i="1" s="1"/>
  <c r="F197" i="1"/>
  <c r="H196" i="1"/>
  <c r="K196" i="1"/>
  <c r="L196" i="1" s="1"/>
  <c r="I196" i="1"/>
  <c r="G196" i="1"/>
  <c r="F196" i="1"/>
  <c r="K195" i="1"/>
  <c r="G7" i="13" s="1"/>
  <c r="J194" i="1"/>
  <c r="F6" i="13" s="1"/>
  <c r="I194" i="1"/>
  <c r="H194" i="1"/>
  <c r="G194" i="1"/>
  <c r="F194" i="1"/>
  <c r="K194" i="1"/>
  <c r="G192" i="1"/>
  <c r="C36" i="12" s="1"/>
  <c r="C37" i="12" s="1"/>
  <c r="C40" i="12" s="1"/>
  <c r="F192" i="1"/>
  <c r="K192" i="1"/>
  <c r="I190" i="1"/>
  <c r="F190" i="1"/>
  <c r="J189" i="1"/>
  <c r="J203" i="1" s="1"/>
  <c r="J249" i="1" s="1"/>
  <c r="I189" i="1"/>
  <c r="I203" i="1" s="1"/>
  <c r="H189" i="1"/>
  <c r="F189" i="1"/>
  <c r="B2" i="13"/>
  <c r="F8" i="13"/>
  <c r="G8" i="13"/>
  <c r="L214" i="1"/>
  <c r="F13" i="13"/>
  <c r="G13" i="13"/>
  <c r="L198" i="1"/>
  <c r="C19" i="10" s="1"/>
  <c r="L216" i="1"/>
  <c r="L234" i="1"/>
  <c r="F16" i="13"/>
  <c r="G16" i="13"/>
  <c r="L201" i="1"/>
  <c r="C117" i="2" s="1"/>
  <c r="L219" i="1"/>
  <c r="L237" i="1"/>
  <c r="F5" i="13"/>
  <c r="F33" i="13" s="1"/>
  <c r="G5" i="13"/>
  <c r="L189" i="1"/>
  <c r="L191" i="1"/>
  <c r="L192" i="1"/>
  <c r="C104" i="2" s="1"/>
  <c r="L207" i="1"/>
  <c r="L221" i="1" s="1"/>
  <c r="G650" i="1" s="1"/>
  <c r="L208" i="1"/>
  <c r="L209" i="1"/>
  <c r="L210" i="1"/>
  <c r="L227" i="1"/>
  <c r="L194" i="1"/>
  <c r="L212" i="1"/>
  <c r="F7" i="13"/>
  <c r="L213" i="1"/>
  <c r="L215" i="1"/>
  <c r="G14" i="13"/>
  <c r="L199" i="1"/>
  <c r="C20" i="10" s="1"/>
  <c r="L217" i="1"/>
  <c r="F15" i="13"/>
  <c r="G15" i="13"/>
  <c r="L200" i="1"/>
  <c r="D15" i="13" s="1"/>
  <c r="C15" i="13" s="1"/>
  <c r="L218" i="1"/>
  <c r="L236" i="1"/>
  <c r="H652" i="1" s="1"/>
  <c r="F17" i="13"/>
  <c r="G17" i="13"/>
  <c r="L243" i="1"/>
  <c r="C24" i="10" s="1"/>
  <c r="D17" i="13"/>
  <c r="C17" i="13" s="1"/>
  <c r="F18" i="13"/>
  <c r="G18" i="13"/>
  <c r="L244" i="1"/>
  <c r="D18" i="13" s="1"/>
  <c r="C18" i="13" s="1"/>
  <c r="F19" i="13"/>
  <c r="G19" i="13"/>
  <c r="L245" i="1"/>
  <c r="D19" i="13"/>
  <c r="C19" i="13"/>
  <c r="F29" i="13"/>
  <c r="G29" i="13"/>
  <c r="L351" i="1"/>
  <c r="G651" i="1" s="1"/>
  <c r="L352" i="1"/>
  <c r="I359" i="1"/>
  <c r="J282" i="1"/>
  <c r="F31" i="13"/>
  <c r="J301" i="1"/>
  <c r="J320" i="1"/>
  <c r="K301" i="1"/>
  <c r="K320" i="1"/>
  <c r="L269" i="1"/>
  <c r="L270" i="1"/>
  <c r="L276" i="1"/>
  <c r="L277" i="1"/>
  <c r="L278" i="1"/>
  <c r="L280" i="1"/>
  <c r="L287" i="1"/>
  <c r="L288" i="1"/>
  <c r="L289" i="1"/>
  <c r="L301" i="1" s="1"/>
  <c r="E103" i="2"/>
  <c r="L290" i="1"/>
  <c r="L292" i="1"/>
  <c r="L293" i="1"/>
  <c r="L294" i="1"/>
  <c r="L295" i="1"/>
  <c r="L296" i="1"/>
  <c r="L297" i="1"/>
  <c r="L298" i="1"/>
  <c r="L299" i="1"/>
  <c r="E117" i="2" s="1"/>
  <c r="L306" i="1"/>
  <c r="L320" i="1" s="1"/>
  <c r="L307" i="1"/>
  <c r="L308" i="1"/>
  <c r="L309" i="1"/>
  <c r="L311" i="1"/>
  <c r="L312" i="1"/>
  <c r="L313" i="1"/>
  <c r="L314" i="1"/>
  <c r="L315" i="1"/>
  <c r="L316" i="1"/>
  <c r="E115" i="2" s="1"/>
  <c r="L317" i="1"/>
  <c r="E116" i="2" s="1"/>
  <c r="L318" i="1"/>
  <c r="L325" i="1"/>
  <c r="E106" i="2"/>
  <c r="L326" i="1"/>
  <c r="L327" i="1"/>
  <c r="L252" i="1"/>
  <c r="H25" i="13" s="1"/>
  <c r="L253" i="1"/>
  <c r="C25" i="10" s="1"/>
  <c r="L333" i="1"/>
  <c r="L334" i="1"/>
  <c r="L247" i="1"/>
  <c r="C29" i="10" s="1"/>
  <c r="L328" i="1"/>
  <c r="E122" i="2" s="1"/>
  <c r="F22" i="13"/>
  <c r="C22" i="13" s="1"/>
  <c r="C11" i="13"/>
  <c r="C10" i="13"/>
  <c r="C9" i="13"/>
  <c r="L353" i="1"/>
  <c r="B4" i="12"/>
  <c r="B27" i="12"/>
  <c r="C27" i="12"/>
  <c r="B31" i="12"/>
  <c r="A31" i="12" s="1"/>
  <c r="C31" i="12"/>
  <c r="B13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2" i="1"/>
  <c r="L393" i="1"/>
  <c r="C131" i="2" s="1"/>
  <c r="L395" i="1"/>
  <c r="L399" i="1" s="1"/>
  <c r="C132" i="2" s="1"/>
  <c r="L396" i="1"/>
  <c r="L397" i="1"/>
  <c r="L398" i="1"/>
  <c r="L258" i="1"/>
  <c r="J52" i="1"/>
  <c r="G48" i="2"/>
  <c r="G51" i="2"/>
  <c r="G54" i="2" s="1"/>
  <c r="G53" i="2"/>
  <c r="F2" i="11"/>
  <c r="L603" i="1"/>
  <c r="H653" i="1" s="1"/>
  <c r="L602" i="1"/>
  <c r="G653" i="1" s="1"/>
  <c r="C40" i="10"/>
  <c r="F52" i="1"/>
  <c r="C35" i="10" s="1"/>
  <c r="C48" i="2"/>
  <c r="G52" i="1"/>
  <c r="G103" i="1"/>
  <c r="G104" i="1" s="1"/>
  <c r="G128" i="1"/>
  <c r="G154" i="1"/>
  <c r="G175" i="1"/>
  <c r="H618" i="1"/>
  <c r="H52" i="1"/>
  <c r="E48" i="2" s="1"/>
  <c r="I52" i="1"/>
  <c r="I104" i="1" s="1"/>
  <c r="I185" i="1" s="1"/>
  <c r="G620" i="1" s="1"/>
  <c r="J620" i="1" s="1"/>
  <c r="F71" i="1"/>
  <c r="C49" i="2" s="1"/>
  <c r="F86" i="1"/>
  <c r="C50" i="2" s="1"/>
  <c r="C51" i="2"/>
  <c r="C53" i="2"/>
  <c r="F103" i="1"/>
  <c r="H71" i="1"/>
  <c r="H86" i="1"/>
  <c r="I103" i="1"/>
  <c r="J103" i="1"/>
  <c r="J104" i="1"/>
  <c r="C37" i="10"/>
  <c r="F128" i="1"/>
  <c r="F132" i="1" s="1"/>
  <c r="G113" i="1"/>
  <c r="G132" i="1" s="1"/>
  <c r="H113" i="1"/>
  <c r="H128" i="1"/>
  <c r="H132" i="1"/>
  <c r="I113" i="1"/>
  <c r="I128" i="1"/>
  <c r="I132" i="1"/>
  <c r="J113" i="1"/>
  <c r="J128" i="1"/>
  <c r="J132" i="1"/>
  <c r="F139" i="1"/>
  <c r="F154" i="1"/>
  <c r="F161" i="1" s="1"/>
  <c r="G139" i="1"/>
  <c r="G161" i="1" s="1"/>
  <c r="H139" i="1"/>
  <c r="I139" i="1"/>
  <c r="I154" i="1"/>
  <c r="I161" i="1"/>
  <c r="C12" i="10"/>
  <c r="L242" i="1"/>
  <c r="C23" i="10" s="1"/>
  <c r="L324" i="1"/>
  <c r="L246" i="1"/>
  <c r="L260" i="1"/>
  <c r="L261" i="1"/>
  <c r="L341" i="1"/>
  <c r="L342" i="1"/>
  <c r="E135" i="2"/>
  <c r="I655" i="1"/>
  <c r="L268" i="1"/>
  <c r="I660" i="1"/>
  <c r="G652" i="1"/>
  <c r="I659" i="1"/>
  <c r="C5" i="10"/>
  <c r="C42" i="10"/>
  <c r="L366" i="1"/>
  <c r="L367" i="1"/>
  <c r="L374" i="1" s="1"/>
  <c r="G626" i="1" s="1"/>
  <c r="J626" i="1" s="1"/>
  <c r="L368" i="1"/>
  <c r="L369" i="1"/>
  <c r="L370" i="1"/>
  <c r="L371" i="1"/>
  <c r="L372" i="1"/>
  <c r="B2" i="10"/>
  <c r="L336" i="1"/>
  <c r="E126" i="2" s="1"/>
  <c r="L337" i="1"/>
  <c r="L338" i="1"/>
  <c r="L339" i="1"/>
  <c r="K343" i="1"/>
  <c r="L511" i="1"/>
  <c r="F539" i="1"/>
  <c r="L512" i="1"/>
  <c r="F540" i="1"/>
  <c r="L513" i="1"/>
  <c r="F541" i="1" s="1"/>
  <c r="F542" i="1" s="1"/>
  <c r="L517" i="1"/>
  <c r="G540" i="1" s="1"/>
  <c r="L518" i="1"/>
  <c r="G541" i="1"/>
  <c r="L521" i="1"/>
  <c r="L524" i="1" s="1"/>
  <c r="H539" i="1"/>
  <c r="L522" i="1"/>
  <c r="H540" i="1"/>
  <c r="L523" i="1"/>
  <c r="H541" i="1" s="1"/>
  <c r="L526" i="1"/>
  <c r="I539" i="1"/>
  <c r="L527" i="1"/>
  <c r="I540" i="1" s="1"/>
  <c r="I542" i="1" s="1"/>
  <c r="L528" i="1"/>
  <c r="I541" i="1"/>
  <c r="L531" i="1"/>
  <c r="L534" i="1" s="1"/>
  <c r="J539" i="1"/>
  <c r="L532" i="1"/>
  <c r="J540" i="1"/>
  <c r="L533" i="1"/>
  <c r="J541" i="1" s="1"/>
  <c r="E124" i="2"/>
  <c r="E123" i="2"/>
  <c r="K262" i="1"/>
  <c r="J262" i="1"/>
  <c r="I262" i="1"/>
  <c r="H262" i="1"/>
  <c r="G262" i="1"/>
  <c r="F262" i="1"/>
  <c r="L262" i="1" s="1"/>
  <c r="C124" i="2"/>
  <c r="C123" i="2"/>
  <c r="A1" i="2"/>
  <c r="A2" i="2"/>
  <c r="C9" i="2"/>
  <c r="D9" i="2"/>
  <c r="D13" i="2"/>
  <c r="D14" i="2"/>
  <c r="D16" i="2"/>
  <c r="D10" i="2"/>
  <c r="D19" i="2" s="1"/>
  <c r="D12" i="2"/>
  <c r="D17" i="2"/>
  <c r="D18" i="2"/>
  <c r="E9" i="2"/>
  <c r="F9" i="2"/>
  <c r="I431" i="1"/>
  <c r="J9" i="1" s="1"/>
  <c r="C10" i="2"/>
  <c r="E10" i="2"/>
  <c r="E19" i="2" s="1"/>
  <c r="F10" i="2"/>
  <c r="F19" i="2" s="1"/>
  <c r="I432" i="1"/>
  <c r="J10" i="1" s="1"/>
  <c r="G10" i="2" s="1"/>
  <c r="C11" i="2"/>
  <c r="C12" i="2"/>
  <c r="E12" i="2"/>
  <c r="F12" i="2"/>
  <c r="I433" i="1"/>
  <c r="J12" i="1" s="1"/>
  <c r="G12" i="2" s="1"/>
  <c r="C13" i="2"/>
  <c r="E13" i="2"/>
  <c r="F13" i="2"/>
  <c r="I434" i="1"/>
  <c r="J13" i="1" s="1"/>
  <c r="G13" i="2" s="1"/>
  <c r="C14" i="2"/>
  <c r="E14" i="2"/>
  <c r="F14" i="2"/>
  <c r="F15" i="2"/>
  <c r="F16" i="2"/>
  <c r="F17" i="2"/>
  <c r="F18" i="2"/>
  <c r="I435" i="1"/>
  <c r="J14" i="1"/>
  <c r="G14" i="2" s="1"/>
  <c r="C16" i="2"/>
  <c r="E16" i="2"/>
  <c r="C17" i="2"/>
  <c r="E17" i="2"/>
  <c r="I436" i="1"/>
  <c r="J17" i="1" s="1"/>
  <c r="G17" i="2" s="1"/>
  <c r="C18" i="2"/>
  <c r="E18" i="2"/>
  <c r="I437" i="1"/>
  <c r="J18" i="1"/>
  <c r="G18" i="2" s="1"/>
  <c r="C22" i="2"/>
  <c r="D22" i="2"/>
  <c r="D32" i="2" s="1"/>
  <c r="E30" i="2"/>
  <c r="E23" i="2"/>
  <c r="E24" i="2"/>
  <c r="E25" i="2"/>
  <c r="E28" i="2"/>
  <c r="E29" i="2"/>
  <c r="E31" i="2"/>
  <c r="E34" i="2"/>
  <c r="E42" i="2" s="1"/>
  <c r="E43" i="2" s="1"/>
  <c r="E35" i="2"/>
  <c r="E36" i="2"/>
  <c r="E37" i="2"/>
  <c r="E38" i="2"/>
  <c r="E40" i="2"/>
  <c r="E41" i="2"/>
  <c r="F22" i="2"/>
  <c r="F32" i="2" s="1"/>
  <c r="I440" i="1"/>
  <c r="I444" i="1" s="1"/>
  <c r="I451" i="1" s="1"/>
  <c r="H632" i="1" s="1"/>
  <c r="J23" i="1"/>
  <c r="G22" i="2" s="1"/>
  <c r="C23" i="2"/>
  <c r="D23" i="2"/>
  <c r="F23" i="2"/>
  <c r="I441" i="1"/>
  <c r="J24" i="1"/>
  <c r="G23" i="2" s="1"/>
  <c r="C24" i="2"/>
  <c r="D24" i="2"/>
  <c r="F24" i="2"/>
  <c r="I442" i="1"/>
  <c r="J25" i="1"/>
  <c r="C25" i="2"/>
  <c r="D25" i="2"/>
  <c r="F25" i="2"/>
  <c r="C26" i="2"/>
  <c r="F26" i="2"/>
  <c r="C27" i="2"/>
  <c r="F27" i="2"/>
  <c r="D28" i="2"/>
  <c r="F28" i="2"/>
  <c r="C29" i="2"/>
  <c r="D29" i="2"/>
  <c r="F29" i="2"/>
  <c r="C30" i="2"/>
  <c r="D30" i="2"/>
  <c r="F30" i="2"/>
  <c r="C31" i="2"/>
  <c r="D31" i="2"/>
  <c r="F31" i="2"/>
  <c r="I443" i="1"/>
  <c r="J32" i="1" s="1"/>
  <c r="G31" i="2" s="1"/>
  <c r="C34" i="2"/>
  <c r="C42" i="2" s="1"/>
  <c r="C43" i="2" s="1"/>
  <c r="D34" i="2"/>
  <c r="D42" i="2" s="1"/>
  <c r="D43" i="2" s="1"/>
  <c r="D40" i="2"/>
  <c r="D35" i="2"/>
  <c r="D36" i="2"/>
  <c r="D37" i="2"/>
  <c r="D38" i="2"/>
  <c r="D41" i="2"/>
  <c r="F34" i="2"/>
  <c r="F42" i="2" s="1"/>
  <c r="F43" i="2" s="1"/>
  <c r="C35" i="2"/>
  <c r="F35" i="2"/>
  <c r="C36" i="2"/>
  <c r="F36" i="2"/>
  <c r="I446" i="1"/>
  <c r="J37" i="1"/>
  <c r="C37" i="2"/>
  <c r="F37" i="2"/>
  <c r="I447" i="1"/>
  <c r="J38" i="1" s="1"/>
  <c r="G37" i="2" s="1"/>
  <c r="C38" i="2"/>
  <c r="F38" i="2"/>
  <c r="F40" i="2"/>
  <c r="F41" i="2"/>
  <c r="I448" i="1"/>
  <c r="J40" i="1" s="1"/>
  <c r="G39" i="2" s="1"/>
  <c r="C40" i="2"/>
  <c r="I449" i="1"/>
  <c r="J41" i="1"/>
  <c r="G40" i="2"/>
  <c r="C41" i="2"/>
  <c r="D48" i="2"/>
  <c r="F48" i="2"/>
  <c r="E49" i="2"/>
  <c r="E50" i="2"/>
  <c r="E51" i="2"/>
  <c r="D51" i="2"/>
  <c r="D54" i="2" s="1"/>
  <c r="D55" i="2" s="1"/>
  <c r="D52" i="2"/>
  <c r="D53" i="2"/>
  <c r="F51" i="2"/>
  <c r="F54" i="2" s="1"/>
  <c r="F55" i="2" s="1"/>
  <c r="F53" i="2"/>
  <c r="C58" i="2"/>
  <c r="C59" i="2"/>
  <c r="C61" i="2"/>
  <c r="D61" i="2"/>
  <c r="E61" i="2"/>
  <c r="E62" i="2"/>
  <c r="F61" i="2"/>
  <c r="F62" i="2" s="1"/>
  <c r="F64" i="2"/>
  <c r="F70" i="2" s="1"/>
  <c r="F73" i="2" s="1"/>
  <c r="F65" i="2"/>
  <c r="F68" i="2"/>
  <c r="F69" i="2"/>
  <c r="G61" i="2"/>
  <c r="G62" i="2"/>
  <c r="D62" i="2"/>
  <c r="C64" i="2"/>
  <c r="C70" i="2" s="1"/>
  <c r="C73" i="2" s="1"/>
  <c r="C67" i="2"/>
  <c r="C69" i="2"/>
  <c r="C65" i="2"/>
  <c r="C66" i="2"/>
  <c r="C68" i="2"/>
  <c r="E68" i="2"/>
  <c r="E70" i="2" s="1"/>
  <c r="E73" i="2" s="1"/>
  <c r="D69" i="2"/>
  <c r="D70" i="2" s="1"/>
  <c r="D73" i="2" s="1"/>
  <c r="D71" i="2"/>
  <c r="E69" i="2"/>
  <c r="G69" i="2"/>
  <c r="G70" i="2" s="1"/>
  <c r="G73" i="2" s="1"/>
  <c r="C71" i="2"/>
  <c r="E71" i="2"/>
  <c r="C72" i="2"/>
  <c r="E72" i="2"/>
  <c r="C77" i="2"/>
  <c r="D77" i="2"/>
  <c r="E77" i="2"/>
  <c r="F77" i="2"/>
  <c r="F83" i="2" s="1"/>
  <c r="C79" i="2"/>
  <c r="C83" i="2" s="1"/>
  <c r="E79" i="2"/>
  <c r="F79" i="2"/>
  <c r="F80" i="2"/>
  <c r="F81" i="2"/>
  <c r="C80" i="2"/>
  <c r="D80" i="2"/>
  <c r="D83" i="2" s="1"/>
  <c r="C81" i="2"/>
  <c r="D81" i="2"/>
  <c r="E81" i="2"/>
  <c r="C82" i="2"/>
  <c r="C85" i="2"/>
  <c r="C95" i="2" s="1"/>
  <c r="F85" i="2"/>
  <c r="F95" i="2" s="1"/>
  <c r="C86" i="2"/>
  <c r="F86" i="2"/>
  <c r="D88" i="2"/>
  <c r="D95" i="2" s="1"/>
  <c r="E88" i="2"/>
  <c r="F88" i="2"/>
  <c r="G88" i="2"/>
  <c r="C89" i="2"/>
  <c r="D89" i="2"/>
  <c r="D90" i="2"/>
  <c r="D91" i="2"/>
  <c r="D92" i="2"/>
  <c r="D93" i="2"/>
  <c r="D94" i="2"/>
  <c r="E89" i="2"/>
  <c r="E95" i="2" s="1"/>
  <c r="F89" i="2"/>
  <c r="G89" i="2"/>
  <c r="C90" i="2"/>
  <c r="E90" i="2"/>
  <c r="E91" i="2"/>
  <c r="E92" i="2"/>
  <c r="E93" i="2"/>
  <c r="E94" i="2"/>
  <c r="G90" i="2"/>
  <c r="C91" i="2"/>
  <c r="F91" i="2"/>
  <c r="C92" i="2"/>
  <c r="F92" i="2"/>
  <c r="C93" i="2"/>
  <c r="F93" i="2"/>
  <c r="C94" i="2"/>
  <c r="F94" i="2"/>
  <c r="G95" i="2"/>
  <c r="C103" i="2"/>
  <c r="C105" i="2"/>
  <c r="D107" i="2"/>
  <c r="F107" i="2"/>
  <c r="G107" i="2"/>
  <c r="E113" i="2"/>
  <c r="E114" i="2"/>
  <c r="F120" i="2"/>
  <c r="G120" i="2"/>
  <c r="E127" i="2"/>
  <c r="E129" i="2"/>
  <c r="E134" i="2"/>
  <c r="D126" i="2"/>
  <c r="D136" i="2" s="1"/>
  <c r="F126" i="2"/>
  <c r="K411" i="1"/>
  <c r="K426" i="1" s="1"/>
  <c r="G126" i="2" s="1"/>
  <c r="G136" i="2" s="1"/>
  <c r="K419" i="1"/>
  <c r="K425" i="1"/>
  <c r="L255" i="1"/>
  <c r="C127" i="2"/>
  <c r="L256" i="1"/>
  <c r="C128" i="2" s="1"/>
  <c r="L257" i="1"/>
  <c r="C129" i="2" s="1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C149" i="2"/>
  <c r="G149" i="2" s="1"/>
  <c r="D149" i="2"/>
  <c r="E149" i="2"/>
  <c r="F149" i="2"/>
  <c r="B150" i="2"/>
  <c r="C150" i="2"/>
  <c r="D150" i="2"/>
  <c r="E150" i="2"/>
  <c r="F150" i="2"/>
  <c r="G150" i="2"/>
  <c r="C151" i="2"/>
  <c r="D151" i="2"/>
  <c r="E151" i="2"/>
  <c r="F151" i="2"/>
  <c r="B152" i="2"/>
  <c r="C152" i="2"/>
  <c r="D152" i="2"/>
  <c r="E152" i="2"/>
  <c r="F152" i="2"/>
  <c r="G152" i="2"/>
  <c r="C153" i="2"/>
  <c r="D153" i="2"/>
  <c r="G490" i="1"/>
  <c r="H490" i="1"/>
  <c r="I490" i="1"/>
  <c r="E153" i="2" s="1"/>
  <c r="J490" i="1"/>
  <c r="F153" i="2" s="1"/>
  <c r="B154" i="2"/>
  <c r="G154" i="2" s="1"/>
  <c r="C154" i="2"/>
  <c r="D154" i="2"/>
  <c r="E154" i="2"/>
  <c r="F154" i="2"/>
  <c r="C155" i="2"/>
  <c r="D155" i="2"/>
  <c r="E155" i="2"/>
  <c r="F155" i="2"/>
  <c r="G493" i="1"/>
  <c r="C156" i="2" s="1"/>
  <c r="H493" i="1"/>
  <c r="D156" i="2" s="1"/>
  <c r="I493" i="1"/>
  <c r="E156" i="2" s="1"/>
  <c r="J493" i="1"/>
  <c r="F156" i="2" s="1"/>
  <c r="F19" i="1"/>
  <c r="G19" i="1"/>
  <c r="G608" i="1"/>
  <c r="H19" i="1"/>
  <c r="G609" i="1" s="1"/>
  <c r="I19" i="1"/>
  <c r="G610" i="1" s="1"/>
  <c r="J610" i="1" s="1"/>
  <c r="F33" i="1"/>
  <c r="G33" i="1"/>
  <c r="I33" i="1"/>
  <c r="F43" i="1"/>
  <c r="F44" i="1" s="1"/>
  <c r="H607" i="1" s="1"/>
  <c r="J607" i="1" s="1"/>
  <c r="H43" i="1"/>
  <c r="I43" i="1"/>
  <c r="I44" i="1" s="1"/>
  <c r="H610" i="1" s="1"/>
  <c r="F169" i="1"/>
  <c r="I169" i="1"/>
  <c r="F175" i="1"/>
  <c r="H175" i="1"/>
  <c r="I175" i="1"/>
  <c r="J175" i="1"/>
  <c r="G635" i="1" s="1"/>
  <c r="F180" i="1"/>
  <c r="F184" i="1" s="1"/>
  <c r="G180" i="1"/>
  <c r="G184" i="1" s="1"/>
  <c r="H180" i="1"/>
  <c r="H184" i="1"/>
  <c r="I180" i="1"/>
  <c r="F203" i="1"/>
  <c r="F249" i="1" s="1"/>
  <c r="F263" i="1" s="1"/>
  <c r="H203" i="1"/>
  <c r="H249" i="1" s="1"/>
  <c r="H263" i="1" s="1"/>
  <c r="F221" i="1"/>
  <c r="G221" i="1"/>
  <c r="H221" i="1"/>
  <c r="I221" i="1"/>
  <c r="J221" i="1"/>
  <c r="K221" i="1"/>
  <c r="F248" i="1"/>
  <c r="G248" i="1"/>
  <c r="L248" i="1" s="1"/>
  <c r="H248" i="1"/>
  <c r="I248" i="1"/>
  <c r="J248" i="1"/>
  <c r="K248" i="1"/>
  <c r="G282" i="1"/>
  <c r="F301" i="1"/>
  <c r="G301" i="1"/>
  <c r="G330" i="1" s="1"/>
  <c r="G344" i="1" s="1"/>
  <c r="H301" i="1"/>
  <c r="I301" i="1"/>
  <c r="F320" i="1"/>
  <c r="G320" i="1"/>
  <c r="H320" i="1"/>
  <c r="F329" i="1"/>
  <c r="G329" i="1"/>
  <c r="H329" i="1"/>
  <c r="I329" i="1"/>
  <c r="J329" i="1"/>
  <c r="J330" i="1" s="1"/>
  <c r="J344" i="1" s="1"/>
  <c r="K329" i="1"/>
  <c r="L329" i="1"/>
  <c r="F354" i="1"/>
  <c r="G354" i="1"/>
  <c r="H354" i="1"/>
  <c r="J354" i="1"/>
  <c r="K354" i="1"/>
  <c r="I360" i="1"/>
  <c r="G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H393" i="1"/>
  <c r="H400" i="1"/>
  <c r="H634" i="1"/>
  <c r="G634" i="1"/>
  <c r="J634" i="1" s="1"/>
  <c r="I385" i="1"/>
  <c r="I400" i="1" s="1"/>
  <c r="F393" i="1"/>
  <c r="G393" i="1"/>
  <c r="I393" i="1"/>
  <c r="F399" i="1"/>
  <c r="G399" i="1"/>
  <c r="H399" i="1"/>
  <c r="I399" i="1"/>
  <c r="F400" i="1"/>
  <c r="H633" i="1"/>
  <c r="J633" i="1" s="1"/>
  <c r="G400" i="1"/>
  <c r="H635" i="1" s="1"/>
  <c r="L405" i="1"/>
  <c r="L411" i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J426" i="1" s="1"/>
  <c r="L413" i="1"/>
  <c r="L419" i="1" s="1"/>
  <c r="L426" i="1" s="1"/>
  <c r="G628" i="1" s="1"/>
  <c r="J628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I426" i="1" s="1"/>
  <c r="J425" i="1"/>
  <c r="F438" i="1"/>
  <c r="G438" i="1"/>
  <c r="G630" i="1" s="1"/>
  <c r="H438" i="1"/>
  <c r="F444" i="1"/>
  <c r="G444" i="1"/>
  <c r="H444" i="1"/>
  <c r="H451" i="1" s="1"/>
  <c r="H631" i="1" s="1"/>
  <c r="H450" i="1"/>
  <c r="G631" i="1"/>
  <c r="J631" i="1" s="1"/>
  <c r="F450" i="1"/>
  <c r="G450" i="1"/>
  <c r="G451" i="1" s="1"/>
  <c r="H630" i="1" s="1"/>
  <c r="I450" i="1"/>
  <c r="F451" i="1"/>
  <c r="H629" i="1" s="1"/>
  <c r="F460" i="1"/>
  <c r="F466" i="1" s="1"/>
  <c r="H612" i="1" s="1"/>
  <c r="J612" i="1" s="1"/>
  <c r="F464" i="1"/>
  <c r="G612" i="1"/>
  <c r="G460" i="1"/>
  <c r="G466" i="1" s="1"/>
  <c r="H613" i="1" s="1"/>
  <c r="H460" i="1"/>
  <c r="I460" i="1"/>
  <c r="J460" i="1"/>
  <c r="H464" i="1"/>
  <c r="H466" i="1"/>
  <c r="H614" i="1" s="1"/>
  <c r="I464" i="1"/>
  <c r="I466" i="1" s="1"/>
  <c r="H615" i="1" s="1"/>
  <c r="J464" i="1"/>
  <c r="J466" i="1"/>
  <c r="H616" i="1" s="1"/>
  <c r="K485" i="1"/>
  <c r="K486" i="1"/>
  <c r="K487" i="1"/>
  <c r="K489" i="1"/>
  <c r="K491" i="1"/>
  <c r="F507" i="1"/>
  <c r="G507" i="1"/>
  <c r="H507" i="1"/>
  <c r="I507" i="1"/>
  <c r="G514" i="1"/>
  <c r="G535" i="1" s="1"/>
  <c r="J514" i="1"/>
  <c r="J535" i="1"/>
  <c r="K514" i="1"/>
  <c r="K535" i="1" s="1"/>
  <c r="L514" i="1"/>
  <c r="G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I534" i="1"/>
  <c r="J534" i="1"/>
  <c r="K534" i="1"/>
  <c r="L547" i="1"/>
  <c r="L550" i="1" s="1"/>
  <c r="L548" i="1"/>
  <c r="L549" i="1"/>
  <c r="F550" i="1"/>
  <c r="G550" i="1"/>
  <c r="G561" i="1" s="1"/>
  <c r="H550" i="1"/>
  <c r="H561" i="1" s="1"/>
  <c r="I550" i="1"/>
  <c r="J550" i="1"/>
  <c r="K550" i="1"/>
  <c r="L552" i="1"/>
  <c r="L555" i="1"/>
  <c r="L553" i="1"/>
  <c r="L554" i="1"/>
  <c r="F555" i="1"/>
  <c r="G555" i="1"/>
  <c r="H555" i="1"/>
  <c r="I555" i="1"/>
  <c r="I561" i="1" s="1"/>
  <c r="J555" i="1"/>
  <c r="K555" i="1"/>
  <c r="L557" i="1"/>
  <c r="L558" i="1"/>
  <c r="L559" i="1"/>
  <c r="L560" i="1" s="1"/>
  <c r="F560" i="1"/>
  <c r="G560" i="1"/>
  <c r="H560" i="1"/>
  <c r="I560" i="1"/>
  <c r="J560" i="1"/>
  <c r="J561" i="1" s="1"/>
  <c r="K560" i="1"/>
  <c r="K561" i="1" s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/>
  <c r="I588" i="1"/>
  <c r="H640" i="1"/>
  <c r="J640" i="1" s="1"/>
  <c r="J588" i="1"/>
  <c r="H641" i="1" s="1"/>
  <c r="J641" i="1" s="1"/>
  <c r="K592" i="1"/>
  <c r="K593" i="1"/>
  <c r="K594" i="1"/>
  <c r="K595" i="1"/>
  <c r="G638" i="1"/>
  <c r="I595" i="1"/>
  <c r="J595" i="1"/>
  <c r="F604" i="1"/>
  <c r="H604" i="1"/>
  <c r="I604" i="1"/>
  <c r="J604" i="1"/>
  <c r="K604" i="1"/>
  <c r="G607" i="1"/>
  <c r="H617" i="1"/>
  <c r="H619" i="1"/>
  <c r="H620" i="1"/>
  <c r="H621" i="1"/>
  <c r="H622" i="1"/>
  <c r="H623" i="1"/>
  <c r="H625" i="1"/>
  <c r="H626" i="1"/>
  <c r="H627" i="1"/>
  <c r="H628" i="1"/>
  <c r="G629" i="1"/>
  <c r="J629" i="1" s="1"/>
  <c r="G633" i="1"/>
  <c r="G640" i="1"/>
  <c r="G641" i="1"/>
  <c r="G642" i="1"/>
  <c r="J642" i="1" s="1"/>
  <c r="H642" i="1"/>
  <c r="G643" i="1"/>
  <c r="J643" i="1" s="1"/>
  <c r="H643" i="1"/>
  <c r="G644" i="1"/>
  <c r="J644" i="1" s="1"/>
  <c r="H644" i="1"/>
  <c r="G645" i="1"/>
  <c r="H645" i="1"/>
  <c r="J645" i="1"/>
  <c r="F122" i="2"/>
  <c r="F136" i="2" s="1"/>
  <c r="F137" i="2" s="1"/>
  <c r="I184" i="1"/>
  <c r="E105" i="2"/>
  <c r="F561" i="1"/>
  <c r="C19" i="2"/>
  <c r="C26" i="10"/>
  <c r="L343" i="1"/>
  <c r="E102" i="2"/>
  <c r="L350" i="1"/>
  <c r="L354" i="1" s="1"/>
  <c r="I354" i="1"/>
  <c r="G624" i="1" s="1"/>
  <c r="I282" i="1"/>
  <c r="I330" i="1"/>
  <c r="I344" i="1" s="1"/>
  <c r="L230" i="1"/>
  <c r="L228" i="1"/>
  <c r="F651" i="1"/>
  <c r="D119" i="2"/>
  <c r="D120" i="2" s="1"/>
  <c r="D137" i="2" s="1"/>
  <c r="G24" i="2"/>
  <c r="C60" i="2"/>
  <c r="C62" i="2"/>
  <c r="F113" i="1"/>
  <c r="K541" i="1" l="1"/>
  <c r="G137" i="2"/>
  <c r="J19" i="1"/>
  <c r="G611" i="1" s="1"/>
  <c r="G9" i="2"/>
  <c r="G19" i="2" s="1"/>
  <c r="C18" i="10"/>
  <c r="C113" i="2"/>
  <c r="D12" i="13"/>
  <c r="C12" i="13" s="1"/>
  <c r="J624" i="1"/>
  <c r="J630" i="1"/>
  <c r="H542" i="1"/>
  <c r="G55" i="2"/>
  <c r="G96" i="2" s="1"/>
  <c r="D6" i="13"/>
  <c r="C6" i="13" s="1"/>
  <c r="G625" i="1"/>
  <c r="J625" i="1" s="1"/>
  <c r="C27" i="10"/>
  <c r="J43" i="1"/>
  <c r="C25" i="13"/>
  <c r="H33" i="13"/>
  <c r="L561" i="1"/>
  <c r="J542" i="1"/>
  <c r="G185" i="1"/>
  <c r="G618" i="1" s="1"/>
  <c r="J618" i="1" s="1"/>
  <c r="H535" i="1"/>
  <c r="C10" i="12"/>
  <c r="C13" i="12" s="1"/>
  <c r="A13" i="12" s="1"/>
  <c r="G613" i="1"/>
  <c r="J613" i="1" s="1"/>
  <c r="G44" i="1"/>
  <c r="H608" i="1" s="1"/>
  <c r="J608" i="1" s="1"/>
  <c r="F96" i="2"/>
  <c r="I249" i="1"/>
  <c r="I263" i="1" s="1"/>
  <c r="C55" i="2"/>
  <c r="C96" i="2" s="1"/>
  <c r="H638" i="1"/>
  <c r="J263" i="1"/>
  <c r="J638" i="1"/>
  <c r="J635" i="1"/>
  <c r="G654" i="1"/>
  <c r="E83" i="2"/>
  <c r="D96" i="2"/>
  <c r="K540" i="1"/>
  <c r="L274" i="1"/>
  <c r="E111" i="2" s="1"/>
  <c r="E120" i="2" s="1"/>
  <c r="H282" i="1"/>
  <c r="H330" i="1" s="1"/>
  <c r="H344" i="1" s="1"/>
  <c r="B151" i="2"/>
  <c r="G151" i="2" s="1"/>
  <c r="F490" i="1"/>
  <c r="K488" i="1"/>
  <c r="F519" i="1"/>
  <c r="L516" i="1"/>
  <c r="H154" i="1"/>
  <c r="H161" i="1" s="1"/>
  <c r="E80" i="2"/>
  <c r="C54" i="2"/>
  <c r="L400" i="1"/>
  <c r="C130" i="2"/>
  <c r="C133" i="2" s="1"/>
  <c r="L275" i="1"/>
  <c r="E112" i="2" s="1"/>
  <c r="K282" i="1"/>
  <c r="C39" i="10"/>
  <c r="C38" i="10"/>
  <c r="E136" i="2"/>
  <c r="C112" i="2"/>
  <c r="E8" i="13"/>
  <c r="F535" i="1"/>
  <c r="E54" i="2"/>
  <c r="E55" i="2" s="1"/>
  <c r="E96" i="2" s="1"/>
  <c r="G32" i="2"/>
  <c r="G6" i="13"/>
  <c r="F493" i="1"/>
  <c r="E16" i="13"/>
  <c r="C16" i="13" s="1"/>
  <c r="G36" i="2"/>
  <c r="G42" i="2" s="1"/>
  <c r="D14" i="13"/>
  <c r="C14" i="13" s="1"/>
  <c r="C116" i="2"/>
  <c r="G615" i="1"/>
  <c r="J615" i="1" s="1"/>
  <c r="G203" i="1"/>
  <c r="G249" i="1" s="1"/>
  <c r="G263" i="1" s="1"/>
  <c r="F653" i="1"/>
  <c r="I653" i="1" s="1"/>
  <c r="E13" i="13"/>
  <c r="C13" i="13" s="1"/>
  <c r="J33" i="1"/>
  <c r="K492" i="1"/>
  <c r="C115" i="2"/>
  <c r="F104" i="1"/>
  <c r="F185" i="1" s="1"/>
  <c r="G617" i="1" s="1"/>
  <c r="J617" i="1" s="1"/>
  <c r="C32" i="10"/>
  <c r="L601" i="1"/>
  <c r="L604" i="1" s="1"/>
  <c r="L225" i="1"/>
  <c r="L239" i="1" s="1"/>
  <c r="H650" i="1" s="1"/>
  <c r="I438" i="1"/>
  <c r="G632" i="1" s="1"/>
  <c r="J632" i="1" s="1"/>
  <c r="F652" i="1"/>
  <c r="I652" i="1" s="1"/>
  <c r="H637" i="1"/>
  <c r="J637" i="1" s="1"/>
  <c r="G639" i="1"/>
  <c r="J639" i="1" s="1"/>
  <c r="C21" i="10"/>
  <c r="G614" i="1"/>
  <c r="J614" i="1" s="1"/>
  <c r="K203" i="1"/>
  <c r="K249" i="1" s="1"/>
  <c r="K263" i="1" s="1"/>
  <c r="C106" i="2"/>
  <c r="E53" i="2"/>
  <c r="B36" i="12"/>
  <c r="A40" i="12" s="1"/>
  <c r="H651" i="1"/>
  <c r="I651" i="1" s="1"/>
  <c r="J184" i="1"/>
  <c r="J185" i="1" s="1"/>
  <c r="C122" i="2"/>
  <c r="C136" i="2" s="1"/>
  <c r="B18" i="12"/>
  <c r="A22" i="12" s="1"/>
  <c r="C15" i="10"/>
  <c r="C13" i="10"/>
  <c r="H33" i="1"/>
  <c r="H44" i="1" s="1"/>
  <c r="H609" i="1" s="1"/>
  <c r="J609" i="1" s="1"/>
  <c r="H104" i="1"/>
  <c r="H185" i="1" s="1"/>
  <c r="G619" i="1" s="1"/>
  <c r="J619" i="1" s="1"/>
  <c r="L195" i="1"/>
  <c r="D29" i="13"/>
  <c r="C29" i="13" s="1"/>
  <c r="E101" i="2"/>
  <c r="E107" i="2" s="1"/>
  <c r="C110" i="2"/>
  <c r="C114" i="2"/>
  <c r="L190" i="1"/>
  <c r="G636" i="1" l="1"/>
  <c r="J636" i="1" s="1"/>
  <c r="G621" i="1"/>
  <c r="J621" i="1" s="1"/>
  <c r="L282" i="1"/>
  <c r="B156" i="2"/>
  <c r="G156" i="2" s="1"/>
  <c r="K493" i="1"/>
  <c r="G539" i="1"/>
  <c r="L519" i="1"/>
  <c r="L535" i="1" s="1"/>
  <c r="B153" i="2"/>
  <c r="G153" i="2" s="1"/>
  <c r="K490" i="1"/>
  <c r="G657" i="1"/>
  <c r="G662" i="1"/>
  <c r="C10" i="10"/>
  <c r="K330" i="1"/>
  <c r="K344" i="1" s="1"/>
  <c r="G31" i="13"/>
  <c r="G33" i="13" s="1"/>
  <c r="C36" i="10"/>
  <c r="C11" i="10"/>
  <c r="C102" i="2"/>
  <c r="J44" i="1"/>
  <c r="H611" i="1" s="1"/>
  <c r="J611" i="1" s="1"/>
  <c r="G616" i="1"/>
  <c r="H636" i="1"/>
  <c r="G627" i="1"/>
  <c r="J627" i="1" s="1"/>
  <c r="H654" i="1"/>
  <c r="E33" i="13"/>
  <c r="D35" i="13" s="1"/>
  <c r="C8" i="13"/>
  <c r="E137" i="2"/>
  <c r="C17" i="10"/>
  <c r="D5" i="13"/>
  <c r="L203" i="1"/>
  <c r="G43" i="2"/>
  <c r="C16" i="10"/>
  <c r="D7" i="13"/>
  <c r="C7" i="13" s="1"/>
  <c r="C111" i="2"/>
  <c r="C120" i="2" s="1"/>
  <c r="C101" i="2"/>
  <c r="C107" i="2" s="1"/>
  <c r="J616" i="1" l="1"/>
  <c r="G542" i="1"/>
  <c r="K539" i="1"/>
  <c r="K542" i="1" s="1"/>
  <c r="C41" i="10"/>
  <c r="H662" i="1"/>
  <c r="C6" i="10" s="1"/>
  <c r="H657" i="1"/>
  <c r="C28" i="10"/>
  <c r="D10" i="10" s="1"/>
  <c r="C137" i="2"/>
  <c r="D31" i="13"/>
  <c r="C31" i="13" s="1"/>
  <c r="L330" i="1"/>
  <c r="L344" i="1" s="1"/>
  <c r="G623" i="1" s="1"/>
  <c r="J623" i="1" s="1"/>
  <c r="F650" i="1"/>
  <c r="L249" i="1"/>
  <c r="L263" i="1" s="1"/>
  <c r="G622" i="1" s="1"/>
  <c r="J622" i="1" s="1"/>
  <c r="C5" i="13"/>
  <c r="D33" i="13"/>
  <c r="D36" i="13" s="1"/>
  <c r="D22" i="10" l="1"/>
  <c r="C30" i="10"/>
  <c r="D24" i="10"/>
  <c r="D12" i="10"/>
  <c r="D25" i="10"/>
  <c r="D20" i="10"/>
  <c r="D19" i="10"/>
  <c r="D23" i="10"/>
  <c r="D26" i="10"/>
  <c r="D27" i="10"/>
  <c r="D18" i="10"/>
  <c r="D13" i="10"/>
  <c r="D15" i="10"/>
  <c r="D21" i="10"/>
  <c r="D37" i="10"/>
  <c r="D40" i="10"/>
  <c r="D35" i="10"/>
  <c r="D39" i="10"/>
  <c r="D38" i="10"/>
  <c r="D36" i="10"/>
  <c r="I650" i="1"/>
  <c r="I654" i="1" s="1"/>
  <c r="F654" i="1"/>
  <c r="D16" i="10"/>
  <c r="D11" i="10"/>
  <c r="D28" i="10" s="1"/>
  <c r="H646" i="1"/>
  <c r="D17" i="10"/>
  <c r="F657" i="1" l="1"/>
  <c r="F662" i="1"/>
  <c r="C4" i="10" s="1"/>
  <c r="I657" i="1"/>
  <c r="I662" i="1"/>
  <c r="C7" i="10" s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38229F21-71C2-44CB-A655-FBEFEF032AB6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8FA409D1-80AD-4926-AA69-690E6DB681A0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2DBC3181-0C41-44A1-94D0-A319E0B63F15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A855883E-FEFF-41E0-9BF7-D58667B988A9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6FC3418-AE4C-4B86-845C-FFA979DD06C0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7DC04750-812F-46E4-B86D-4DFA7351EE14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0F4EA70-B5AB-4FD0-A2B0-2E553694AEB7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33EFD328-B332-4018-B386-0D8E620F0913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FB462DB2-809D-44BA-BDD3-176F90214A6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92BFF44D-0310-485D-963B-44FD833EF500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B83C21D1-C8FA-434E-9DF0-B782BDFC88F6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81CE7854-757B-44C7-883F-A3860DF46005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<sst xmlns="http://schemas.openxmlformats.org/spreadsheetml/2006/main" count="3860" uniqueCount="897">
  <si>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</si>
  <si>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</si>
  <si>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</si>
  <si>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</si>
  <si>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</si>
  <si>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</si>
  <si>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</si>
  <si>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</si>
  <si>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</si>
  <si>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</si>
  <si>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</si>
  <si>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</si>
  <si>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</si>
  <si>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</si>
  <si>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</si>
  <si>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</si>
  <si>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</si>
  <si>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</si>
  <si>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</si>
  <si>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</si>
  <si>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</si>
  <si>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</si>
  <si>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</si>
  <si>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</si>
  <si>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</si>
  <si>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</si>
  <si>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</si>
  <si>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</si>
  <si>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</si>
  <si>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</si>
  <si>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</si>
  <si>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</si>
  <si>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</si>
  <si>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</si>
  <si>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</si>
  <si>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</si>
  <si>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</si>
  <si>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</si>
  <si>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</si>
  <si>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</si>
  <si>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</si>
  <si>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</si>
  <si>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</si>
  <si>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</si>
  <si>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</si>
  <si>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</si>
  <si>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</si>
  <si>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</si>
  <si>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</si>
  <si>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</si>
  <si>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</si>
  <si>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</si>
  <si>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</si>
  <si>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</si>
  <si>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</si>
  <si>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</si>
  <si>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</si>
  <si>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</si>
  <si>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</si>
  <si>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</si>
  <si>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</si>
  <si>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</si>
  <si>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</si>
  <si>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</si>
  <si>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</si>
  <si>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</si>
  <si>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</si>
  <si>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</si>
  <si>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</si>
  <si>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</si>
  <si>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</si>
  <si>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</si>
  <si>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</si>
  <si>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</si>
  <si>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</si>
  <si>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</si>
  <si>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</si>
  <si>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</si>
  <si>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</si>
  <si>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</si>
  <si>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</si>
  <si>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</si>
  <si>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</si>
  <si>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</si>
  <si>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</si>
  <si>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</si>
  <si>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</si>
  <si>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</si>
  <si>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</si>
  <si>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</si>
  <si>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</si>
  <si>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</si>
  <si>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</si>
  <si>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</si>
  <si>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</si>
  <si>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</si>
  <si>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</si>
  <si>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</si>
  <si>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</si>
  <si>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</si>
  <si>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</si>
  <si>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</si>
  <si>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</si>
  <si>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</si>
  <si>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</si>
  <si>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</si>
  <si>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</si>
  <si>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</si>
  <si>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</si>
  <si>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</si>
  <si>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</si>
  <si>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</si>
  <si>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</si>
  <si>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</si>
  <si>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</si>
  <si>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</si>
  <si>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</si>
  <si>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</si>
  <si>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</si>
  <si>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</si>
  <si>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</si>
  <si>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</si>
  <si>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</si>
  <si>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</si>
  <si>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</si>
  <si>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</si>
  <si>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</si>
  <si>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</si>
  <si>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</si>
  <si>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</si>
  <si>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</si>
  <si>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</si>
  <si>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</si>
  <si>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</si>
  <si>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</si>
  <si>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</si>
  <si>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</si>
  <si>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</si>
  <si>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</si>
  <si>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</si>
  <si>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</si>
  <si>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</si>
  <si>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</si>
  <si>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</si>
  <si>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</si>
  <si>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</si>
  <si>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</si>
  <si>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</si>
  <si>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</si>
  <si>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</si>
  <si>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</si>
  <si>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</si>
  <si>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</si>
  <si>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</si>
  <si>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</si>
  <si>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</si>
  <si>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</si>
  <si>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</si>
  <si>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</si>
  <si>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</si>
  <si>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</si>
  <si>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</si>
  <si>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</si>
  <si>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</si>
  <si>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</si>
  <si>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</si>
  <si>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</si>
  <si>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</si>
  <si>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</si>
  <si>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</si>
  <si>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</si>
  <si>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</si>
  <si>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</si>
  <si>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</si>
  <si>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</si>
  <si>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</si>
  <si>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</si>
  <si>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</si>
  <si>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</si>
  <si>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</si>
  <si>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</si>
  <si>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</si>
  <si>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</si>
  <si>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</si>
  <si>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</si>
  <si>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</si>
  <si>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</si>
  <si>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</si>
  <si>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</si>
  <si>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</si>
  <si>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</si>
  <si>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</si>
  <si>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</si>
  <si>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</si>
  <si>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</si>
  <si>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</si>
  <si>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</si>
  <si>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</si>
  <si>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</si>
  <si>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</si>
  <si>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</si>
  <si>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</si>
  <si>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</si>
  <si>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</si>
  <si>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</si>
  <si>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</si>
  <si>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</si>
  <si>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</si>
  <si>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</si>
  <si>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</si>
  <si>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</si>
  <si>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</si>
  <si>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</si>
  <si>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</si>
  <si>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</si>
  <si>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</si>
  <si>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</si>
  <si>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</si>
  <si>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</si>
  <si>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</si>
  <si>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</si>
  <si>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</si>
  <si>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</si>
  <si>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</si>
  <si>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</si>
  <si>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</si>
  <si>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</si>
  <si>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</si>
  <si>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</si>
  <si>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</si>
  <si>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</si>
  <si>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</si>
  <si>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</si>
  <si>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</si>
  <si>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</si>
  <si>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</si>
  <si>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</si>
  <si>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</si>
  <si>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</si>
  <si>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</si>
  <si>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</si>
  <si>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</si>
  <si>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</si>
  <si>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</si>
  <si>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</si>
  <si>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</si>
  <si>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</si>
  <si>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</si>
  <si>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</si>
  <si>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</si>
  <si>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</si>
  <si>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</si>
  <si>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</si>
  <si>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</si>
  <si>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</si>
  <si>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</si>
  <si>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</si>
  <si>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</si>
  <si>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</si>
  <si>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</si>
  <si>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</si>
  <si>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</si>
  <si>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</si>
  <si>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</si>
  <si>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</si>
  <si>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</si>
  <si>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</si>
  <si>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</si>
  <si>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</si>
  <si>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</si>
  <si>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</si>
  <si>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</si>
  <si>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</si>
  <si>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</si>
  <si>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</si>
  <si>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</si>
  <si>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</si>
  <si>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</si>
  <si>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</si>
  <si>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</si>
  <si>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</si>
  <si>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</si>
  <si>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</si>
  <si>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</si>
  <si>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</si>
  <si>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</si>
  <si>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</si>
  <si>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</si>
  <si>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</si>
  <si>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</si>
  <si>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</si>
  <si>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</si>
  <si>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</si>
  <si>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</si>
  <si>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</si>
  <si>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</si>
  <si>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</si>
  <si>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</si>
  <si>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</si>
  <si>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</si>
  <si>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</si>
  <si>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</si>
  <si>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</si>
  <si>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</si>
  <si>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</si>
  <si>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</si>
  <si>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</si>
  <si>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</si>
  <si>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</si>
  <si>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</si>
  <si>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</si>
  <si>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</si>
  <si>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</si>
  <si>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</si>
  <si>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</si>
  <si>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</si>
  <si>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</si>
  <si>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</si>
  <si>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</si>
  <si>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</si>
  <si>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</si>
  <si>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</si>
  <si>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</si>
  <si>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</si>
  <si>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</si>
  <si>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</si>
  <si>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</si>
  <si>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</si>
  <si>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</si>
  <si>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</si>
  <si>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</si>
  <si>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</si>
  <si>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</si>
  <si>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</si>
  <si>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</si>
  <si>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</si>
  <si>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</si>
  <si>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</si>
  <si>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</si>
  <si>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</si>
  <si>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</si>
  <si>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</si>
  <si>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</si>
  <si>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</si>
  <si>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</si>
  <si>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</si>
  <si>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</si>
  <si>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</si>
  <si>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</si>
  <si>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</si>
  <si>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</si>
  <si>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</si>
  <si>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</si>
  <si>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</si>
  <si>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</si>
  <si>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</si>
  <si>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</si>
  <si>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</si>
  <si>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</si>
  <si>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</si>
  <si>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</si>
  <si>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</si>
  <si>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</si>
  <si>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</si>
  <si>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</si>
  <si>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</si>
  <si>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</si>
  <si>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</si>
  <si>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</si>
  <si>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</si>
  <si>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</si>
  <si>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</si>
  <si>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</si>
  <si>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</si>
  <si>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</si>
  <si>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</si>
  <si>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</si>
  <si>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</si>
  <si>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</si>
  <si>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</si>
  <si>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</si>
  <si>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</si>
  <si>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</si>
  <si>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</si>
  <si>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</si>
  <si>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</si>
  <si>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</si>
  <si>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</si>
  <si>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</si>
  <si>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</si>
  <si>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</si>
  <si>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</si>
  <si>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</si>
  <si>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</si>
  <si>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</si>
  <si>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</si>
  <si>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</si>
  <si>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</si>
  <si>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</si>
  <si>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</si>
  <si>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</si>
  <si>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</si>
  <si>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</si>
  <si>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</si>
  <si>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</si>
  <si>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</si>
  <si>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</si>
  <si>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</si>
  <si>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</si>
  <si>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</si>
  <si>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</si>
  <si>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</si>
  <si>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</si>
  <si>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</si>
  <si>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</si>
  <si>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</si>
  <si>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</si>
  <si>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</si>
  <si>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</si>
  <si>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</si>
  <si>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</si>
  <si>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</si>
  <si>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</si>
  <si>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</si>
  <si>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</si>
  <si>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</si>
  <si>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</si>
  <si>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</si>
  <si>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</si>
  <si>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</si>
  <si>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</si>
  <si>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</si>
  <si>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</si>
  <si>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</si>
  <si>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</si>
  <si>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</si>
  <si>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</si>
  <si>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</si>
  <si>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</si>
  <si>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</si>
  <si>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</si>
  <si>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</si>
  <si>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</si>
  <si>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</si>
  <si>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</si>
  <si>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</si>
  <si>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</si>
  <si>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</si>
  <si>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</si>
  <si>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</si>
  <si>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</si>
  <si>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</si>
  <si>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</si>
  <si>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</si>
  <si>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</si>
  <si>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</si>
  <si>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</si>
  <si>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</si>
  <si>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</si>
  <si>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</si>
  <si>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</si>
  <si>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</si>
  <si>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</si>
  <si>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</si>
  <si>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</si>
  <si>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</si>
  <si>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</si>
  <si>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</si>
  <si>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</si>
  <si>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</si>
  <si>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</si>
  <si>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</si>
  <si>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</si>
  <si>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</si>
  <si>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</si>
  <si>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</si>
  <si>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</si>
  <si>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</si>
  <si>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</si>
  <si>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</si>
  <si>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</si>
  <si>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</si>
  <si>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</si>
  <si>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</si>
  <si>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</si>
  <si>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</si>
  <si>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</si>
  <si>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</si>
  <si>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</si>
  <si>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</si>
  <si>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</si>
  <si>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</si>
  <si>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</si>
  <si>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</si>
  <si>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</si>
  <si>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</si>
  <si>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</si>
  <si>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</si>
  <si>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</si>
  <si>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</si>
  <si>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</si>
  <si>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</si>
  <si>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</si>
  <si>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</si>
  <si>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</si>
  <si>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</si>
  <si>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</si>
  <si>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</si>
  <si>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</si>
  <si>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</si>
  <si>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</si>
  <si>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</si>
  <si>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</si>
  <si>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</si>
  <si>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</si>
  <si>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</si>
  <si>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</si>
  <si>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</si>
  <si>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</si>
  <si>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</si>
  <si>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</si>
  <si>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</si>
  <si>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</si>
  <si>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</si>
  <si>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</si>
  <si>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</si>
  <si>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</si>
  <si>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</si>
  <si>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</si>
  <si>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</si>
  <si>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</si>
  <si>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</si>
  <si>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</si>
  <si>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</si>
  <si>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</si>
  <si>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</si>
  <si>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</si>
  <si>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</si>
  <si>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</si>
  <si>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</si>
  <si>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</si>
  <si>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</si>
  <si>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</si>
  <si>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</si>
  <si>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</si>
  <si>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</si>
  <si>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</si>
  <si>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</si>
  <si>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</si>
  <si>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</si>
  <si>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</si>
  <si>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</si>
  <si>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</si>
  <si>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</si>
  <si>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</si>
  <si>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</si>
  <si>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</si>
  <si>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</si>
  <si>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</si>
  <si>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</si>
  <si>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</si>
  <si>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</si>
  <si>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</si>
  <si>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</si>
  <si>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</si>
  <si>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</si>
  <si>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</si>
  <si>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</si>
  <si>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</si>
  <si>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</si>
  <si>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</si>
  <si>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</si>
  <si>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</si>
  <si>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</si>
  <si>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</si>
  <si>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</si>
  <si>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</si>
  <si>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</si>
  <si>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</si>
  <si>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</si>
  <si>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</si>
  <si>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</si>
  <si>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</si>
  <si>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</si>
  <si>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</si>
  <si>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</si>
  <si>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</si>
  <si>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</si>
  <si>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</si>
  <si>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</si>
  <si>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</si>
  <si>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</si>
  <si>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</si>
  <si>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</si>
  <si>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</si>
  <si>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</si>
  <si>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</si>
  <si>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</si>
  <si>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</si>
  <si>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</si>
  <si>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</si>
  <si>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</si>
  <si>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</si>
  <si>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</si>
  <si>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</si>
  <si>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</si>
  <si>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</si>
  <si>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</si>
  <si>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</si>
  <si>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</si>
  <si>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</si>
  <si>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</si>
  <si>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</si>
  <si>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</si>
  <si>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</si>
  <si>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</si>
  <si>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</si>
  <si>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</si>
  <si>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</si>
  <si>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</si>
  <si>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</si>
  <si>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</si>
  <si>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</si>
  <si>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</si>
  <si>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</si>
  <si>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</si>
  <si>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</si>
  <si>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</si>
  <si>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</si>
  <si>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</si>
  <si>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</si>
  <si>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</si>
  <si>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</si>
  <si>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</si>
  <si>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</si>
  <si>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</si>
  <si>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</si>
  <si>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</si>
  <si>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</si>
  <si>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</si>
  <si>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</si>
  <si>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</si>
  <si>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</si>
  <si>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</si>
  <si>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</si>
  <si>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</si>
  <si>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</si>
  <si>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</si>
  <si>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</si>
  <si>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</si>
  <si>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</si>
  <si>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</si>
  <si>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</si>
  <si>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</si>
  <si>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</si>
  <si>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</si>
  <si>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</si>
  <si>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</si>
  <si>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</si>
  <si>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</si>
  <si>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</si>
  <si>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</si>
  <si>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</si>
  <si>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</si>
  <si>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</si>
  <si>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</si>
  <si>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</si>
  <si>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</si>
  <si>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</si>
  <si>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</si>
  <si>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</si>
  <si>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</si>
  <si>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</si>
  <si>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</si>
  <si>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</si>
  <si>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</si>
  <si>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</si>
  <si>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</si>
  <si>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</si>
  <si>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</si>
  <si>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</si>
  <si>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</si>
  <si>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</si>
  <si>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</si>
  <si>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</si>
  <si>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</si>
  <si>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</si>
  <si>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</si>
  <si>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</si>
  <si>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</si>
  <si>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</si>
  <si>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</si>
  <si>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</si>
  <si>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</si>
  <si>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</si>
  <si>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</si>
  <si>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</si>
  <si>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</si>
  <si>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</si>
  <si>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</si>
  <si>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</si>
  <si>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</si>
  <si>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</si>
  <si>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</si>
  <si>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</si>
  <si>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</si>
  <si>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</si>
  <si>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</si>
  <si>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</si>
  <si>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</si>
  <si>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</si>
  <si>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</si>
  <si>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</si>
  <si>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</si>
  <si>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</si>
  <si>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</si>
  <si>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</si>
  <si>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</si>
  <si>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</si>
  <si>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</si>
  <si>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</si>
  <si>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</si>
  <si>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</si>
  <si>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</si>
  <si>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</si>
  <si>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</si>
  <si>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</si>
  <si>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</si>
  <si>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</si>
  <si>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</si>
  <si>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</si>
  <si>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</si>
  <si>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</si>
  <si>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</si>
  <si>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</si>
  <si>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</si>
  <si>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</si>
  <si>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</si>
  <si>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</si>
  <si>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</si>
  <si>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</si>
  <si>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</si>
  <si>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</si>
  <si>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</si>
  <si>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</si>
  <si>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</si>
  <si>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</si>
  <si>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</si>
  <si>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</si>
  <si>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</si>
  <si>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</si>
  <si>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</si>
  <si>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</si>
  <si>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</si>
  <si>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</si>
  <si>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</si>
  <si>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</si>
  <si>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</si>
  <si>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</si>
  <si>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</si>
  <si>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</si>
  <si>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</si>
  <si>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</si>
  <si>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</si>
  <si>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</si>
  <si>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</si>
  <si>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</si>
  <si>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</si>
  <si>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</si>
  <si>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</si>
  <si>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</si>
  <si>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</si>
  <si>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</si>
  <si>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</si>
  <si>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</si>
  <si>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</si>
  <si>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</si>
  <si>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</si>
  <si>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</si>
  <si>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</si>
  <si>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</si>
  <si>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</si>
  <si>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</si>
  <si>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</si>
  <si>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</si>
  <si>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</si>
  <si>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</si>
  <si>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</si>
  <si>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</si>
  <si>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</si>
  <si>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</si>
  <si>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</si>
  <si>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</si>
  <si>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</si>
  <si>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</si>
  <si>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</si>
  <si>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</si>
  <si>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</si>
  <si>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</si>
  <si>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</si>
  <si>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</si>
  <si>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</si>
  <si>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</si>
  <si>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</si>
  <si>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</si>
  <si>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</si>
  <si>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</si>
  <si>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</si>
  <si>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</si>
  <si>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</si>
  <si>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</si>
  <si>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</si>
  <si>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</si>
  <si>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</si>
  <si>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</si>
  <si>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</si>
  <si>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</si>
  <si>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</si>
  <si>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</si>
  <si>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</si>
  <si>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</si>
  <si>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</si>
  <si>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</si>
  <si>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</si>
  <si>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</si>
  <si>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</si>
  <si>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</si>
  <si>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</si>
  <si>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</si>
  <si>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</si>
  <si>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</si>
  <si>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</si>
  <si>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</si>
  <si>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</si>
  <si>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</si>
  <si>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</si>
  <si>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</si>
  <si>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</si>
  <si>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</si>
  <si>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</si>
  <si>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</si>
  <si>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</si>
  <si>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</si>
  <si>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</si>
  <si>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</si>
  <si>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</si>
  <si>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</si>
  <si>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</si>
  <si>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</si>
  <si>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</si>
  <si>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</si>
  <si>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</si>
  <si>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</si>
  <si>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</si>
  <si>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</si>
  <si>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</si>
  <si>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</si>
  <si>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</si>
  <si>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</si>
  <si>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</si>
  <si>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</si>
  <si>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</si>
  <si>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</si>
  <si>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</si>
  <si>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</si>
  <si>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</si>
  <si>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</si>
  <si>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</si>
  <si>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</si>
  <si>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</si>
  <si>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</si>
  <si>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</si>
  <si>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</si>
  <si>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</si>
  <si>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</si>
  <si>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</si>
  <si>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</si>
  <si>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</si>
  <si>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</si>
  <si>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</si>
  <si>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</si>
  <si>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</si>
  <si>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</si>
  <si>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</si>
  <si>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</si>
  <si>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</si>
  <si>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</si>
  <si>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</si>
  <si>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</si>
  <si>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</si>
  <si>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</si>
  <si>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</si>
  <si>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</si>
  <si>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</si>
  <si>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July  2001</t>
  </si>
  <si>
    <t>July 2016</t>
  </si>
  <si>
    <t>Colebrook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</si>
</sst>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422E-C938-42D4-9275-F56617E5EC4C}">
  <sheetPr transitionEvaluation="1" transitionEntry="1" codeName="Sheet1">
    <tabColor indexed="56"/>
  </sheetPr>
  <dimension ref="A1:AQ666"/>
  <sheetViews>
    <sheetView tabSelected="1" zoomScale="75" zoomScaleNormal="11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105</v>
      </c>
      <c r="C2" s="21">
        <v>105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662331.96</v>
      </c>
      <c r="G9" s="18">
        <v>13223.51</v>
      </c>
      <c r="H9" s="18"/>
      <c r="I9" s="18"/>
      <c r="J9" s="67">
        <f>SUM(I431)</f>
        <v>647222.47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50674.559999999998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152966.79</v>
      </c>
      <c r="G13" s="18">
        <v>27908.47</v>
      </c>
      <c r="H13" s="18">
        <v>61842.78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2130.39</v>
      </c>
      <c r="G14" s="18">
        <v>36.25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9605.39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26351.83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894455.53</v>
      </c>
      <c r="G19" s="41">
        <f>SUM(G9:G18)</f>
        <v>50773.62</v>
      </c>
      <c r="H19" s="41">
        <f>SUM(H9:H18)</f>
        <v>61842.78</v>
      </c>
      <c r="I19" s="41">
        <f>SUM(I9:I18)</f>
        <v>0</v>
      </c>
      <c r="J19" s="41">
        <f>SUM(J9:J18)</f>
        <v>647222.47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7079.15</v>
      </c>
      <c r="H23" s="18">
        <f>61842.78-18247.37</f>
        <v>43595.41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69800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98752.23</v>
      </c>
      <c r="G25" s="18">
        <v>2198.48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17251.74+1194.16+3120.88+213.19+13212.24+37.33</f>
        <v>35029.54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21058.27</v>
      </c>
      <c r="G31" s="18"/>
      <c r="H31" s="18">
        <v>18247.37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154840.03999999998</v>
      </c>
      <c r="G33" s="41">
        <f>SUM(G23:G32)</f>
        <v>9277.6299999999992</v>
      </c>
      <c r="H33" s="41">
        <f>SUM(H23:H32)</f>
        <v>61842.78</v>
      </c>
      <c r="I33" s="41">
        <f>SUM(I23:I32)</f>
        <v>0</v>
      </c>
      <c r="J33" s="41">
        <f>SUM(J23:J32)</f>
        <v>69800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9605.39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6495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8149.51+263289.6-239548.51</f>
        <v>31890.599999999977</v>
      </c>
      <c r="H41" s="18"/>
      <c r="I41" s="18"/>
      <c r="J41" s="13">
        <f>SUM(I449)</f>
        <v>577422.47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621793.76+5941578.74-5823757.01-6495</f>
        <v>733120.49000000022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739615.49000000022</v>
      </c>
      <c r="G43" s="41">
        <f>SUM(G35:G42)</f>
        <v>41495.989999999976</v>
      </c>
      <c r="H43" s="41">
        <f>SUM(H35:H42)</f>
        <v>0</v>
      </c>
      <c r="I43" s="41">
        <f>SUM(I35:I42)</f>
        <v>0</v>
      </c>
      <c r="J43" s="41">
        <f>SUM(J35:J42)</f>
        <v>577422.47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894455.53000000026</v>
      </c>
      <c r="G44" s="41">
        <f>G43+G33</f>
        <v>50773.619999999974</v>
      </c>
      <c r="H44" s="41">
        <f>H43+H33</f>
        <v>61842.78</v>
      </c>
      <c r="I44" s="41">
        <f>I43+I33</f>
        <v>0</v>
      </c>
      <c r="J44" s="41">
        <f>J43+J33</f>
        <v>647222.47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1511925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1511925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3906.76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19625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1378105.38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193838.92</v>
      </c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1595476.0599999998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1300.97</v>
      </c>
      <c r="G88" s="18"/>
      <c r="H88" s="18"/>
      <c r="I88" s="18"/>
      <c r="J88" s="18">
        <v>10303.379999999999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90715.520000000004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18110.150000000001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66803.070000000007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1412.17</v>
      </c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5192.43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3430.53</v>
      </c>
      <c r="G102" s="18"/>
      <c r="H102" s="18">
        <f>9609.79+1311.63+148.65</f>
        <v>11070.070000000002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96249.32</v>
      </c>
      <c r="G103" s="41">
        <f>SUM(G88:G102)</f>
        <v>90715.520000000004</v>
      </c>
      <c r="H103" s="41">
        <f>SUM(H88:H102)</f>
        <v>11070.070000000002</v>
      </c>
      <c r="I103" s="41">
        <f>SUM(I88:I102)</f>
        <v>0</v>
      </c>
      <c r="J103" s="41">
        <f>SUM(J88:J102)</f>
        <v>10303.379999999999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3203650.3799999994</v>
      </c>
      <c r="G104" s="41">
        <f>G52+G103</f>
        <v>90715.520000000004</v>
      </c>
      <c r="H104" s="41">
        <f>H52+H71+H86+H103</f>
        <v>11070.070000000002</v>
      </c>
      <c r="I104" s="41">
        <f>I52+I103</f>
        <v>0</v>
      </c>
      <c r="J104" s="41">
        <f>J52+J103</f>
        <v>10303.379999999999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1494000.6399999999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382075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573202.36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2449278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206722.77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495.07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3015.63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5550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f>6065.87+1099.05</f>
        <v>7164.92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212767.84</v>
      </c>
      <c r="G128" s="41">
        <f>SUM(G115:G127)</f>
        <v>3015.63</v>
      </c>
      <c r="H128" s="41">
        <f>SUM(H115:H127)</f>
        <v>7164.92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2662045.84</v>
      </c>
      <c r="G132" s="41">
        <f>G113+SUM(G128:G129)</f>
        <v>3015.63</v>
      </c>
      <c r="H132" s="41">
        <f>H113+SUM(H128:H131)</f>
        <v>7164.92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v>3478.66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197288.43+6462.93</f>
        <v>203751.36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2059.29+43626.47+23164.06+12000</f>
        <v>80849.820000000007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105558.45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6015.85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6015.85</v>
      </c>
      <c r="G154" s="41">
        <f>SUM(G142:G153)</f>
        <v>105558.45</v>
      </c>
      <c r="H154" s="41">
        <f>SUM(H142:H153)</f>
        <v>288079.83999999997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6015.85</v>
      </c>
      <c r="G161" s="41">
        <f>G139+G154+SUM(G155:G160)</f>
        <v>105558.45</v>
      </c>
      <c r="H161" s="41">
        <f>H139+H154+SUM(H155:H160)</f>
        <v>288079.83999999997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64000</v>
      </c>
      <c r="H171" s="18"/>
      <c r="I171" s="18"/>
      <c r="J171" s="18">
        <v>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64000</v>
      </c>
      <c r="H175" s="41">
        <f>SUM(H171:H174)</f>
        <v>0</v>
      </c>
      <c r="I175" s="41">
        <f>SUM(I171:I174)</f>
        <v>0</v>
      </c>
      <c r="J175" s="41">
        <f>SUM(J171:J174)</f>
        <v>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69866.67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69866.67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69866.67</v>
      </c>
      <c r="G184" s="41">
        <f>G175+SUM(G180:G183)</f>
        <v>64000</v>
      </c>
      <c r="H184" s="41">
        <f>+H175+SUM(H180:H183)</f>
        <v>0</v>
      </c>
      <c r="I184" s="41">
        <f>I169+I175+SUM(I180:I183)</f>
        <v>0</v>
      </c>
      <c r="J184" s="41">
        <f>J175</f>
        <v>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5941578.7399999984</v>
      </c>
      <c r="G185" s="47">
        <f>G104+G132+G161+G184</f>
        <v>263289.59999999998</v>
      </c>
      <c r="H185" s="47">
        <f>H104+H132+H161+H184</f>
        <v>306314.82999999996</v>
      </c>
      <c r="I185" s="47">
        <f>I104+I132+I161+I184</f>
        <v>0</v>
      </c>
      <c r="J185" s="47">
        <f>J104+J132+J184</f>
        <v>60303.38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846075.77+23534.79+20646.34</f>
        <v>890256.9</v>
      </c>
      <c r="G189" s="18">
        <f>251148.76+2608.53+65980.25+63448.21+14353.07+4956.45+2822.5</f>
        <v>405317.77000000008</v>
      </c>
      <c r="H189" s="18">
        <f>6957.75+668.08</f>
        <v>7625.83</v>
      </c>
      <c r="I189" s="18">
        <f>27064.98+18548.45+354.75+740</f>
        <v>46708.18</v>
      </c>
      <c r="J189" s="18">
        <f>3384.02+4093.77</f>
        <v>7477.79</v>
      </c>
      <c r="K189" s="18">
        <v>1293</v>
      </c>
      <c r="L189" s="19">
        <f>SUM(F189:K189)</f>
        <v>1358679.4700000002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66205+197934.66+8574.31</f>
        <v>272713.97000000003</v>
      </c>
      <c r="G190" s="18">
        <f>27014.16+19954.82+4958.63+1114.47</f>
        <v>53042.079999999994</v>
      </c>
      <c r="H190" s="18">
        <f>7515+139204.13+14552.44+648.2</f>
        <v>161919.77000000002</v>
      </c>
      <c r="I190" s="18">
        <f>1281.02+629.74</f>
        <v>1910.76</v>
      </c>
      <c r="J190" s="18">
        <v>1251.26</v>
      </c>
      <c r="K190" s="18"/>
      <c r="L190" s="19">
        <f>SUM(F190:K190)</f>
        <v>490837.84000000008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2910+14280+1055.43</f>
        <v>18245.43</v>
      </c>
      <c r="G192" s="18">
        <f>222.63+185.37+8.73+1092.46+353.17+46.98+80.76+81.83</f>
        <v>2071.9300000000003</v>
      </c>
      <c r="H192" s="18">
        <v>932</v>
      </c>
      <c r="I192" s="18"/>
      <c r="J192" s="18"/>
      <c r="K192" s="18">
        <f>23</f>
        <v>23</v>
      </c>
      <c r="L192" s="19">
        <f>SUM(F192:K192)</f>
        <v>21272.36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31473+27227.76+2970.24+24925</f>
        <v>86596</v>
      </c>
      <c r="G194" s="18">
        <f>15518.76+2255.96+2357.42+94.41+2082.9+267.05+227.19+1833.4+8048.57+1866.82+74.77</f>
        <v>34627.25</v>
      </c>
      <c r="H194" s="18">
        <f>4127.5+40424.96+101.97+480+37319.44+812.51+24869.26+12105+443.13+306.45</f>
        <v>120990.21999999999</v>
      </c>
      <c r="I194" s="18">
        <f>120.82+592.08+756.36+2587.03+245.8+908.1+315.92+396.85+4250.72</f>
        <v>10173.68</v>
      </c>
      <c r="J194" s="18">
        <f>219.99+51.99+529+8040</f>
        <v>8840.98</v>
      </c>
      <c r="K194" s="18">
        <f>3025.51</f>
        <v>3025.51</v>
      </c>
      <c r="L194" s="19">
        <f t="shared" ref="L194:L200" si="0">SUM(F194:K194)</f>
        <v>264253.63999999996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32823.5</v>
      </c>
      <c r="G195" s="18">
        <v>10123.1</v>
      </c>
      <c r="H195" s="18">
        <v>1847</v>
      </c>
      <c r="I195" s="18">
        <v>2879.61</v>
      </c>
      <c r="J195" s="18">
        <v>1379.48</v>
      </c>
      <c r="K195" s="18">
        <f>130+2850</f>
        <v>2980</v>
      </c>
      <c r="L195" s="19">
        <f t="shared" si="0"/>
        <v>52032.69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5816.73</f>
        <v>5816.73</v>
      </c>
      <c r="G196" s="18">
        <f>444.97+18.41</f>
        <v>463.38000000000005</v>
      </c>
      <c r="H196" s="18">
        <f>7140.37+5181.84+1459.48+774.85+583+165963.75</f>
        <v>181103.29</v>
      </c>
      <c r="I196" s="18">
        <f>196.94</f>
        <v>196.94</v>
      </c>
      <c r="J196" s="18"/>
      <c r="K196" s="18">
        <f>3132.86</f>
        <v>3132.86</v>
      </c>
      <c r="L196" s="19">
        <f t="shared" si="0"/>
        <v>190713.19999999998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68186+42220.42+12499.82</f>
        <v>122906.23999999999</v>
      </c>
      <c r="G197" s="18">
        <f>22993.8+9204.99+5309.35+371.89+326</f>
        <v>38206.03</v>
      </c>
      <c r="H197" s="18">
        <f>4047.03+6728.23+1853.55+790.79+633.7</f>
        <v>14053.3</v>
      </c>
      <c r="I197" s="18">
        <f>2024.49+108.81</f>
        <v>2133.3000000000002</v>
      </c>
      <c r="J197" s="18"/>
      <c r="K197" s="18">
        <f>1169</f>
        <v>1169</v>
      </c>
      <c r="L197" s="19">
        <f t="shared" si="0"/>
        <v>178467.86999999997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86383.92</f>
        <v>86383.92</v>
      </c>
      <c r="G199" s="18">
        <f>32525.12+6311.57+1586.84+191.67</f>
        <v>40615.199999999997</v>
      </c>
      <c r="H199" s="18">
        <f>58128.85+2817.2+2879.12+5307.06+42787.92+8898.5+708.52</f>
        <v>121527.17</v>
      </c>
      <c r="I199" s="18">
        <f>30883.01+60784.19+39991.29+240.92+158.92</f>
        <v>132058.33000000002</v>
      </c>
      <c r="J199" s="18">
        <f>1468+1871.51</f>
        <v>3339.51</v>
      </c>
      <c r="K199" s="18">
        <f>901.77</f>
        <v>901.77</v>
      </c>
      <c r="L199" s="19">
        <f t="shared" si="0"/>
        <v>384825.9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115724.6+25457.87+945.7+5853.6+150</f>
        <v>148131.77000000002</v>
      </c>
      <c r="I200" s="18"/>
      <c r="J200" s="18"/>
      <c r="K200" s="18"/>
      <c r="L200" s="19">
        <f t="shared" si="0"/>
        <v>148131.77000000002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1515742.69</v>
      </c>
      <c r="G203" s="41">
        <f t="shared" si="1"/>
        <v>584466.74</v>
      </c>
      <c r="H203" s="41">
        <f t="shared" si="1"/>
        <v>758130.35</v>
      </c>
      <c r="I203" s="41">
        <f t="shared" si="1"/>
        <v>196060.80000000002</v>
      </c>
      <c r="J203" s="41">
        <f t="shared" si="1"/>
        <v>22289.019999999997</v>
      </c>
      <c r="K203" s="41">
        <f t="shared" si="1"/>
        <v>12525.140000000001</v>
      </c>
      <c r="L203" s="41">
        <f t="shared" si="1"/>
        <v>3089214.7400000007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611269.23+2949.17+16922.54+8890</f>
        <v>640030.94000000006</v>
      </c>
      <c r="G225" s="18">
        <f>150589.68+1289.55+48067.12+46074.16+2126.56+2487.05+6623.08</f>
        <v>257257.19999999995</v>
      </c>
      <c r="H225" s="18">
        <f>25175+4997+646.92+175+9678.15</f>
        <v>40672.07</v>
      </c>
      <c r="I225" s="18">
        <f>19392.68+13989.73+213.6+927.18</f>
        <v>34523.19</v>
      </c>
      <c r="J225" s="18">
        <f>3450.6+2987.65</f>
        <v>6438.25</v>
      </c>
      <c r="K225" s="18">
        <v>856</v>
      </c>
      <c r="L225" s="19">
        <f>SUM(F225:K225)</f>
        <v>979777.64999999991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74014+39413.49</f>
        <v>113427.48999999999</v>
      </c>
      <c r="G226" s="18">
        <f>23326.06+8677.43+5543.47+335.59</f>
        <v>37882.549999999996</v>
      </c>
      <c r="H226" s="18">
        <f>6459.63</f>
        <v>6459.63</v>
      </c>
      <c r="I226" s="18">
        <f>213.26+171.27</f>
        <v>384.53</v>
      </c>
      <c r="J226" s="18"/>
      <c r="K226" s="18"/>
      <c r="L226" s="19">
        <f>SUM(F226:K226)</f>
        <v>158154.19999999998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19110+39176+2481.74</f>
        <v>60767.74</v>
      </c>
      <c r="G228" s="18">
        <f>1461.94+1040.34+46.62+3202.46+1028.57+112.24+175.01</f>
        <v>7067.1799999999994</v>
      </c>
      <c r="H228" s="18">
        <v>9986</v>
      </c>
      <c r="I228" s="18">
        <f>70+2708.66</f>
        <v>2778.66</v>
      </c>
      <c r="J228" s="18">
        <v>2941.75</v>
      </c>
      <c r="K228" s="18">
        <f>5182+2775</f>
        <v>7957</v>
      </c>
      <c r="L228" s="19">
        <f>SUM(F228:K228)</f>
        <v>91498.33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50189.75+19974.51+16275.29+24925</f>
        <v>111364.54999999999</v>
      </c>
      <c r="G230" s="18">
        <f>17243.16+5263.4+3759.17+211.25+1245.09+52.77+7789.96+1833.39+1866.82+74.77</f>
        <v>39339.779999999992</v>
      </c>
      <c r="H230" s="18">
        <f>1125+138.64+20711.44+52.53+2484+78.87+121.68</f>
        <v>24712.159999999996</v>
      </c>
      <c r="I230" s="18">
        <f>122+93.45+360.76+47.79+1702.3+4558.97</f>
        <v>6885.27</v>
      </c>
      <c r="J230" s="18">
        <f>179.99+1104.94+2109.82</f>
        <v>3394.75</v>
      </c>
      <c r="K230" s="18">
        <f>390+1200+115</f>
        <v>1705</v>
      </c>
      <c r="L230" s="19">
        <f t="shared" ref="L230:L236" si="4">SUM(F230:K230)</f>
        <v>187401.50999999998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4461.14+24377+6965.7</f>
        <v>35803.839999999997</v>
      </c>
      <c r="G231" s="18">
        <f>341.26+304.35+5770.36+2341.58+1825.78+73.13</f>
        <v>10656.46</v>
      </c>
      <c r="H231" s="18">
        <f>930</f>
        <v>930</v>
      </c>
      <c r="I231" s="18">
        <f>402.66+1872.45</f>
        <v>2275.11</v>
      </c>
      <c r="J231" s="18"/>
      <c r="K231" s="18">
        <f>330+2850</f>
        <v>3180</v>
      </c>
      <c r="L231" s="19">
        <f t="shared" si="4"/>
        <v>52845.409999999996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3926.99</f>
        <v>3926.99</v>
      </c>
      <c r="G232" s="18">
        <f>300.42+9.49</f>
        <v>309.91000000000003</v>
      </c>
      <c r="H232" s="18">
        <f>3600.04+2590.41+868.39+397.65+84231.8</f>
        <v>91688.290000000008</v>
      </c>
      <c r="I232" s="18">
        <f>106.19</f>
        <v>106.19</v>
      </c>
      <c r="J232" s="18"/>
      <c r="K232" s="18">
        <f>1537.17</f>
        <v>1537.17</v>
      </c>
      <c r="L232" s="19">
        <f t="shared" si="4"/>
        <v>97568.55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65920+42087.65+5500</f>
        <v>113507.65</v>
      </c>
      <c r="G233" s="18">
        <f>11495.4+8617.18+5349.32+341.1+594.5</f>
        <v>26397.5</v>
      </c>
      <c r="H233" s="18">
        <f>3396+3812.99+1915.56+930.88+1057.01</f>
        <v>11112.439999999999</v>
      </c>
      <c r="I233" s="18">
        <f>3352.82+102.61+738.87</f>
        <v>4194.3</v>
      </c>
      <c r="J233" s="18">
        <f>886.76+165.99</f>
        <v>1052.75</v>
      </c>
      <c r="K233" s="18">
        <f>1606</f>
        <v>1606</v>
      </c>
      <c r="L233" s="19">
        <f t="shared" si="4"/>
        <v>157870.63999999998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61043.75</f>
        <v>61043.75</v>
      </c>
      <c r="G235" s="18">
        <f>11732.32+4677.43+1686.34+259.83</f>
        <v>18355.920000000002</v>
      </c>
      <c r="H235" s="18">
        <f>13914.33+1451.9+1282.63+2733.94+23561.63+4449.25+166.73</f>
        <v>47560.41</v>
      </c>
      <c r="I235" s="18">
        <f>8960.97+28158.85+56218.24+15.06+28.6</f>
        <v>93381.72</v>
      </c>
      <c r="J235" s="18">
        <f>46772.21</f>
        <v>46772.21</v>
      </c>
      <c r="K235" s="18">
        <v>96.98</v>
      </c>
      <c r="L235" s="19">
        <f t="shared" si="4"/>
        <v>267210.99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57758.5+14750+20317.09+9296.9</f>
        <v>102122.48999999999</v>
      </c>
      <c r="I236" s="18"/>
      <c r="J236" s="18"/>
      <c r="K236" s="18"/>
      <c r="L236" s="19">
        <f t="shared" si="4"/>
        <v>102122.48999999999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1139872.95</v>
      </c>
      <c r="G239" s="41">
        <f t="shared" si="5"/>
        <v>397266.49999999988</v>
      </c>
      <c r="H239" s="41">
        <f t="shared" si="5"/>
        <v>335243.49</v>
      </c>
      <c r="I239" s="41">
        <f t="shared" si="5"/>
        <v>144528.97000000003</v>
      </c>
      <c r="J239" s="41">
        <f t="shared" si="5"/>
        <v>60599.71</v>
      </c>
      <c r="K239" s="41">
        <f t="shared" si="5"/>
        <v>16938.149999999998</v>
      </c>
      <c r="L239" s="41">
        <f t="shared" si="5"/>
        <v>2094449.7699999998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2655615.6399999997</v>
      </c>
      <c r="G249" s="41">
        <f t="shared" si="8"/>
        <v>981733.23999999987</v>
      </c>
      <c r="H249" s="41">
        <f t="shared" si="8"/>
        <v>1093373.8399999999</v>
      </c>
      <c r="I249" s="41">
        <f t="shared" si="8"/>
        <v>340589.77</v>
      </c>
      <c r="J249" s="41">
        <f t="shared" si="8"/>
        <v>82888.73</v>
      </c>
      <c r="K249" s="41">
        <f t="shared" si="8"/>
        <v>29463.29</v>
      </c>
      <c r="L249" s="41">
        <f t="shared" si="8"/>
        <v>5183664.5100000007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390000</v>
      </c>
      <c r="L252" s="19">
        <f>SUM(F252:K252)</f>
        <v>390000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130942.5</v>
      </c>
      <c r="L253" s="19">
        <f>SUM(F253:K253)</f>
        <v>130942.5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f>43800+20200</f>
        <v>64000</v>
      </c>
      <c r="L255" s="19">
        <f>SUM(F255:K255)</f>
        <v>64000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50000</v>
      </c>
      <c r="L258" s="19">
        <f t="shared" si="9"/>
        <v>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5150</v>
      </c>
      <c r="L260" s="19">
        <f t="shared" si="9"/>
        <v>5150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640092.5</v>
      </c>
      <c r="L262" s="41">
        <f t="shared" si="9"/>
        <v>640092.5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2655615.6399999997</v>
      </c>
      <c r="G263" s="42">
        <f t="shared" si="11"/>
        <v>981733.23999999987</v>
      </c>
      <c r="H263" s="42">
        <f t="shared" si="11"/>
        <v>1093373.8399999999</v>
      </c>
      <c r="I263" s="42">
        <f t="shared" si="11"/>
        <v>340589.77</v>
      </c>
      <c r="J263" s="42">
        <f t="shared" si="11"/>
        <v>82888.73</v>
      </c>
      <c r="K263" s="42">
        <f t="shared" si="11"/>
        <v>669555.79</v>
      </c>
      <c r="L263" s="42">
        <f t="shared" si="11"/>
        <v>5823757.0100000007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0</v>
      </c>
      <c r="G268" s="18">
        <v>0</v>
      </c>
      <c r="H268" s="18"/>
      <c r="I268" s="18">
        <v>0</v>
      </c>
      <c r="J268" s="18">
        <v>0</v>
      </c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126642.67</v>
      </c>
      <c r="G269" s="18">
        <v>50459.01</v>
      </c>
      <c r="H269" s="18">
        <v>0</v>
      </c>
      <c r="I269" s="18">
        <v>8725.52</v>
      </c>
      <c r="J269" s="18">
        <v>36921.839999999997</v>
      </c>
      <c r="K269" s="18"/>
      <c r="L269" s="19">
        <f>SUM(F269:K269)</f>
        <v>222749.03999999998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232.05+375+1027.92+1672.25</f>
        <v>3307.2200000000003</v>
      </c>
      <c r="G271" s="18">
        <f>46.44+30.08+206.6+125.25+59.52</f>
        <v>467.89</v>
      </c>
      <c r="H271" s="18"/>
      <c r="I271" s="18"/>
      <c r="J271" s="18"/>
      <c r="K271" s="18"/>
      <c r="L271" s="19">
        <f>SUM(F271:K271)</f>
        <v>3775.11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1079.47+206.69</f>
        <v>1286.1600000000001</v>
      </c>
      <c r="G273" s="18">
        <f>82.8+13.53</f>
        <v>96.33</v>
      </c>
      <c r="H273" s="18">
        <f>840+1050+100</f>
        <v>1990</v>
      </c>
      <c r="I273" s="18">
        <f>41.39+4181.84+501.54</f>
        <v>4724.7700000000004</v>
      </c>
      <c r="J273" s="18"/>
      <c r="K273" s="18"/>
      <c r="L273" s="19">
        <f t="shared" ref="L273:L279" si="12">SUM(F273:K273)</f>
        <v>8097.26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5362</f>
        <v>5362</v>
      </c>
      <c r="G274" s="18">
        <f>410.06+359.06</f>
        <v>769.12</v>
      </c>
      <c r="H274" s="18">
        <f>12000+164+1390+669.29+1000+56.5+19660+1987.14+12000+3000+478.66</f>
        <v>52405.590000000004</v>
      </c>
      <c r="I274" s="18">
        <f>237.74</f>
        <v>237.74</v>
      </c>
      <c r="J274" s="18"/>
      <c r="K274" s="18">
        <v>160</v>
      </c>
      <c r="L274" s="19">
        <f t="shared" si="12"/>
        <v>58934.450000000004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f>2500+1000</f>
        <v>3500</v>
      </c>
      <c r="G275" s="18">
        <f>191.12+187.21+16.5+76.5+74.9</f>
        <v>546.23</v>
      </c>
      <c r="H275" s="18"/>
      <c r="I275" s="18"/>
      <c r="J275" s="18"/>
      <c r="K275" s="18">
        <f>317</f>
        <v>317</v>
      </c>
      <c r="L275" s="19">
        <f t="shared" si="12"/>
        <v>4363.2299999999996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2000</v>
      </c>
      <c r="L277" s="19">
        <f t="shared" si="12"/>
        <v>2000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f>217.66</f>
        <v>217.66</v>
      </c>
      <c r="I279" s="18"/>
      <c r="J279" s="18"/>
      <c r="K279" s="18"/>
      <c r="L279" s="19">
        <f t="shared" si="12"/>
        <v>217.66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140098.04999999999</v>
      </c>
      <c r="G282" s="42">
        <f t="shared" si="13"/>
        <v>52338.580000000009</v>
      </c>
      <c r="H282" s="42">
        <f t="shared" si="13"/>
        <v>54613.250000000007</v>
      </c>
      <c r="I282" s="42">
        <f t="shared" si="13"/>
        <v>13688.03</v>
      </c>
      <c r="J282" s="42">
        <f t="shared" si="13"/>
        <v>36921.839999999997</v>
      </c>
      <c r="K282" s="42">
        <f t="shared" si="13"/>
        <v>2477</v>
      </c>
      <c r="L282" s="41">
        <f t="shared" si="13"/>
        <v>300136.74999999994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>
        <f>4569.21</f>
        <v>4569.21</v>
      </c>
      <c r="J306" s="18"/>
      <c r="K306" s="18">
        <f>1311.63</f>
        <v>1311.63</v>
      </c>
      <c r="L306" s="19">
        <f>SUM(F306:K306)</f>
        <v>5880.84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>
        <f>148.65</f>
        <v>148.65</v>
      </c>
      <c r="J311" s="18"/>
      <c r="K311" s="18"/>
      <c r="L311" s="19">
        <f t="shared" ref="L311:L317" si="16">SUM(F311:K311)</f>
        <v>148.65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4717.8599999999997</v>
      </c>
      <c r="J320" s="42">
        <f t="shared" si="17"/>
        <v>0</v>
      </c>
      <c r="K320" s="42">
        <f t="shared" si="17"/>
        <v>1311.63</v>
      </c>
      <c r="L320" s="41">
        <f t="shared" si="17"/>
        <v>6029.49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>
        <v>148.59</v>
      </c>
      <c r="J327" s="18"/>
      <c r="K327" s="18"/>
      <c r="L327" s="19">
        <f t="shared" si="18"/>
        <v>148.59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148.59</v>
      </c>
      <c r="J329" s="41">
        <f t="shared" si="19"/>
        <v>0</v>
      </c>
      <c r="K329" s="41">
        <f t="shared" si="19"/>
        <v>0</v>
      </c>
      <c r="L329" s="41">
        <f t="shared" si="18"/>
        <v>148.59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140098.04999999999</v>
      </c>
      <c r="G330" s="41">
        <f t="shared" si="20"/>
        <v>52338.580000000009</v>
      </c>
      <c r="H330" s="41">
        <f t="shared" si="20"/>
        <v>54613.250000000007</v>
      </c>
      <c r="I330" s="41">
        <f t="shared" si="20"/>
        <v>18554.48</v>
      </c>
      <c r="J330" s="41">
        <f t="shared" si="20"/>
        <v>36921.839999999997</v>
      </c>
      <c r="K330" s="41">
        <f t="shared" si="20"/>
        <v>3788.63</v>
      </c>
      <c r="L330" s="41">
        <f t="shared" si="20"/>
        <v>306314.82999999996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140098.04999999999</v>
      </c>
      <c r="G344" s="41">
        <f>G330</f>
        <v>52338.580000000009</v>
      </c>
      <c r="H344" s="41">
        <f>H330</f>
        <v>54613.250000000007</v>
      </c>
      <c r="I344" s="41">
        <f>I330</f>
        <v>18554.48</v>
      </c>
      <c r="J344" s="41">
        <f>J330</f>
        <v>36921.839999999997</v>
      </c>
      <c r="K344" s="47">
        <f>K330+K343</f>
        <v>3788.63</v>
      </c>
      <c r="L344" s="41">
        <f>L330+L343</f>
        <v>306314.82999999996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60206.25+6127.66</f>
        <v>66333.91</v>
      </c>
      <c r="G350" s="18">
        <f>3627.11+5179.61+1507.45+386-13.53</f>
        <v>10686.64</v>
      </c>
      <c r="H350" s="18">
        <f>5939.18+24+77.5</f>
        <v>6040.68</v>
      </c>
      <c r="I350" s="18">
        <f>8888.93+65760.95+2349.22-501.54</f>
        <v>76497.560000000012</v>
      </c>
      <c r="J350" s="18">
        <v>513.79999999999995</v>
      </c>
      <c r="K350" s="18">
        <v>812.29</v>
      </c>
      <c r="L350" s="13">
        <f>SUM(F350:K350)</f>
        <v>160884.88000000003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38034.910000000003</v>
      </c>
      <c r="G352" s="18">
        <v>6202.28</v>
      </c>
      <c r="H352" s="18">
        <v>2360.17</v>
      </c>
      <c r="I352" s="18">
        <v>31376.27</v>
      </c>
      <c r="J352" s="18"/>
      <c r="K352" s="18">
        <v>690</v>
      </c>
      <c r="L352" s="19">
        <f>SUM(F352:K352)</f>
        <v>78663.63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104368.82</v>
      </c>
      <c r="G354" s="47">
        <f t="shared" si="22"/>
        <v>16888.919999999998</v>
      </c>
      <c r="H354" s="47">
        <f t="shared" si="22"/>
        <v>8400.85</v>
      </c>
      <c r="I354" s="47">
        <f t="shared" si="22"/>
        <v>107873.83000000002</v>
      </c>
      <c r="J354" s="47">
        <f t="shared" si="22"/>
        <v>513.79999999999995</v>
      </c>
      <c r="K354" s="47">
        <f t="shared" si="22"/>
        <v>1502.29</v>
      </c>
      <c r="L354" s="47">
        <f t="shared" si="22"/>
        <v>239548.51000000004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65259.41</v>
      </c>
      <c r="G359" s="18"/>
      <c r="H359" s="18">
        <v>28957.11</v>
      </c>
      <c r="I359" s="56">
        <f>SUM(F359:H359)</f>
        <v>94216.52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8888.93+2349.22</f>
        <v>11238.15</v>
      </c>
      <c r="G360" s="63"/>
      <c r="H360" s="63">
        <f>1683.24+735.92</f>
        <v>2419.16</v>
      </c>
      <c r="I360" s="56">
        <f>SUM(F360:H360)</f>
        <v>13657.31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76497.56</v>
      </c>
      <c r="G361" s="47">
        <f>SUM(G359:G360)</f>
        <v>0</v>
      </c>
      <c r="H361" s="47">
        <f>SUM(H359:H360)</f>
        <v>31376.27</v>
      </c>
      <c r="I361" s="47">
        <f>SUM(I359:I360)</f>
        <v>107873.83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50000</v>
      </c>
      <c r="H388" s="18">
        <f>4358.38+589.45</f>
        <v>4947.83</v>
      </c>
      <c r="I388" s="18"/>
      <c r="J388" s="24" t="s">
        <v>312</v>
      </c>
      <c r="K388" s="24" t="s">
        <v>312</v>
      </c>
      <c r="L388" s="56">
        <f t="shared" si="26"/>
        <v>54947.83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1043.0999999999999</v>
      </c>
      <c r="I389" s="18"/>
      <c r="J389" s="24" t="s">
        <v>312</v>
      </c>
      <c r="K389" s="24" t="s">
        <v>312</v>
      </c>
      <c r="L389" s="56">
        <f t="shared" si="26"/>
        <v>1043.0999999999999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462.93</v>
      </c>
      <c r="I391" s="18"/>
      <c r="J391" s="24" t="s">
        <v>312</v>
      </c>
      <c r="K391" s="24" t="s">
        <v>312</v>
      </c>
      <c r="L391" s="56">
        <f t="shared" si="26"/>
        <v>462.93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f>2881.3+678.63+137.26+152.33</f>
        <v>3849.5200000000004</v>
      </c>
      <c r="I392" s="18"/>
      <c r="J392" s="24" t="s">
        <v>312</v>
      </c>
      <c r="K392" s="24" t="s">
        <v>312</v>
      </c>
      <c r="L392" s="56">
        <f t="shared" si="26"/>
        <v>3849.5200000000004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10303.380000000001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60303.380000000005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50000</v>
      </c>
      <c r="H400" s="47">
        <f>H385+H393+H399</f>
        <v>10303.380000000001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60303.380000000005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>
        <v>69800</v>
      </c>
      <c r="L414" s="56">
        <f t="shared" si="29"/>
        <v>69800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69800</v>
      </c>
      <c r="L419" s="47">
        <f t="shared" si="30"/>
        <v>69800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69800</v>
      </c>
      <c r="L426" s="47">
        <f t="shared" si="32"/>
        <v>69800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>
        <f>577422.47+69800</f>
        <v>647222.47</v>
      </c>
      <c r="I431" s="56">
        <f t="shared" ref="I431:I437" si="33">SUM(F431:H431)</f>
        <v>647222.47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647222.47</v>
      </c>
      <c r="I438" s="13">
        <f>SUM(I431:I437)</f>
        <v>647222.47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>
        <v>69800</v>
      </c>
      <c r="I441" s="56">
        <f>SUM(F441:H441)</f>
        <v>69800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69800</v>
      </c>
      <c r="I444" s="72">
        <f>SUM(I440:I443)</f>
        <v>69800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>
        <v>577422.47</v>
      </c>
      <c r="I449" s="56">
        <f>SUM(F449:H449)</f>
        <v>577422.47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577422.47</v>
      </c>
      <c r="I450" s="83">
        <f>SUM(I446:I449)</f>
        <v>577422.47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647222.47</v>
      </c>
      <c r="I451" s="42">
        <f>I444+I450</f>
        <v>647222.47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615793.76</v>
      </c>
      <c r="G455" s="18">
        <v>24867.14</v>
      </c>
      <c r="H455" s="18">
        <v>0</v>
      </c>
      <c r="I455" s="18">
        <v>0</v>
      </c>
      <c r="J455" s="18">
        <v>587005.35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5941578.7400000002</v>
      </c>
      <c r="G458" s="18">
        <v>263289.59999999998</v>
      </c>
      <c r="H458" s="18">
        <v>306314.83</v>
      </c>
      <c r="I458" s="18"/>
      <c r="J458" s="18">
        <v>60303.38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6000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5947578.7400000002</v>
      </c>
      <c r="G460" s="53">
        <f>SUM(G458:G459)</f>
        <v>263289.59999999998</v>
      </c>
      <c r="H460" s="53">
        <f>SUM(H458:H459)</f>
        <v>306314.83</v>
      </c>
      <c r="I460" s="53">
        <f>SUM(I458:I459)</f>
        <v>0</v>
      </c>
      <c r="J460" s="53">
        <f>SUM(J458:J459)</f>
        <v>60303.38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5823757.0099999998</v>
      </c>
      <c r="G462" s="18">
        <v>239548.51</v>
      </c>
      <c r="H462" s="18">
        <v>306314.83</v>
      </c>
      <c r="I462" s="18"/>
      <c r="J462" s="18">
        <v>69800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>
        <f>6000+1112.24</f>
        <v>7112.24</v>
      </c>
      <c r="H463" s="18"/>
      <c r="I463" s="18"/>
      <c r="J463" s="18">
        <v>86.26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5823757.0099999998</v>
      </c>
      <c r="G464" s="53">
        <f>SUM(G462:G463)</f>
        <v>246660.75</v>
      </c>
      <c r="H464" s="53">
        <f>SUM(H462:H463)</f>
        <v>306314.83</v>
      </c>
      <c r="I464" s="53">
        <f>SUM(I462:I463)</f>
        <v>0</v>
      </c>
      <c r="J464" s="53">
        <f>SUM(J462:J463)</f>
        <v>69886.259999999995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739615.49000000022</v>
      </c>
      <c r="G466" s="53">
        <f>(G455+G460)- G464</f>
        <v>41495.989999999991</v>
      </c>
      <c r="H466" s="53">
        <f>(H455+H460)- H464</f>
        <v>0</v>
      </c>
      <c r="I466" s="53">
        <f>(I455+I460)- I464</f>
        <v>0</v>
      </c>
      <c r="J466" s="53">
        <f>(J455+J460)- J464</f>
        <v>577422.47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5840000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4.37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3120000</v>
      </c>
      <c r="G485" s="18"/>
      <c r="H485" s="18"/>
      <c r="I485" s="18"/>
      <c r="J485" s="18"/>
      <c r="K485" s="53">
        <f>SUM(F485:J485)</f>
        <v>3120000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390000</v>
      </c>
      <c r="G487" s="18"/>
      <c r="H487" s="18"/>
      <c r="I487" s="18"/>
      <c r="J487" s="18"/>
      <c r="K487" s="53">
        <f t="shared" si="34"/>
        <v>390000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2730000</v>
      </c>
      <c r="G488" s="205"/>
      <c r="H488" s="205"/>
      <c r="I488" s="205"/>
      <c r="J488" s="205"/>
      <c r="K488" s="206">
        <f t="shared" si="34"/>
        <v>2730000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436117.5</v>
      </c>
      <c r="G489" s="18"/>
      <c r="H489" s="18"/>
      <c r="I489" s="18"/>
      <c r="J489" s="18"/>
      <c r="K489" s="53">
        <f t="shared" si="34"/>
        <v>436117.5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3166117.5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3166117.5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390000</v>
      </c>
      <c r="G491" s="205"/>
      <c r="H491" s="205"/>
      <c r="I491" s="205"/>
      <c r="J491" s="205"/>
      <c r="K491" s="206">
        <f t="shared" si="34"/>
        <v>390000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61327.5+53040</f>
        <v>114367.5</v>
      </c>
      <c r="G492" s="18"/>
      <c r="H492" s="18"/>
      <c r="I492" s="18"/>
      <c r="J492" s="18"/>
      <c r="K492" s="53">
        <f t="shared" si="34"/>
        <v>114367.5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504367.5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504367.5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66205+197934.66</f>
        <v>264139.66000000003</v>
      </c>
      <c r="G511" s="18">
        <f>8574.31+27014.16+19954.82+4958.63+1114.47</f>
        <v>61616.39</v>
      </c>
      <c r="H511" s="18">
        <f>7515+139852.33+14552.44</f>
        <v>161919.76999999999</v>
      </c>
      <c r="I511" s="18">
        <f>1281.02+629.74</f>
        <v>1910.76</v>
      </c>
      <c r="J511" s="18">
        <v>1251.26</v>
      </c>
      <c r="K511" s="18"/>
      <c r="L511" s="88">
        <f>SUM(F511:K511)</f>
        <v>490837.84000000008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74014+39413.49</f>
        <v>113427.48999999999</v>
      </c>
      <c r="G513" s="18">
        <f>23326.06+8677.43+5543.47+335.59</f>
        <v>37882.549999999996</v>
      </c>
      <c r="H513" s="18">
        <f>6459.63</f>
        <v>6459.63</v>
      </c>
      <c r="I513" s="18">
        <f>213.26+171.27</f>
        <v>384.53</v>
      </c>
      <c r="J513" s="18"/>
      <c r="K513" s="18"/>
      <c r="L513" s="88">
        <f>SUM(F513:K513)</f>
        <v>158154.19999999998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377567.15</v>
      </c>
      <c r="G514" s="108">
        <f t="shared" ref="G514:L514" si="35">SUM(G511:G513)</f>
        <v>99498.94</v>
      </c>
      <c r="H514" s="108">
        <f t="shared" si="35"/>
        <v>168379.4</v>
      </c>
      <c r="I514" s="108">
        <f t="shared" si="35"/>
        <v>2295.29</v>
      </c>
      <c r="J514" s="108">
        <f t="shared" si="35"/>
        <v>1251.26</v>
      </c>
      <c r="K514" s="108">
        <f t="shared" si="35"/>
        <v>0</v>
      </c>
      <c r="L514" s="89">
        <f t="shared" si="35"/>
        <v>648992.04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15662.68</f>
        <v>15662.68</v>
      </c>
      <c r="G516" s="18">
        <f>1198.23+145.46</f>
        <v>1343.69</v>
      </c>
      <c r="H516" s="18">
        <f>11891.31+46682.32+812.51+13152.66</f>
        <v>72538.8</v>
      </c>
      <c r="I516" s="18">
        <f>2316.38+245.8+908.1+315.92</f>
        <v>3786.2000000000003</v>
      </c>
      <c r="J516" s="18">
        <f>529</f>
        <v>529</v>
      </c>
      <c r="K516" s="18"/>
      <c r="L516" s="88">
        <f>SUM(F516:K516)</f>
        <v>93860.37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15662.68</v>
      </c>
      <c r="G519" s="89">
        <f t="shared" ref="G519:L519" si="36">SUM(G516:G518)</f>
        <v>1343.69</v>
      </c>
      <c r="H519" s="89">
        <f t="shared" si="36"/>
        <v>72538.8</v>
      </c>
      <c r="I519" s="89">
        <f t="shared" si="36"/>
        <v>3786.2000000000003</v>
      </c>
      <c r="J519" s="89">
        <f t="shared" si="36"/>
        <v>529</v>
      </c>
      <c r="K519" s="89">
        <f t="shared" si="36"/>
        <v>0</v>
      </c>
      <c r="L519" s="89">
        <f t="shared" si="36"/>
        <v>93860.37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f>42760.76</f>
        <v>42760.76</v>
      </c>
      <c r="I521" s="18"/>
      <c r="J521" s="18"/>
      <c r="K521" s="18"/>
      <c r="L521" s="88">
        <f>SUM(F521:K521)</f>
        <v>42760.76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f>18326.04</f>
        <v>18326.04</v>
      </c>
      <c r="I523" s="18"/>
      <c r="J523" s="18"/>
      <c r="K523" s="18"/>
      <c r="L523" s="88">
        <f>SUM(F523:K523)</f>
        <v>18326.04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61086.8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61086.8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25457.87</f>
        <v>25457.87</v>
      </c>
      <c r="I531" s="18"/>
      <c r="J531" s="18"/>
      <c r="K531" s="18"/>
      <c r="L531" s="88">
        <f>SUM(F531:K531)</f>
        <v>25457.87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14750</f>
        <v>14750</v>
      </c>
      <c r="I533" s="18"/>
      <c r="J533" s="18"/>
      <c r="K533" s="18"/>
      <c r="L533" s="88">
        <f>SUM(F533:K533)</f>
        <v>14750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40207.869999999995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40207.869999999995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393229.83</v>
      </c>
      <c r="G535" s="89">
        <f t="shared" ref="G535:L535" si="40">G514+G519+G524+G529+G534</f>
        <v>100842.63</v>
      </c>
      <c r="H535" s="89">
        <f t="shared" si="40"/>
        <v>342212.87</v>
      </c>
      <c r="I535" s="89">
        <f t="shared" si="40"/>
        <v>6081.49</v>
      </c>
      <c r="J535" s="89">
        <f t="shared" si="40"/>
        <v>1780.26</v>
      </c>
      <c r="K535" s="89">
        <f t="shared" si="40"/>
        <v>0</v>
      </c>
      <c r="L535" s="89">
        <f t="shared" si="40"/>
        <v>844147.08000000007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490837.84000000008</v>
      </c>
      <c r="G539" s="87">
        <f>L516</f>
        <v>93860.37</v>
      </c>
      <c r="H539" s="87">
        <f>L521</f>
        <v>42760.76</v>
      </c>
      <c r="I539" s="87">
        <f>L526</f>
        <v>0</v>
      </c>
      <c r="J539" s="87">
        <f>L531</f>
        <v>25457.87</v>
      </c>
      <c r="K539" s="87">
        <f>SUM(F539:J539)</f>
        <v>652916.84000000008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158154.19999999998</v>
      </c>
      <c r="G541" s="87">
        <f>L518</f>
        <v>0</v>
      </c>
      <c r="H541" s="87">
        <f>L523</f>
        <v>18326.04</v>
      </c>
      <c r="I541" s="87">
        <f>L528</f>
        <v>0</v>
      </c>
      <c r="J541" s="87">
        <f>L533</f>
        <v>14750</v>
      </c>
      <c r="K541" s="87">
        <f>SUM(F541:J541)</f>
        <v>191230.24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648992.04</v>
      </c>
      <c r="G542" s="89">
        <f t="shared" si="41"/>
        <v>93860.37</v>
      </c>
      <c r="H542" s="89">
        <f t="shared" si="41"/>
        <v>61086.8</v>
      </c>
      <c r="I542" s="89">
        <f t="shared" si="41"/>
        <v>0</v>
      </c>
      <c r="J542" s="89">
        <f t="shared" si="41"/>
        <v>40207.869999999995</v>
      </c>
      <c r="K542" s="89">
        <f t="shared" si="41"/>
        <v>844147.08000000007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139852.32999999999</v>
      </c>
      <c r="G572" s="18"/>
      <c r="H572" s="18">
        <v>6459.63</v>
      </c>
      <c r="I572" s="87">
        <f t="shared" si="46"/>
        <v>146311.96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14552.44</v>
      </c>
      <c r="G573" s="18"/>
      <c r="H573" s="18"/>
      <c r="I573" s="87">
        <f t="shared" si="46"/>
        <v>14552.44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115724.6</v>
      </c>
      <c r="I581" s="18"/>
      <c r="J581" s="18">
        <v>57758.5</v>
      </c>
      <c r="K581" s="104">
        <f t="shared" ref="K581:K587" si="47">SUM(H581:J581)</f>
        <v>173483.1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25457.87</v>
      </c>
      <c r="I582" s="18"/>
      <c r="J582" s="18">
        <v>14750</v>
      </c>
      <c r="K582" s="104">
        <f t="shared" si="47"/>
        <v>40207.869999999995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945.7</v>
      </c>
      <c r="I584" s="18"/>
      <c r="J584" s="18">
        <v>20317.09</v>
      </c>
      <c r="K584" s="104">
        <f t="shared" si="47"/>
        <v>21262.79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5853.6+150</f>
        <v>6003.6</v>
      </c>
      <c r="I585" s="18"/>
      <c r="J585" s="18">
        <v>9296.9</v>
      </c>
      <c r="K585" s="104">
        <f t="shared" si="47"/>
        <v>15300.5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148131.77000000002</v>
      </c>
      <c r="I588" s="108">
        <f>SUM(I581:I587)</f>
        <v>0</v>
      </c>
      <c r="J588" s="108">
        <f>SUM(J581:J587)</f>
        <v>102122.48999999999</v>
      </c>
      <c r="K588" s="108">
        <f>SUM(K581:K587)</f>
        <v>250254.26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>
        <v>46772.21</v>
      </c>
      <c r="K593" s="104">
        <f>SUM(H593:J593)</f>
        <v>46772.21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59724.66-513.8</f>
        <v>59210.86</v>
      </c>
      <c r="I594" s="18"/>
      <c r="J594" s="18">
        <f>60599.71-46772.21</f>
        <v>13827.5</v>
      </c>
      <c r="K594" s="104">
        <f>SUM(H594:J594)</f>
        <v>73038.36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59210.86</v>
      </c>
      <c r="I595" s="108">
        <f>SUM(I592:I594)</f>
        <v>0</v>
      </c>
      <c r="J595" s="108">
        <f>SUM(J592:J594)</f>
        <v>60599.71</v>
      </c>
      <c r="K595" s="108">
        <f>SUM(K592:K594)</f>
        <v>119810.57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1055.43</v>
      </c>
      <c r="G601" s="18">
        <f>80.76+81.83</f>
        <v>162.59</v>
      </c>
      <c r="H601" s="18"/>
      <c r="I601" s="18"/>
      <c r="J601" s="18"/>
      <c r="K601" s="18"/>
      <c r="L601" s="88">
        <f>SUM(F601:K601)</f>
        <v>1218.02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2481.7399999999998</v>
      </c>
      <c r="G603" s="18">
        <v>175.01</v>
      </c>
      <c r="H603" s="18"/>
      <c r="I603" s="18"/>
      <c r="J603" s="18"/>
      <c r="K603" s="18"/>
      <c r="L603" s="88">
        <f>SUM(F603:K603)</f>
        <v>2656.75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3537.17</v>
      </c>
      <c r="G604" s="108">
        <f t="shared" si="48"/>
        <v>337.6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3874.77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894455.53</v>
      </c>
      <c r="H607" s="109">
        <f>SUM(F44)</f>
        <v>894455.53000000026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50773.62</v>
      </c>
      <c r="H608" s="109">
        <f>SUM(G44)</f>
        <v>50773.619999999974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61842.78</v>
      </c>
      <c r="H609" s="109">
        <f>SUM(H44)</f>
        <v>61842.78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647222.47</v>
      </c>
      <c r="H611" s="109">
        <f>SUM(J44)</f>
        <v>647222.47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739615.49000000022</v>
      </c>
      <c r="H612" s="109">
        <f>F466</f>
        <v>739615.49000000022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41495.989999999976</v>
      </c>
      <c r="H613" s="109">
        <f>G466</f>
        <v>41495.989999999991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577422.47</v>
      </c>
      <c r="H616" s="109">
        <f>J466</f>
        <v>577422.47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5941578.7399999984</v>
      </c>
      <c r="H617" s="104">
        <f>SUM(F458)</f>
        <v>5941578.7400000002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263289.59999999998</v>
      </c>
      <c r="H618" s="104">
        <f>SUM(G458)</f>
        <v>263289.59999999998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306314.82999999996</v>
      </c>
      <c r="H619" s="104">
        <f>SUM(H458)</f>
        <v>306314.83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60303.38</v>
      </c>
      <c r="H621" s="104">
        <f>SUM(J458)</f>
        <v>60303.38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5823757.0100000007</v>
      </c>
      <c r="H622" s="104">
        <f>SUM(F462)</f>
        <v>5823757.0099999998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306314.82999999996</v>
      </c>
      <c r="H623" s="104">
        <f>SUM(H462)</f>
        <v>306314.83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107873.83000000002</v>
      </c>
      <c r="H624" s="104">
        <f>I361</f>
        <v>107873.83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239548.51000000004</v>
      </c>
      <c r="H625" s="104">
        <f>SUM(G462)</f>
        <v>239548.51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60303.380000000005</v>
      </c>
      <c r="H627" s="164">
        <f>SUM(J458)</f>
        <v>60303.38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69800</v>
      </c>
      <c r="H628" s="164">
        <f>SUM(J462)</f>
        <v>69800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647222.47</v>
      </c>
      <c r="H631" s="104">
        <f>SUM(H451)</f>
        <v>647222.47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647222.47</v>
      </c>
      <c r="H632" s="104">
        <f>SUM(I451)</f>
        <v>647222.47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10303.379999999999</v>
      </c>
      <c r="H634" s="104">
        <f>H400</f>
        <v>10303.380000000001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50000</v>
      </c>
      <c r="H635" s="104">
        <f>G400</f>
        <v>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60303.38</v>
      </c>
      <c r="H636" s="104">
        <f>L400</f>
        <v>60303.380000000005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250254.26</v>
      </c>
      <c r="H637" s="104">
        <f>L200+L218+L236</f>
        <v>250254.26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119810.57</v>
      </c>
      <c r="H638" s="104">
        <f>(J249+J330)-(J247+J328)</f>
        <v>119810.56999999999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148131.77000000002</v>
      </c>
      <c r="H639" s="104">
        <f>H588</f>
        <v>148131.77000000002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102122.48999999999</v>
      </c>
      <c r="H641" s="104">
        <f>J588</f>
        <v>102122.48999999999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64000</v>
      </c>
      <c r="H642" s="104">
        <f>K255+K337</f>
        <v>64000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50000</v>
      </c>
      <c r="H645" s="104">
        <f>K258+K339</f>
        <v>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3550236.3700000006</v>
      </c>
      <c r="G650" s="19">
        <f>(L221+L301+L351)</f>
        <v>0</v>
      </c>
      <c r="H650" s="19">
        <f>(L239+L320+L352)</f>
        <v>2179142.8899999997</v>
      </c>
      <c r="I650" s="19">
        <f>SUM(F650:H650)</f>
        <v>5729379.2599999998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60926.096135340609</v>
      </c>
      <c r="G651" s="19">
        <f>(L351/IF(SUM(L350:L352)=0,1,SUM(L350:L352))*(SUM(G89:G102)))</f>
        <v>0</v>
      </c>
      <c r="H651" s="19">
        <f>(L352/IF(SUM(L350:L352)=0,1,SUM(L350:L352))*(SUM(G89:G102)))</f>
        <v>29789.423864659391</v>
      </c>
      <c r="I651" s="19">
        <f>SUM(F651:H651)</f>
        <v>90715.520000000004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148349.43000000002</v>
      </c>
      <c r="G652" s="19">
        <f>(L218+L298)-(J218+J298)</f>
        <v>0</v>
      </c>
      <c r="H652" s="19">
        <f>(L236+L317)-(J236+J317)</f>
        <v>102122.48999999999</v>
      </c>
      <c r="I652" s="19">
        <f>SUM(F652:H652)</f>
        <v>250471.92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214833.65</v>
      </c>
      <c r="G653" s="200">
        <f>SUM(G565:G577)+SUM(I592:I594)+L602</f>
        <v>0</v>
      </c>
      <c r="H653" s="200">
        <f>SUM(H565:H577)+SUM(J592:J594)+L603</f>
        <v>69716.09</v>
      </c>
      <c r="I653" s="19">
        <f>SUM(F653:H653)</f>
        <v>284549.74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3126127.1938646599</v>
      </c>
      <c r="G654" s="19">
        <f>G650-SUM(G651:G653)</f>
        <v>0</v>
      </c>
      <c r="H654" s="19">
        <f>H650-SUM(H651:H653)</f>
        <v>1977514.8861353402</v>
      </c>
      <c r="I654" s="19">
        <f>I650-SUM(I651:I653)</f>
        <v>5103642.08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275.70999999999998</v>
      </c>
      <c r="G655" s="249"/>
      <c r="H655" s="249">
        <v>148.09</v>
      </c>
      <c r="I655" s="19">
        <f>SUM(F655:H655)</f>
        <v>423.79999999999995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11338.46</v>
      </c>
      <c r="G657" s="19" t="e">
        <f>ROUND(G654/G655,2)</f>
        <v>#DIV/0!</v>
      </c>
      <c r="H657" s="19">
        <f>ROUND(H654/H655,2)</f>
        <v>13353.47</v>
      </c>
      <c r="I657" s="19">
        <f>ROUND(I654/I655,2)</f>
        <v>12042.57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-2.14</v>
      </c>
      <c r="I660" s="19">
        <f>SUM(F660:H660)</f>
        <v>-2.14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11338.46</v>
      </c>
      <c r="G662" s="19" t="e">
        <f>ROUND((G654+G659)/(G655+G660),2)</f>
        <v>#DIV/0!</v>
      </c>
      <c r="H662" s="19">
        <f>ROUND((H654+H659)/(H655+H660),2)</f>
        <v>13549.26</v>
      </c>
      <c r="I662" s="19">
        <f>ROUND((I654+I659)/(I655+I660),2)</f>
        <v>12103.69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F74D-0BDF-42D9-A73F-904359F53BD9}">
  <sheetPr>
    <tabColor indexed="20"/>
  </sheetPr>
  <dimension ref="A1:C52"/>
  <sheetViews>
    <sheetView workbookViewId="0">
      <selection activeCell="C54" sqref="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Colebrook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1530287.84</v>
      </c>
      <c r="C9" s="230">
        <f>'DOE25'!G189+'DOE25'!G207+'DOE25'!G225+'DOE25'!G268+'DOE25'!G287+'DOE25'!G306</f>
        <v>662574.97</v>
      </c>
    </row>
    <row r="10" spans="1:3" x14ac:dyDescent="0.2">
      <c r="A10" t="s">
        <v>813</v>
      </c>
      <c r="B10" s="241">
        <f>1457345</f>
        <v>1457345</v>
      </c>
      <c r="C10" s="241">
        <f>C9-C11-C12</f>
        <v>656776.01422000001</v>
      </c>
    </row>
    <row r="11" spans="1:3" x14ac:dyDescent="0.2">
      <c r="A11" t="s">
        <v>814</v>
      </c>
      <c r="B11" s="241">
        <f>26483.96+16922.54</f>
        <v>43406.5</v>
      </c>
      <c r="C11" s="241">
        <f>B11*0.0795</f>
        <v>3450.81675</v>
      </c>
    </row>
    <row r="12" spans="1:3" x14ac:dyDescent="0.2">
      <c r="A12" t="s">
        <v>815</v>
      </c>
      <c r="B12" s="241">
        <f>29536.34</f>
        <v>29536.34</v>
      </c>
      <c r="C12" s="241">
        <f>B12*0.0795</f>
        <v>2348.1390299999998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1530287.84</v>
      </c>
      <c r="C13" s="232">
        <f>SUM(C10:C12)</f>
        <v>662574.97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512784.13</v>
      </c>
      <c r="C18" s="230">
        <f>'DOE25'!G190+'DOE25'!G208+'DOE25'!G226+'DOE25'!G269+'DOE25'!G288+'DOE25'!G307</f>
        <v>141383.63999999998</v>
      </c>
    </row>
    <row r="19" spans="1:3" x14ac:dyDescent="0.2">
      <c r="A19" t="s">
        <v>813</v>
      </c>
      <c r="B19" s="241">
        <f>140219+105472.02</f>
        <v>245691.02000000002</v>
      </c>
      <c r="C19" s="241">
        <f>C18-C20-C21</f>
        <v>120149.73775499998</v>
      </c>
    </row>
    <row r="20" spans="1:3" x14ac:dyDescent="0.2">
      <c r="A20" t="s">
        <v>814</v>
      </c>
      <c r="B20" s="241">
        <f>237348.15+21050.65+120</f>
        <v>258518.8</v>
      </c>
      <c r="C20" s="241">
        <f>B20*0.0795</f>
        <v>20552.244599999998</v>
      </c>
    </row>
    <row r="21" spans="1:3" x14ac:dyDescent="0.2">
      <c r="A21" t="s">
        <v>815</v>
      </c>
      <c r="B21" s="241">
        <v>8574.31</v>
      </c>
      <c r="C21" s="241">
        <f>B21*0.0795</f>
        <v>681.657645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512784.13</v>
      </c>
      <c r="C22" s="232">
        <f>SUM(C19:C21)</f>
        <v>141383.63999999998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82320.39</v>
      </c>
      <c r="C36" s="236">
        <f>'DOE25'!G192+'DOE25'!G210+'DOE25'!G228+'DOE25'!G271+'DOE25'!G290+'DOE25'!G309</f>
        <v>9607</v>
      </c>
    </row>
    <row r="37" spans="1:3" x14ac:dyDescent="0.2">
      <c r="A37" t="s">
        <v>813</v>
      </c>
      <c r="B37" s="241">
        <f>22020+3537.17</f>
        <v>25557.17</v>
      </c>
      <c r="C37" s="241">
        <f>C36-C38-C39</f>
        <v>5094.3240100000003</v>
      </c>
    </row>
    <row r="38" spans="1:3" x14ac:dyDescent="0.2">
      <c r="A38" t="s">
        <v>814</v>
      </c>
      <c r="B38" s="241">
        <v>3307.22</v>
      </c>
      <c r="C38" s="241">
        <f>B38*0.0795</f>
        <v>262.92399</v>
      </c>
    </row>
    <row r="39" spans="1:3" x14ac:dyDescent="0.2">
      <c r="A39" t="s">
        <v>815</v>
      </c>
      <c r="B39" s="241">
        <v>53456</v>
      </c>
      <c r="C39" s="241">
        <f>B39*0.0795</f>
        <v>4249.7520000000004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82320.39</v>
      </c>
      <c r="C40" s="232">
        <f>SUM(C37:C39)</f>
        <v>9607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283BC-D3FD-4D6D-97D6-C641EBC14E2C}">
  <sheetPr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Colebrook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3100219.8500000006</v>
      </c>
      <c r="D5" s="20">
        <f>SUM('DOE25'!L189:L192)+SUM('DOE25'!L207:L210)+SUM('DOE25'!L225:L228)-F5-G5</f>
        <v>3071981.8000000007</v>
      </c>
      <c r="E5" s="244"/>
      <c r="F5" s="256">
        <f>SUM('DOE25'!J189:J192)+SUM('DOE25'!J207:J210)+SUM('DOE25'!J225:J228)</f>
        <v>18109.05</v>
      </c>
      <c r="G5" s="53">
        <f>SUM('DOE25'!K189:K192)+SUM('DOE25'!K207:K210)+SUM('DOE25'!K225:K228)</f>
        <v>10129</v>
      </c>
      <c r="H5" s="260"/>
    </row>
    <row r="6" spans="1:9" x14ac:dyDescent="0.2">
      <c r="A6" s="32">
        <v>2100</v>
      </c>
      <c r="B6" t="s">
        <v>835</v>
      </c>
      <c r="C6" s="246">
        <f t="shared" si="0"/>
        <v>451655.14999999991</v>
      </c>
      <c r="D6" s="20">
        <f>'DOE25'!L194+'DOE25'!L212+'DOE25'!L230-F6-G6</f>
        <v>434688.90999999992</v>
      </c>
      <c r="E6" s="244"/>
      <c r="F6" s="256">
        <f>'DOE25'!J194+'DOE25'!J212+'DOE25'!J230</f>
        <v>12235.73</v>
      </c>
      <c r="G6" s="53">
        <f>'DOE25'!K194+'DOE25'!K212+'DOE25'!K230</f>
        <v>4730.51</v>
      </c>
      <c r="H6" s="260"/>
    </row>
    <row r="7" spans="1:9" x14ac:dyDescent="0.2">
      <c r="A7" s="32">
        <v>2200</v>
      </c>
      <c r="B7" t="s">
        <v>868</v>
      </c>
      <c r="C7" s="246">
        <f t="shared" si="0"/>
        <v>104878.1</v>
      </c>
      <c r="D7" s="20">
        <f>'DOE25'!L195+'DOE25'!L213+'DOE25'!L231-F7-G7</f>
        <v>97338.62000000001</v>
      </c>
      <c r="E7" s="244"/>
      <c r="F7" s="256">
        <f>'DOE25'!J195+'DOE25'!J213+'DOE25'!J231</f>
        <v>1379.48</v>
      </c>
      <c r="G7" s="53">
        <f>'DOE25'!K195+'DOE25'!K213+'DOE25'!K231</f>
        <v>6160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171080.76999999996</v>
      </c>
      <c r="D8" s="244"/>
      <c r="E8" s="20">
        <f>'DOE25'!L196+'DOE25'!L214+'DOE25'!L232-F8-G8-D9-D11</f>
        <v>166410.73999999996</v>
      </c>
      <c r="F8" s="256">
        <f>'DOE25'!J196+'DOE25'!J214+'DOE25'!J232</f>
        <v>0</v>
      </c>
      <c r="G8" s="53">
        <f>'DOE25'!K196+'DOE25'!K214+'DOE25'!K232</f>
        <v>4670.0300000000007</v>
      </c>
      <c r="H8" s="260"/>
    </row>
    <row r="9" spans="1:9" x14ac:dyDescent="0.2">
      <c r="A9" s="32">
        <v>2310</v>
      </c>
      <c r="B9" t="s">
        <v>852</v>
      </c>
      <c r="C9" s="246">
        <f t="shared" si="0"/>
        <v>37503.199999999997</v>
      </c>
      <c r="D9" s="245">
        <v>37503.199999999997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8000</v>
      </c>
      <c r="D10" s="244"/>
      <c r="E10" s="245">
        <f>3696+1600+1904+800</f>
        <v>8000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79697.78</v>
      </c>
      <c r="D11" s="245">
        <v>79697.78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336338.50999999995</v>
      </c>
      <c r="D12" s="20">
        <f>'DOE25'!L197+'DOE25'!L215+'DOE25'!L233-F12-G12</f>
        <v>332510.75999999995</v>
      </c>
      <c r="E12" s="244"/>
      <c r="F12" s="256">
        <f>'DOE25'!J197+'DOE25'!J215+'DOE25'!J233</f>
        <v>1052.75</v>
      </c>
      <c r="G12" s="53">
        <f>'DOE25'!K197+'DOE25'!K215+'DOE25'!K233</f>
        <v>2775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652036.89</v>
      </c>
      <c r="D14" s="20">
        <f>'DOE25'!L199+'DOE25'!L217+'DOE25'!L235-F14-G14</f>
        <v>600926.42000000004</v>
      </c>
      <c r="E14" s="244"/>
      <c r="F14" s="256">
        <f>'DOE25'!J199+'DOE25'!J217+'DOE25'!J235</f>
        <v>50111.72</v>
      </c>
      <c r="G14" s="53">
        <f>'DOE25'!K199+'DOE25'!K217+'DOE25'!K235</f>
        <v>998.75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250254.26</v>
      </c>
      <c r="D15" s="20">
        <f>'DOE25'!L200+'DOE25'!L218+'DOE25'!L236-F15-G15</f>
        <v>250254.26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520942.5</v>
      </c>
      <c r="D25" s="244"/>
      <c r="E25" s="244"/>
      <c r="F25" s="259"/>
      <c r="G25" s="257"/>
      <c r="H25" s="258">
        <f>'DOE25'!L252+'DOE25'!L253+'DOE25'!L333+'DOE25'!L334</f>
        <v>520942.5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145331.99000000005</v>
      </c>
      <c r="D29" s="20">
        <f>'DOE25'!L350+'DOE25'!L351+'DOE25'!L352-'DOE25'!I359-F29-G29</f>
        <v>143315.90000000005</v>
      </c>
      <c r="E29" s="244"/>
      <c r="F29" s="256">
        <f>'DOE25'!J350+'DOE25'!J351+'DOE25'!J352</f>
        <v>513.79999999999995</v>
      </c>
      <c r="G29" s="53">
        <f>'DOE25'!K350+'DOE25'!K351+'DOE25'!K352</f>
        <v>1502.29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306314.82999999996</v>
      </c>
      <c r="D31" s="20">
        <f>'DOE25'!L282+'DOE25'!L301+'DOE25'!L320+'DOE25'!L325+'DOE25'!L326+'DOE25'!L327-F31-G31</f>
        <v>265604.36</v>
      </c>
      <c r="E31" s="244"/>
      <c r="F31" s="256">
        <f>'DOE25'!J282+'DOE25'!J301+'DOE25'!J320+'DOE25'!J325+'DOE25'!J326+'DOE25'!J327</f>
        <v>36921.839999999997</v>
      </c>
      <c r="G31" s="53">
        <f>'DOE25'!K282+'DOE25'!K301+'DOE25'!K320+'DOE25'!K325+'DOE25'!K326+'DOE25'!K327</f>
        <v>3788.63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5313822.0100000016</v>
      </c>
      <c r="E33" s="247">
        <f>SUM(E5:E31)</f>
        <v>174410.73999999996</v>
      </c>
      <c r="F33" s="247">
        <f>SUM(F5:F31)</f>
        <v>120324.37</v>
      </c>
      <c r="G33" s="247">
        <f>SUM(G5:G31)</f>
        <v>34754.21</v>
      </c>
      <c r="H33" s="247">
        <f>SUM(H5:H31)</f>
        <v>520942.5</v>
      </c>
    </row>
    <row r="35" spans="2:8" ht="12" thickBot="1" x14ac:dyDescent="0.25">
      <c r="B35" s="254" t="s">
        <v>881</v>
      </c>
      <c r="D35" s="255">
        <f>E33</f>
        <v>174410.73999999996</v>
      </c>
      <c r="E35" s="250"/>
    </row>
    <row r="36" spans="2:8" ht="12" thickTop="1" x14ac:dyDescent="0.2">
      <c r="B36" t="s">
        <v>849</v>
      </c>
      <c r="D36" s="20">
        <f>D33</f>
        <v>5313822.0100000016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A0BF-4F41-4A85-AC25-DF0AE5CF309E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Colebrook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662331.96</v>
      </c>
      <c r="D9" s="95">
        <f>'DOE25'!G9</f>
        <v>13223.51</v>
      </c>
      <c r="E9" s="95">
        <f>'DOE25'!H9</f>
        <v>0</v>
      </c>
      <c r="F9" s="95">
        <f>'DOE25'!I9</f>
        <v>0</v>
      </c>
      <c r="G9" s="95">
        <f>'DOE25'!J9</f>
        <v>647222.47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50674.559999999998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152966.79</v>
      </c>
      <c r="D13" s="95">
        <f>'DOE25'!G13</f>
        <v>27908.47</v>
      </c>
      <c r="E13" s="95">
        <f>'DOE25'!H13</f>
        <v>61842.78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2130.39</v>
      </c>
      <c r="D14" s="95">
        <f>'DOE25'!G14</f>
        <v>36.25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9605.39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26351.83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894455.53</v>
      </c>
      <c r="D19" s="41">
        <f>SUM(D9:D18)</f>
        <v>50773.62</v>
      </c>
      <c r="E19" s="41">
        <f>SUM(E9:E18)</f>
        <v>61842.78</v>
      </c>
      <c r="F19" s="41">
        <f>SUM(F9:F18)</f>
        <v>0</v>
      </c>
      <c r="G19" s="41">
        <f>SUM(G9:G18)</f>
        <v>647222.47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7079.15</v>
      </c>
      <c r="E22" s="95">
        <f>'DOE25'!H23</f>
        <v>43595.41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69800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98752.23</v>
      </c>
      <c r="D24" s="95">
        <f>'DOE25'!G25</f>
        <v>2198.48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35029.54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21058.27</v>
      </c>
      <c r="D30" s="95">
        <f>'DOE25'!G31</f>
        <v>0</v>
      </c>
      <c r="E30" s="95">
        <f>'DOE25'!H31</f>
        <v>18247.37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154840.03999999998</v>
      </c>
      <c r="D32" s="41">
        <f>SUM(D22:D31)</f>
        <v>9277.6299999999992</v>
      </c>
      <c r="E32" s="41">
        <f>SUM(E22:E31)</f>
        <v>61842.78</v>
      </c>
      <c r="F32" s="41">
        <f>SUM(F22:F31)</f>
        <v>0</v>
      </c>
      <c r="G32" s="41">
        <f>SUM(G22:G31)</f>
        <v>69800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9605.39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6495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31890.599999999977</v>
      </c>
      <c r="E40" s="95">
        <f>'DOE25'!H41</f>
        <v>0</v>
      </c>
      <c r="F40" s="95">
        <f>'DOE25'!I41</f>
        <v>0</v>
      </c>
      <c r="G40" s="95">
        <f>'DOE25'!J41</f>
        <v>577422.47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733120.49000000022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739615.49000000022</v>
      </c>
      <c r="D42" s="41">
        <f>SUM(D34:D41)</f>
        <v>41495.989999999976</v>
      </c>
      <c r="E42" s="41">
        <f>SUM(E34:E41)</f>
        <v>0</v>
      </c>
      <c r="F42" s="41">
        <f>SUM(F34:F41)</f>
        <v>0</v>
      </c>
      <c r="G42" s="41">
        <f>SUM(G34:G41)</f>
        <v>577422.47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894455.53000000026</v>
      </c>
      <c r="D43" s="41">
        <f>D42+D32</f>
        <v>50773.619999999974</v>
      </c>
      <c r="E43" s="41">
        <f>E42+E32</f>
        <v>61842.78</v>
      </c>
      <c r="F43" s="41">
        <f>F42+F32</f>
        <v>0</v>
      </c>
      <c r="G43" s="41">
        <f>G42+G32</f>
        <v>647222.47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1511925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1595476.0599999998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1300.97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10303.379999999999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90715.520000000004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94948.35</v>
      </c>
      <c r="D53" s="95">
        <f>SUM('DOE25'!G90:G102)</f>
        <v>0</v>
      </c>
      <c r="E53" s="95">
        <f>SUM('DOE25'!H90:H102)</f>
        <v>11070.070000000002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1691725.38</v>
      </c>
      <c r="D54" s="130">
        <f>SUM(D49:D53)</f>
        <v>90715.520000000004</v>
      </c>
      <c r="E54" s="130">
        <f>SUM(E49:E53)</f>
        <v>11070.070000000002</v>
      </c>
      <c r="F54" s="130">
        <f>SUM(F49:F53)</f>
        <v>0</v>
      </c>
      <c r="G54" s="130">
        <f>SUM(G49:G53)</f>
        <v>10303.379999999999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3203650.38</v>
      </c>
      <c r="D55" s="22">
        <f>D48+D54</f>
        <v>90715.520000000004</v>
      </c>
      <c r="E55" s="22">
        <f>E48+E54</f>
        <v>11070.070000000002</v>
      </c>
      <c r="F55" s="22">
        <f>F48+F54</f>
        <v>0</v>
      </c>
      <c r="G55" s="22">
        <f>G48+G54</f>
        <v>10303.379999999999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1494000.6399999999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382075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573202.36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2449278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206722.77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495.07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5550</v>
      </c>
      <c r="D69" s="95">
        <f>SUM('DOE25'!G123:G127)</f>
        <v>3015.63</v>
      </c>
      <c r="E69" s="95">
        <f>SUM('DOE25'!H123:H127)</f>
        <v>7164.92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212767.84</v>
      </c>
      <c r="D70" s="130">
        <f>SUM(D64:D69)</f>
        <v>3015.63</v>
      </c>
      <c r="E70" s="130">
        <f>SUM(E64:E69)</f>
        <v>7164.92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2662045.84</v>
      </c>
      <c r="D73" s="130">
        <f>SUM(D71:D72)+D70+D62</f>
        <v>3015.63</v>
      </c>
      <c r="E73" s="130">
        <f>SUM(E71:E72)+E70+E62</f>
        <v>7164.92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3478.66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6015.85</v>
      </c>
      <c r="D80" s="95">
        <f>SUM('DOE25'!G145:G153)</f>
        <v>105558.45</v>
      </c>
      <c r="E80" s="95">
        <f>SUM('DOE25'!H145:H153)</f>
        <v>284601.18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6015.85</v>
      </c>
      <c r="D83" s="131">
        <f>SUM(D77:D82)</f>
        <v>105558.45</v>
      </c>
      <c r="E83" s="131">
        <f>SUM(E77:E82)</f>
        <v>288079.83999999997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64000</v>
      </c>
      <c r="E88" s="95">
        <f>'DOE25'!H171</f>
        <v>0</v>
      </c>
      <c r="F88" s="95">
        <f>'DOE25'!I171</f>
        <v>0</v>
      </c>
      <c r="G88" s="95">
        <f>'DOE25'!J171</f>
        <v>50000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69866.67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69866.67</v>
      </c>
      <c r="D95" s="86">
        <f>SUM(D85:D94)</f>
        <v>64000</v>
      </c>
      <c r="E95" s="86">
        <f>SUM(E85:E94)</f>
        <v>0</v>
      </c>
      <c r="F95" s="86">
        <f>SUM(F85:F94)</f>
        <v>0</v>
      </c>
      <c r="G95" s="86">
        <f>SUM(G85:G94)</f>
        <v>50000</v>
      </c>
    </row>
    <row r="96" spans="1:7" ht="12.75" thickTop="1" thickBot="1" x14ac:dyDescent="0.25">
      <c r="A96" s="33" t="s">
        <v>797</v>
      </c>
      <c r="C96" s="86">
        <f>C55+C73+C83+C95</f>
        <v>5941578.7399999993</v>
      </c>
      <c r="D96" s="86">
        <f>D55+D73+D83+D95</f>
        <v>263289.59999999998</v>
      </c>
      <c r="E96" s="86">
        <f>E55+E73+E83+E95</f>
        <v>306314.82999999996</v>
      </c>
      <c r="F96" s="86">
        <f>F55+F73+F83+F95</f>
        <v>0</v>
      </c>
      <c r="G96" s="86">
        <f>G55+G73+G95</f>
        <v>60303.38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2338457.12</v>
      </c>
      <c r="D101" s="24" t="s">
        <v>312</v>
      </c>
      <c r="E101" s="95">
        <f>('DOE25'!L268)+('DOE25'!L287)+('DOE25'!L306)</f>
        <v>5880.84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648992.04</v>
      </c>
      <c r="D102" s="24" t="s">
        <v>312</v>
      </c>
      <c r="E102" s="95">
        <f>('DOE25'!L269)+('DOE25'!L288)+('DOE25'!L307)</f>
        <v>222749.03999999998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112770.69</v>
      </c>
      <c r="D104" s="24" t="s">
        <v>312</v>
      </c>
      <c r="E104" s="95">
        <f>+('DOE25'!L271)+('DOE25'!L290)+('DOE25'!L309)</f>
        <v>3775.11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148.59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3100219.85</v>
      </c>
      <c r="D107" s="86">
        <f>SUM(D101:D106)</f>
        <v>0</v>
      </c>
      <c r="E107" s="86">
        <f>SUM(E101:E106)</f>
        <v>232553.57999999996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451655.14999999991</v>
      </c>
      <c r="D110" s="24" t="s">
        <v>312</v>
      </c>
      <c r="E110" s="95">
        <f>+('DOE25'!L273)+('DOE25'!L292)+('DOE25'!L311)</f>
        <v>8245.91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104878.1</v>
      </c>
      <c r="D111" s="24" t="s">
        <v>312</v>
      </c>
      <c r="E111" s="95">
        <f>+('DOE25'!L274)+('DOE25'!L293)+('DOE25'!L312)</f>
        <v>58934.450000000004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288281.75</v>
      </c>
      <c r="D112" s="24" t="s">
        <v>312</v>
      </c>
      <c r="E112" s="95">
        <f>+('DOE25'!L275)+('DOE25'!L294)+('DOE25'!L313)</f>
        <v>4363.2299999999996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336338.50999999995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2000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652036.89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250254.26</v>
      </c>
      <c r="D116" s="24" t="s">
        <v>312</v>
      </c>
      <c r="E116" s="95">
        <f>+('DOE25'!L279)+('DOE25'!L298)+('DOE25'!L317)</f>
        <v>217.66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239548.51000000004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2083444.66</v>
      </c>
      <c r="D120" s="86">
        <f>SUM(D110:D119)</f>
        <v>239548.51000000004</v>
      </c>
      <c r="E120" s="86">
        <f>SUM(E110:E119)</f>
        <v>73761.25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390000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130942.5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69800</v>
      </c>
    </row>
    <row r="127" spans="1:7" x14ac:dyDescent="0.2">
      <c r="A127" t="s">
        <v>256</v>
      </c>
      <c r="B127" s="32" t="s">
        <v>257</v>
      </c>
      <c r="C127" s="95">
        <f>'DOE25'!L255</f>
        <v>64000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60303.380000000005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-10303.380000000005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5150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640092.5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69800</v>
      </c>
    </row>
    <row r="137" spans="1:9" ht="12.75" thickTop="1" thickBot="1" x14ac:dyDescent="0.25">
      <c r="A137" s="33" t="s">
        <v>267</v>
      </c>
      <c r="C137" s="86">
        <f>(C107+C120+C136)</f>
        <v>5823757.0099999998</v>
      </c>
      <c r="D137" s="86">
        <f>(D107+D120+D136)</f>
        <v>239548.51000000004</v>
      </c>
      <c r="E137" s="86">
        <f>(E107+E120+E136)</f>
        <v>306314.82999999996</v>
      </c>
      <c r="F137" s="86">
        <f>(F107+F120+F136)</f>
        <v>0</v>
      </c>
      <c r="G137" s="86">
        <f>(G107+G120+G136)</f>
        <v>69800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July  2001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July 2016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5840000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4.37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3120000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3120000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390000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390000</v>
      </c>
    </row>
    <row r="151" spans="1:7" x14ac:dyDescent="0.2">
      <c r="A151" s="22" t="s">
        <v>35</v>
      </c>
      <c r="B151" s="137">
        <f>'DOE25'!F488</f>
        <v>2730000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2730000</v>
      </c>
    </row>
    <row r="152" spans="1:7" x14ac:dyDescent="0.2">
      <c r="A152" s="22" t="s">
        <v>36</v>
      </c>
      <c r="B152" s="137">
        <f>'DOE25'!F489</f>
        <v>436117.5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436117.5</v>
      </c>
    </row>
    <row r="153" spans="1:7" x14ac:dyDescent="0.2">
      <c r="A153" s="22" t="s">
        <v>37</v>
      </c>
      <c r="B153" s="137">
        <f>'DOE25'!F490</f>
        <v>3166117.5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3166117.5</v>
      </c>
    </row>
    <row r="154" spans="1:7" x14ac:dyDescent="0.2">
      <c r="A154" s="22" t="s">
        <v>38</v>
      </c>
      <c r="B154" s="137">
        <f>'DOE25'!F491</f>
        <v>390000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390000</v>
      </c>
    </row>
    <row r="155" spans="1:7" x14ac:dyDescent="0.2">
      <c r="A155" s="22" t="s">
        <v>39</v>
      </c>
      <c r="B155" s="137">
        <f>'DOE25'!F492</f>
        <v>114367.5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114367.5</v>
      </c>
    </row>
    <row r="156" spans="1:7" x14ac:dyDescent="0.2">
      <c r="A156" s="22" t="s">
        <v>269</v>
      </c>
      <c r="B156" s="137">
        <f>'DOE25'!F493</f>
        <v>504367.5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504367.5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A3DD-3B33-45DC-9CB0-9BF2D41CB660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Colebrook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11338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13549</v>
      </c>
    </row>
    <row r="7" spans="1:4" x14ac:dyDescent="0.2">
      <c r="B7" t="s">
        <v>736</v>
      </c>
      <c r="C7" s="179">
        <f>IF('DOE25'!I655+'DOE25'!I660=0,0,ROUND('DOE25'!I662,0))</f>
        <v>12104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2344338</v>
      </c>
      <c r="D10" s="182">
        <f>ROUND((C10/$C$28)*100,1)</f>
        <v>40.6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871741</v>
      </c>
      <c r="D11" s="182">
        <f>ROUND((C11/$C$28)*100,1)</f>
        <v>15.1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116546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459901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163813</v>
      </c>
      <c r="D16" s="182">
        <f t="shared" si="0"/>
        <v>2.8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292645</v>
      </c>
      <c r="D17" s="182">
        <f t="shared" si="0"/>
        <v>5.0999999999999996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336339</v>
      </c>
      <c r="D18" s="182">
        <f t="shared" si="0"/>
        <v>5.8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2000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652037</v>
      </c>
      <c r="D20" s="182">
        <f t="shared" si="0"/>
        <v>11.3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250472</v>
      </c>
      <c r="D21" s="182">
        <f t="shared" si="0"/>
        <v>4.3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149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130943</v>
      </c>
      <c r="D25" s="182">
        <f t="shared" si="0"/>
        <v>2.2999999999999998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5150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148833.47999999998</v>
      </c>
      <c r="D27" s="182">
        <f t="shared" si="0"/>
        <v>2.6</v>
      </c>
    </row>
    <row r="28" spans="1:4" x14ac:dyDescent="0.2">
      <c r="B28" s="187" t="s">
        <v>754</v>
      </c>
      <c r="C28" s="180">
        <f>SUM(C10:C27)</f>
        <v>5774907.4800000004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5774907.4800000004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390000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1511925</v>
      </c>
      <c r="D35" s="182">
        <f t="shared" ref="D35:D40" si="1">ROUND((C35/$C$41)*100,1)</f>
        <v>24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1713098.8299999991</v>
      </c>
      <c r="D36" s="182">
        <f t="shared" si="1"/>
        <v>27.2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1876076</v>
      </c>
      <c r="D37" s="182">
        <f t="shared" si="1"/>
        <v>29.8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796151</v>
      </c>
      <c r="D38" s="182">
        <f t="shared" si="1"/>
        <v>12.6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399654</v>
      </c>
      <c r="D39" s="182">
        <f t="shared" si="1"/>
        <v>6.3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6296904.8299999991</v>
      </c>
      <c r="D41" s="184">
        <f>SUM(D35:D40)</f>
        <v>99.899999999999991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4B88-C0B4-40F8-AAD8-6AEEE6FFB359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Colebrook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893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70A" sheet="1" objects="1" scenarios="1"/>
  <mergeCells count="223">
    <mergeCell ref="C80:M80"/>
    <mergeCell ref="C78:M78"/>
    <mergeCell ref="C79:M79"/>
    <mergeCell ref="C75:M75"/>
    <mergeCell ref="C90:M90"/>
    <mergeCell ref="C81:M81"/>
    <mergeCell ref="C82:M82"/>
    <mergeCell ref="C83:M83"/>
    <mergeCell ref="C84:M84"/>
    <mergeCell ref="C85:M85"/>
    <mergeCell ref="C86:M86"/>
    <mergeCell ref="C87:M87"/>
    <mergeCell ref="C88:M88"/>
    <mergeCell ref="C89:M89"/>
    <mergeCell ref="C77:M77"/>
    <mergeCell ref="C67:M67"/>
    <mergeCell ref="C68:M68"/>
    <mergeCell ref="C69:M69"/>
    <mergeCell ref="C70:M70"/>
    <mergeCell ref="C66:M66"/>
    <mergeCell ref="C74:M74"/>
    <mergeCell ref="A72:E72"/>
    <mergeCell ref="C73:M73"/>
    <mergeCell ref="C21:M21"/>
    <mergeCell ref="C24:M24"/>
    <mergeCell ref="C25:M25"/>
    <mergeCell ref="C62:M62"/>
    <mergeCell ref="C63:M63"/>
    <mergeCell ref="C76:M76"/>
    <mergeCell ref="C65:M65"/>
    <mergeCell ref="C23:M23"/>
    <mergeCell ref="C44:M44"/>
    <mergeCell ref="C12:M12"/>
    <mergeCell ref="C13:M13"/>
    <mergeCell ref="C34:M34"/>
    <mergeCell ref="C35:M35"/>
    <mergeCell ref="C19:M19"/>
    <mergeCell ref="C20:M20"/>
    <mergeCell ref="C29:M29"/>
    <mergeCell ref="C64:M64"/>
    <mergeCell ref="C36:M36"/>
    <mergeCell ref="C14:M14"/>
    <mergeCell ref="C15:M15"/>
    <mergeCell ref="C16:M16"/>
    <mergeCell ref="C17:M17"/>
    <mergeCell ref="C18:M18"/>
    <mergeCell ref="C22:M22"/>
    <mergeCell ref="C26:M26"/>
    <mergeCell ref="C27:M27"/>
    <mergeCell ref="A1:I1"/>
    <mergeCell ref="C3:M3"/>
    <mergeCell ref="C4:M4"/>
    <mergeCell ref="F2:I2"/>
    <mergeCell ref="C5:M5"/>
    <mergeCell ref="C6:M6"/>
    <mergeCell ref="AC31:AM31"/>
    <mergeCell ref="AP31:AZ31"/>
    <mergeCell ref="P30:Z30"/>
    <mergeCell ref="C10:M10"/>
    <mergeCell ref="C11:M11"/>
    <mergeCell ref="A2:E2"/>
    <mergeCell ref="C7:M7"/>
    <mergeCell ref="C8:M8"/>
    <mergeCell ref="C9:M9"/>
    <mergeCell ref="C28:M28"/>
    <mergeCell ref="DP29:DZ29"/>
    <mergeCell ref="EC29:EM29"/>
    <mergeCell ref="EP29:EZ29"/>
    <mergeCell ref="P29:Z29"/>
    <mergeCell ref="AC29:AM29"/>
    <mergeCell ref="AP29:AZ29"/>
    <mergeCell ref="GP29:GZ29"/>
    <mergeCell ref="EC30:EM30"/>
    <mergeCell ref="EP30:EZ30"/>
    <mergeCell ref="IC29:IM29"/>
    <mergeCell ref="IP29:IV29"/>
    <mergeCell ref="BC29:BM29"/>
    <mergeCell ref="BP29:BZ29"/>
    <mergeCell ref="CC29:CM29"/>
    <mergeCell ref="CP29:CZ29"/>
    <mergeCell ref="DC29:DM29"/>
    <mergeCell ref="C37:M37"/>
    <mergeCell ref="C38:M38"/>
    <mergeCell ref="C39:M39"/>
    <mergeCell ref="HC29:HM29"/>
    <mergeCell ref="HP29:HZ29"/>
    <mergeCell ref="AC30:AM30"/>
    <mergeCell ref="AP30:AZ30"/>
    <mergeCell ref="FC29:FM29"/>
    <mergeCell ref="FP29:FZ29"/>
    <mergeCell ref="GC29:GM29"/>
    <mergeCell ref="IC30:IM30"/>
    <mergeCell ref="BC30:BM30"/>
    <mergeCell ref="BP30:BZ30"/>
    <mergeCell ref="CC30:CM30"/>
    <mergeCell ref="CP30:CZ30"/>
    <mergeCell ref="C33:M33"/>
    <mergeCell ref="C32:M32"/>
    <mergeCell ref="C30:M30"/>
    <mergeCell ref="C31:M31"/>
    <mergeCell ref="P31:Z31"/>
    <mergeCell ref="HC31:HM31"/>
    <mergeCell ref="DC30:DM30"/>
    <mergeCell ref="DP30:DZ30"/>
    <mergeCell ref="IP30:IV30"/>
    <mergeCell ref="FC30:FM30"/>
    <mergeCell ref="FP30:FZ30"/>
    <mergeCell ref="GC30:GM30"/>
    <mergeCell ref="GP30:GZ30"/>
    <mergeCell ref="HC30:HM30"/>
    <mergeCell ref="HP30:HZ30"/>
    <mergeCell ref="FP31:FZ31"/>
    <mergeCell ref="EC31:EM31"/>
    <mergeCell ref="EP31:EZ31"/>
    <mergeCell ref="DP31:DZ31"/>
    <mergeCell ref="IP31:IV31"/>
    <mergeCell ref="HP31:HZ31"/>
    <mergeCell ref="GC31:GM31"/>
    <mergeCell ref="FC31:FM31"/>
    <mergeCell ref="IC31:IM31"/>
    <mergeCell ref="GP31:GZ31"/>
    <mergeCell ref="IP32:IV32"/>
    <mergeCell ref="FC32:FM32"/>
    <mergeCell ref="FP32:FZ32"/>
    <mergeCell ref="GC32:GM32"/>
    <mergeCell ref="DP32:DZ32"/>
    <mergeCell ref="EC32:EM32"/>
    <mergeCell ref="HC32:HM32"/>
    <mergeCell ref="BP31:BZ31"/>
    <mergeCell ref="BP32:BZ32"/>
    <mergeCell ref="CC31:CM31"/>
    <mergeCell ref="CP31:CZ31"/>
    <mergeCell ref="DC31:DM31"/>
    <mergeCell ref="CC32:CM32"/>
    <mergeCell ref="CP32:CZ32"/>
    <mergeCell ref="C43:M43"/>
    <mergeCell ref="P40:Z40"/>
    <mergeCell ref="BP38:BZ38"/>
    <mergeCell ref="BC31:BM31"/>
    <mergeCell ref="BC32:BM32"/>
    <mergeCell ref="P32:Z32"/>
    <mergeCell ref="AC32:AM32"/>
    <mergeCell ref="AP32:AZ32"/>
    <mergeCell ref="AC38:AM38"/>
    <mergeCell ref="AP38:AZ38"/>
    <mergeCell ref="IC38:IM38"/>
    <mergeCell ref="EP38:EZ38"/>
    <mergeCell ref="FC38:FM38"/>
    <mergeCell ref="FP38:FZ38"/>
    <mergeCell ref="GC38:GM38"/>
    <mergeCell ref="HP32:HZ32"/>
    <mergeCell ref="IC32:IM32"/>
    <mergeCell ref="EP32:EZ32"/>
    <mergeCell ref="P38:Z38"/>
    <mergeCell ref="CC38:CM38"/>
    <mergeCell ref="AC40:AM40"/>
    <mergeCell ref="BC39:BM39"/>
    <mergeCell ref="EC38:EM38"/>
    <mergeCell ref="GP32:GZ32"/>
    <mergeCell ref="DC32:DM32"/>
    <mergeCell ref="AP40:AZ40"/>
    <mergeCell ref="BP39:BZ39"/>
    <mergeCell ref="BC40:BM40"/>
    <mergeCell ref="BP40:BZ40"/>
    <mergeCell ref="C42:M42"/>
    <mergeCell ref="DP38:DZ38"/>
    <mergeCell ref="BC38:BM38"/>
    <mergeCell ref="C41:M41"/>
    <mergeCell ref="C40:M40"/>
    <mergeCell ref="CP38:CZ38"/>
    <mergeCell ref="AC39:AM39"/>
    <mergeCell ref="AP39:AZ39"/>
    <mergeCell ref="P39:Z39"/>
    <mergeCell ref="IP38:IV38"/>
    <mergeCell ref="CC39:CM39"/>
    <mergeCell ref="CP39:CZ39"/>
    <mergeCell ref="IP39:IV39"/>
    <mergeCell ref="GP38:GZ38"/>
    <mergeCell ref="HC38:HM38"/>
    <mergeCell ref="HP38:HZ38"/>
    <mergeCell ref="DC38:DM38"/>
    <mergeCell ref="HC39:HM39"/>
    <mergeCell ref="DC39:DM39"/>
    <mergeCell ref="DP39:DZ39"/>
    <mergeCell ref="EC39:EM39"/>
    <mergeCell ref="EP39:EZ39"/>
    <mergeCell ref="FP39:FZ39"/>
    <mergeCell ref="GC39:GM39"/>
    <mergeCell ref="FC39:FM39"/>
    <mergeCell ref="GP39:GZ39"/>
    <mergeCell ref="IP40:IV40"/>
    <mergeCell ref="C45:M45"/>
    <mergeCell ref="HP40:HZ40"/>
    <mergeCell ref="IC40:IM40"/>
    <mergeCell ref="DP40:DZ40"/>
    <mergeCell ref="FC40:FM40"/>
    <mergeCell ref="HP39:HZ39"/>
    <mergeCell ref="IC39:IM39"/>
    <mergeCell ref="C46:M46"/>
    <mergeCell ref="GC40:GM40"/>
    <mergeCell ref="GP40:GZ40"/>
    <mergeCell ref="HC40:HM40"/>
    <mergeCell ref="EC40:EM40"/>
    <mergeCell ref="EP40:EZ40"/>
    <mergeCell ref="FP40:FZ40"/>
    <mergeCell ref="CC40:CM40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2010-09-29T13:54:51Z</cp:lastPrinted>
  <dcterms:created xsi:type="dcterms:W3CDTF">1997-12-04T19:04:30Z</dcterms:created>
  <dcterms:modified xsi:type="dcterms:W3CDTF">2025-01-02T14:23:17Z</dcterms:modified>
</cp:coreProperties>
</file>