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193D7535-8305-47E0-AE76-CD1869826861}" xr6:coauthVersionLast="47" xr6:coauthVersionMax="47" xr10:uidLastSave="{00000000-0000-0000-0000-000000000000}"/>
  <workbookProtection workbookPassword="B70A" lockStructure="1"/>
  <bookViews>
    <workbookView xWindow="2550" yWindow="2550" windowWidth="21600" windowHeight="11505" tabRatio="855" xr2:uid="{0F3BEF46-F2FB-4409-979C-01B4C2856D70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9" i="1" l="1"/>
  <c r="G434" i="1"/>
  <c r="G440" i="1"/>
  <c r="G432" i="1"/>
  <c r="J462" i="1"/>
  <c r="J458" i="1"/>
  <c r="G392" i="1"/>
  <c r="J171" i="1"/>
  <c r="I462" i="1"/>
  <c r="I458" i="1"/>
  <c r="I460" i="1" s="1"/>
  <c r="I466" i="1" s="1"/>
  <c r="H615" i="1" s="1"/>
  <c r="I41" i="1"/>
  <c r="I43" i="1" s="1"/>
  <c r="H371" i="1"/>
  <c r="L371" i="1" s="1"/>
  <c r="I88" i="1"/>
  <c r="I10" i="1"/>
  <c r="G462" i="1"/>
  <c r="G458" i="1"/>
  <c r="G102" i="1"/>
  <c r="G41" i="1"/>
  <c r="G9" i="1"/>
  <c r="F462" i="1"/>
  <c r="H189" i="1"/>
  <c r="F458" i="1"/>
  <c r="K258" i="1"/>
  <c r="L258" i="1" s="1"/>
  <c r="I231" i="1"/>
  <c r="I239" i="1" s="1"/>
  <c r="I213" i="1"/>
  <c r="I195" i="1"/>
  <c r="H235" i="1"/>
  <c r="G235" i="1"/>
  <c r="F235" i="1"/>
  <c r="H217" i="1"/>
  <c r="H199" i="1"/>
  <c r="G189" i="1"/>
  <c r="F189" i="1"/>
  <c r="F93" i="1"/>
  <c r="F152" i="1"/>
  <c r="F42" i="1"/>
  <c r="F43" i="1" s="1"/>
  <c r="F41" i="1"/>
  <c r="F30" i="1"/>
  <c r="F29" i="1"/>
  <c r="F25" i="1"/>
  <c r="F12" i="1"/>
  <c r="F14" i="1"/>
  <c r="F9" i="1"/>
  <c r="F488" i="1"/>
  <c r="F192" i="1"/>
  <c r="F210" i="1"/>
  <c r="F228" i="1"/>
  <c r="F271" i="1"/>
  <c r="L271" i="1" s="1"/>
  <c r="E104" i="2" s="1"/>
  <c r="F290" i="1"/>
  <c r="F309" i="1"/>
  <c r="G192" i="1"/>
  <c r="G210" i="1"/>
  <c r="G228" i="1"/>
  <c r="G271" i="1"/>
  <c r="G290" i="1"/>
  <c r="G309" i="1"/>
  <c r="G320" i="1" s="1"/>
  <c r="C36" i="12"/>
  <c r="F227" i="1"/>
  <c r="L227" i="1" s="1"/>
  <c r="F308" i="1"/>
  <c r="B27" i="12"/>
  <c r="B30" i="12" s="1"/>
  <c r="G227" i="1"/>
  <c r="G308" i="1"/>
  <c r="C27" i="12"/>
  <c r="C29" i="12"/>
  <c r="C28" i="12"/>
  <c r="F207" i="1"/>
  <c r="B9" i="12" s="1"/>
  <c r="F225" i="1"/>
  <c r="F268" i="1"/>
  <c r="L268" i="1" s="1"/>
  <c r="F287" i="1"/>
  <c r="F306" i="1"/>
  <c r="L306" i="1" s="1"/>
  <c r="F190" i="1"/>
  <c r="F208" i="1"/>
  <c r="F226" i="1"/>
  <c r="B18" i="12" s="1"/>
  <c r="F269" i="1"/>
  <c r="F288" i="1"/>
  <c r="F307" i="1"/>
  <c r="G190" i="1"/>
  <c r="L190" i="1" s="1"/>
  <c r="G208" i="1"/>
  <c r="G226" i="1"/>
  <c r="G269" i="1"/>
  <c r="G288" i="1"/>
  <c r="G307" i="1"/>
  <c r="C18" i="12"/>
  <c r="C20" i="12"/>
  <c r="G207" i="1"/>
  <c r="C9" i="12" s="1"/>
  <c r="G225" i="1"/>
  <c r="L225" i="1" s="1"/>
  <c r="G268" i="1"/>
  <c r="G287" i="1"/>
  <c r="G306" i="1"/>
  <c r="K230" i="1"/>
  <c r="G6" i="13" s="1"/>
  <c r="J230" i="1"/>
  <c r="J587" i="1"/>
  <c r="K236" i="1"/>
  <c r="H236" i="1"/>
  <c r="H218" i="1"/>
  <c r="G218" i="1"/>
  <c r="L218" i="1" s="1"/>
  <c r="H637" i="1" s="1"/>
  <c r="F218" i="1"/>
  <c r="H200" i="1"/>
  <c r="F200" i="1"/>
  <c r="G200" i="1"/>
  <c r="K336" i="1"/>
  <c r="L336" i="1" s="1"/>
  <c r="H359" i="1"/>
  <c r="G243" i="1"/>
  <c r="G248" i="1" s="1"/>
  <c r="G233" i="1"/>
  <c r="G231" i="1"/>
  <c r="G230" i="1"/>
  <c r="G217" i="1"/>
  <c r="G215" i="1"/>
  <c r="G213" i="1"/>
  <c r="G212" i="1"/>
  <c r="G199" i="1"/>
  <c r="G197" i="1"/>
  <c r="G195" i="1"/>
  <c r="G194" i="1"/>
  <c r="G203" i="1" s="1"/>
  <c r="F602" i="1"/>
  <c r="J603" i="1"/>
  <c r="J602" i="1"/>
  <c r="J601" i="1"/>
  <c r="I603" i="1"/>
  <c r="I602" i="1"/>
  <c r="I601" i="1"/>
  <c r="H603" i="1"/>
  <c r="H602" i="1"/>
  <c r="H601" i="1"/>
  <c r="G603" i="1"/>
  <c r="G602" i="1"/>
  <c r="G601" i="1"/>
  <c r="F603" i="1"/>
  <c r="F601" i="1"/>
  <c r="I554" i="1"/>
  <c r="H554" i="1"/>
  <c r="G554" i="1"/>
  <c r="F554" i="1"/>
  <c r="I553" i="1"/>
  <c r="H553" i="1"/>
  <c r="G553" i="1"/>
  <c r="F553" i="1"/>
  <c r="F555" i="1" s="1"/>
  <c r="I552" i="1"/>
  <c r="I555" i="1" s="1"/>
  <c r="I561" i="1" s="1"/>
  <c r="H552" i="1"/>
  <c r="H555" i="1" s="1"/>
  <c r="H561" i="1" s="1"/>
  <c r="G552" i="1"/>
  <c r="F552" i="1"/>
  <c r="F521" i="1"/>
  <c r="K533" i="1"/>
  <c r="I533" i="1"/>
  <c r="H533" i="1"/>
  <c r="G533" i="1"/>
  <c r="F533" i="1"/>
  <c r="K532" i="1"/>
  <c r="I532" i="1"/>
  <c r="I534" i="1" s="1"/>
  <c r="H532" i="1"/>
  <c r="H534" i="1" s="1"/>
  <c r="G532" i="1"/>
  <c r="L532" i="1" s="1"/>
  <c r="F532" i="1"/>
  <c r="K531" i="1"/>
  <c r="I531" i="1"/>
  <c r="H531" i="1"/>
  <c r="G531" i="1"/>
  <c r="F531" i="1"/>
  <c r="G518" i="1"/>
  <c r="K518" i="1"/>
  <c r="J518" i="1"/>
  <c r="I518" i="1"/>
  <c r="I519" i="1" s="1"/>
  <c r="H518" i="1"/>
  <c r="F518" i="1"/>
  <c r="L518" i="1" s="1"/>
  <c r="G541" i="1" s="1"/>
  <c r="K517" i="1"/>
  <c r="J517" i="1"/>
  <c r="I517" i="1"/>
  <c r="H517" i="1"/>
  <c r="G517" i="1"/>
  <c r="F517" i="1"/>
  <c r="K516" i="1"/>
  <c r="J516" i="1"/>
  <c r="I516" i="1"/>
  <c r="H516" i="1"/>
  <c r="H519" i="1" s="1"/>
  <c r="G516" i="1"/>
  <c r="G519" i="1" s="1"/>
  <c r="F516" i="1"/>
  <c r="K513" i="1"/>
  <c r="J513" i="1"/>
  <c r="I513" i="1"/>
  <c r="H513" i="1"/>
  <c r="G513" i="1"/>
  <c r="F513" i="1"/>
  <c r="J512" i="1"/>
  <c r="I512" i="1"/>
  <c r="H512" i="1"/>
  <c r="G512" i="1"/>
  <c r="G514" i="1" s="1"/>
  <c r="F512" i="1"/>
  <c r="L512" i="1" s="1"/>
  <c r="F540" i="1" s="1"/>
  <c r="K540" i="1" s="1"/>
  <c r="J511" i="1"/>
  <c r="L511" i="1" s="1"/>
  <c r="I511" i="1"/>
  <c r="H511" i="1"/>
  <c r="G511" i="1"/>
  <c r="F511" i="1"/>
  <c r="H328" i="1"/>
  <c r="L328" i="1" s="1"/>
  <c r="I318" i="1"/>
  <c r="H318" i="1"/>
  <c r="I299" i="1"/>
  <c r="H299" i="1"/>
  <c r="I280" i="1"/>
  <c r="I282" i="1" s="1"/>
  <c r="H280" i="1"/>
  <c r="H282" i="1" s="1"/>
  <c r="H317" i="1"/>
  <c r="L317" i="1" s="1"/>
  <c r="H652" i="1" s="1"/>
  <c r="G313" i="1"/>
  <c r="F313" i="1"/>
  <c r="G294" i="1"/>
  <c r="J312" i="1"/>
  <c r="I312" i="1"/>
  <c r="L312" i="1" s="1"/>
  <c r="H312" i="1"/>
  <c r="G312" i="1"/>
  <c r="F312" i="1"/>
  <c r="J293" i="1"/>
  <c r="I293" i="1"/>
  <c r="H293" i="1"/>
  <c r="G293" i="1"/>
  <c r="F293" i="1"/>
  <c r="J274" i="1"/>
  <c r="I274" i="1"/>
  <c r="H274" i="1"/>
  <c r="G274" i="1"/>
  <c r="L274" i="1" s="1"/>
  <c r="F274" i="1"/>
  <c r="I311" i="1"/>
  <c r="H311" i="1"/>
  <c r="G311" i="1"/>
  <c r="F311" i="1"/>
  <c r="I292" i="1"/>
  <c r="H292" i="1"/>
  <c r="L292" i="1" s="1"/>
  <c r="G292" i="1"/>
  <c r="F292" i="1"/>
  <c r="I273" i="1"/>
  <c r="H273" i="1"/>
  <c r="G273" i="1"/>
  <c r="F273" i="1"/>
  <c r="J307" i="1"/>
  <c r="I307" i="1"/>
  <c r="H307" i="1"/>
  <c r="J288" i="1"/>
  <c r="J301" i="1" s="1"/>
  <c r="I288" i="1"/>
  <c r="H288" i="1"/>
  <c r="H301" i="1" s="1"/>
  <c r="J269" i="1"/>
  <c r="I269" i="1"/>
  <c r="H269" i="1"/>
  <c r="I306" i="1"/>
  <c r="H306" i="1"/>
  <c r="I287" i="1"/>
  <c r="H287" i="1"/>
  <c r="I268" i="1"/>
  <c r="H268" i="1"/>
  <c r="K237" i="1"/>
  <c r="G16" i="13" s="1"/>
  <c r="H237" i="1"/>
  <c r="G237" i="1"/>
  <c r="L237" i="1" s="1"/>
  <c r="F237" i="1"/>
  <c r="K219" i="1"/>
  <c r="H219" i="1"/>
  <c r="G219" i="1"/>
  <c r="F219" i="1"/>
  <c r="L219" i="1" s="1"/>
  <c r="K201" i="1"/>
  <c r="H201" i="1"/>
  <c r="G201" i="1"/>
  <c r="F201" i="1"/>
  <c r="K235" i="1"/>
  <c r="G14" i="13" s="1"/>
  <c r="J235" i="1"/>
  <c r="F14" i="13" s="1"/>
  <c r="I235" i="1"/>
  <c r="L235" i="1" s="1"/>
  <c r="K217" i="1"/>
  <c r="J217" i="1"/>
  <c r="I217" i="1"/>
  <c r="F217" i="1"/>
  <c r="L217" i="1" s="1"/>
  <c r="K199" i="1"/>
  <c r="L199" i="1" s="1"/>
  <c r="C20" i="10" s="1"/>
  <c r="J199" i="1"/>
  <c r="I199" i="1"/>
  <c r="F199" i="1"/>
  <c r="K234" i="1"/>
  <c r="I234" i="1"/>
  <c r="H234" i="1"/>
  <c r="G234" i="1"/>
  <c r="F234" i="1"/>
  <c r="K216" i="1"/>
  <c r="I216" i="1"/>
  <c r="H216" i="1"/>
  <c r="G216" i="1"/>
  <c r="F216" i="1"/>
  <c r="K198" i="1"/>
  <c r="I198" i="1"/>
  <c r="H198" i="1"/>
  <c r="G198" i="1"/>
  <c r="F198" i="1"/>
  <c r="L198" i="1" s="1"/>
  <c r="K232" i="1"/>
  <c r="J232" i="1"/>
  <c r="I232" i="1"/>
  <c r="H232" i="1"/>
  <c r="G232" i="1"/>
  <c r="F232" i="1"/>
  <c r="L232" i="1" s="1"/>
  <c r="K214" i="1"/>
  <c r="J214" i="1"/>
  <c r="I214" i="1"/>
  <c r="H214" i="1"/>
  <c r="G214" i="1"/>
  <c r="G221" i="1" s="1"/>
  <c r="F214" i="1"/>
  <c r="L214" i="1" s="1"/>
  <c r="K196" i="1"/>
  <c r="G8" i="13" s="1"/>
  <c r="J196" i="1"/>
  <c r="I196" i="1"/>
  <c r="H196" i="1"/>
  <c r="G196" i="1"/>
  <c r="F196" i="1"/>
  <c r="L196" i="1" s="1"/>
  <c r="K231" i="1"/>
  <c r="J231" i="1"/>
  <c r="H231" i="1"/>
  <c r="F231" i="1"/>
  <c r="K213" i="1"/>
  <c r="G7" i="13" s="1"/>
  <c r="J213" i="1"/>
  <c r="F7" i="13" s="1"/>
  <c r="H213" i="1"/>
  <c r="L213" i="1" s="1"/>
  <c r="F213" i="1"/>
  <c r="K195" i="1"/>
  <c r="J195" i="1"/>
  <c r="H195" i="1"/>
  <c r="F195" i="1"/>
  <c r="I230" i="1"/>
  <c r="H230" i="1"/>
  <c r="F230" i="1"/>
  <c r="K212" i="1"/>
  <c r="J212" i="1"/>
  <c r="F6" i="13" s="1"/>
  <c r="I212" i="1"/>
  <c r="H212" i="1"/>
  <c r="L212" i="1" s="1"/>
  <c r="F212" i="1"/>
  <c r="K194" i="1"/>
  <c r="J194" i="1"/>
  <c r="I194" i="1"/>
  <c r="H194" i="1"/>
  <c r="F194" i="1"/>
  <c r="J226" i="1"/>
  <c r="I226" i="1"/>
  <c r="H226" i="1"/>
  <c r="J208" i="1"/>
  <c r="J221" i="1" s="1"/>
  <c r="J249" i="1" s="1"/>
  <c r="I208" i="1"/>
  <c r="I221" i="1" s="1"/>
  <c r="H208" i="1"/>
  <c r="J190" i="1"/>
  <c r="I190" i="1"/>
  <c r="H190" i="1"/>
  <c r="J225" i="1"/>
  <c r="I225" i="1"/>
  <c r="H225" i="1"/>
  <c r="J207" i="1"/>
  <c r="I207" i="1"/>
  <c r="H207" i="1"/>
  <c r="J189" i="1"/>
  <c r="F5" i="13" s="1"/>
  <c r="I189" i="1"/>
  <c r="L189" i="1" s="1"/>
  <c r="D11" i="13"/>
  <c r="J328" i="1"/>
  <c r="H279" i="1"/>
  <c r="L279" i="1" s="1"/>
  <c r="E116" i="2" s="1"/>
  <c r="K312" i="1"/>
  <c r="J325" i="1"/>
  <c r="I325" i="1"/>
  <c r="L325" i="1" s="1"/>
  <c r="E106" i="2" s="1"/>
  <c r="H325" i="1"/>
  <c r="G325" i="1"/>
  <c r="F325" i="1"/>
  <c r="I271" i="1"/>
  <c r="J308" i="1"/>
  <c r="J320" i="1" s="1"/>
  <c r="I308" i="1"/>
  <c r="I320" i="1" s="1"/>
  <c r="H308" i="1"/>
  <c r="K306" i="1"/>
  <c r="J306" i="1"/>
  <c r="J268" i="1"/>
  <c r="H41" i="1"/>
  <c r="H392" i="1"/>
  <c r="H372" i="1"/>
  <c r="K370" i="1"/>
  <c r="H370" i="1"/>
  <c r="H368" i="1"/>
  <c r="H367" i="1"/>
  <c r="H360" i="1"/>
  <c r="G360" i="1"/>
  <c r="I360" i="1" s="1"/>
  <c r="F360" i="1"/>
  <c r="G359" i="1"/>
  <c r="F359" i="1"/>
  <c r="H247" i="1"/>
  <c r="I233" i="1"/>
  <c r="L233" i="1" s="1"/>
  <c r="H233" i="1"/>
  <c r="F233" i="1"/>
  <c r="K215" i="1"/>
  <c r="J215" i="1"/>
  <c r="I215" i="1"/>
  <c r="H215" i="1"/>
  <c r="F215" i="1"/>
  <c r="L215" i="1" s="1"/>
  <c r="K197" i="1"/>
  <c r="J197" i="1"/>
  <c r="I197" i="1"/>
  <c r="H197" i="1"/>
  <c r="F197" i="1"/>
  <c r="L197" i="1" s="1"/>
  <c r="K243" i="1"/>
  <c r="J243" i="1"/>
  <c r="I243" i="1"/>
  <c r="H243" i="1"/>
  <c r="F243" i="1"/>
  <c r="L243" i="1" s="1"/>
  <c r="K228" i="1"/>
  <c r="J228" i="1"/>
  <c r="J239" i="1" s="1"/>
  <c r="I228" i="1"/>
  <c r="H228" i="1"/>
  <c r="K210" i="1"/>
  <c r="J210" i="1"/>
  <c r="I210" i="1"/>
  <c r="H210" i="1"/>
  <c r="K227" i="1"/>
  <c r="J227" i="1"/>
  <c r="I227" i="1"/>
  <c r="H227" i="1"/>
  <c r="H239" i="1" s="1"/>
  <c r="H192" i="1"/>
  <c r="L192" i="1" s="1"/>
  <c r="K226" i="1"/>
  <c r="G5" i="13" s="1"/>
  <c r="K190" i="1"/>
  <c r="K225" i="1"/>
  <c r="K207" i="1"/>
  <c r="K189" i="1"/>
  <c r="F2" i="11"/>
  <c r="B2" i="10"/>
  <c r="L191" i="1"/>
  <c r="L194" i="1"/>
  <c r="L195" i="1"/>
  <c r="L200" i="1"/>
  <c r="C21" i="10" s="1"/>
  <c r="L201" i="1"/>
  <c r="L270" i="1"/>
  <c r="L273" i="1"/>
  <c r="L275" i="1"/>
  <c r="L276" i="1"/>
  <c r="L277" i="1"/>
  <c r="L278" i="1"/>
  <c r="L350" i="1"/>
  <c r="L351" i="1"/>
  <c r="L352" i="1"/>
  <c r="H651" i="1" s="1"/>
  <c r="G89" i="1"/>
  <c r="L209" i="1"/>
  <c r="L210" i="1"/>
  <c r="L216" i="1"/>
  <c r="L287" i="1"/>
  <c r="L289" i="1"/>
  <c r="L290" i="1"/>
  <c r="L294" i="1"/>
  <c r="L295" i="1"/>
  <c r="L296" i="1"/>
  <c r="L297" i="1"/>
  <c r="L298" i="1"/>
  <c r="L299" i="1"/>
  <c r="G651" i="1"/>
  <c r="L236" i="1"/>
  <c r="L307" i="1"/>
  <c r="L309" i="1"/>
  <c r="L311" i="1"/>
  <c r="L313" i="1"/>
  <c r="L314" i="1"/>
  <c r="L315" i="1"/>
  <c r="L316" i="1"/>
  <c r="L318" i="1"/>
  <c r="L603" i="1"/>
  <c r="H653" i="1" s="1"/>
  <c r="I655" i="1"/>
  <c r="I659" i="1"/>
  <c r="I660" i="1"/>
  <c r="L242" i="1"/>
  <c r="L324" i="1"/>
  <c r="C23" i="10"/>
  <c r="L244" i="1"/>
  <c r="L245" i="1"/>
  <c r="L246" i="1"/>
  <c r="L326" i="1"/>
  <c r="L327" i="1"/>
  <c r="C24" i="10"/>
  <c r="L253" i="1"/>
  <c r="L334" i="1"/>
  <c r="C25" i="10"/>
  <c r="L260" i="1"/>
  <c r="C26" i="10" s="1"/>
  <c r="L261" i="1"/>
  <c r="L341" i="1"/>
  <c r="L342" i="1"/>
  <c r="L353" i="1"/>
  <c r="L247" i="1"/>
  <c r="L368" i="1"/>
  <c r="L370" i="1"/>
  <c r="L372" i="1"/>
  <c r="L366" i="1"/>
  <c r="L369" i="1"/>
  <c r="L252" i="1"/>
  <c r="L333" i="1"/>
  <c r="C32" i="10"/>
  <c r="F52" i="1"/>
  <c r="G52" i="1"/>
  <c r="D48" i="2" s="1"/>
  <c r="H52" i="1"/>
  <c r="I52" i="1"/>
  <c r="J52" i="1"/>
  <c r="H103" i="1"/>
  <c r="H71" i="1"/>
  <c r="E49" i="2" s="1"/>
  <c r="E54" i="2" s="1"/>
  <c r="H86" i="1"/>
  <c r="F55" i="1"/>
  <c r="F61" i="1"/>
  <c r="F71" i="1"/>
  <c r="C49" i="2" s="1"/>
  <c r="F86" i="1"/>
  <c r="C50" i="2" s="1"/>
  <c r="F90" i="1"/>
  <c r="C53" i="2" s="1"/>
  <c r="F103" i="1"/>
  <c r="G103" i="1"/>
  <c r="I103" i="1"/>
  <c r="J88" i="1"/>
  <c r="J103" i="1" s="1"/>
  <c r="J104" i="1" s="1"/>
  <c r="C37" i="10"/>
  <c r="H128" i="1"/>
  <c r="H113" i="1"/>
  <c r="F113" i="1"/>
  <c r="F119" i="1"/>
  <c r="F128" i="1"/>
  <c r="F132" i="1"/>
  <c r="G113" i="1"/>
  <c r="G128" i="1"/>
  <c r="G132" i="1"/>
  <c r="I113" i="1"/>
  <c r="I128" i="1"/>
  <c r="I132" i="1"/>
  <c r="J113" i="1"/>
  <c r="J132" i="1" s="1"/>
  <c r="J128" i="1"/>
  <c r="H154" i="1"/>
  <c r="H139" i="1"/>
  <c r="H161" i="1" s="1"/>
  <c r="F139" i="1"/>
  <c r="G139" i="1"/>
  <c r="D77" i="2" s="1"/>
  <c r="D83" i="2" s="1"/>
  <c r="G154" i="1"/>
  <c r="G161" i="1"/>
  <c r="I139" i="1"/>
  <c r="I154" i="1"/>
  <c r="I161" i="1"/>
  <c r="C40" i="10"/>
  <c r="C42" i="10"/>
  <c r="A1" i="2"/>
  <c r="A2" i="2"/>
  <c r="C9" i="2"/>
  <c r="D9" i="2"/>
  <c r="E9" i="2"/>
  <c r="F9" i="2"/>
  <c r="I431" i="1"/>
  <c r="J9" i="1"/>
  <c r="G9" i="2"/>
  <c r="C10" i="2"/>
  <c r="C19" i="2" s="1"/>
  <c r="D10" i="2"/>
  <c r="E10" i="2"/>
  <c r="F10" i="2"/>
  <c r="I432" i="1"/>
  <c r="J10" i="1"/>
  <c r="G10" i="2" s="1"/>
  <c r="C11" i="2"/>
  <c r="C12" i="2"/>
  <c r="D12" i="2"/>
  <c r="E12" i="2"/>
  <c r="F12" i="2"/>
  <c r="F19" i="2" s="1"/>
  <c r="I433" i="1"/>
  <c r="J12" i="1" s="1"/>
  <c r="G12" i="2" s="1"/>
  <c r="C13" i="2"/>
  <c r="D13" i="2"/>
  <c r="E13" i="2"/>
  <c r="F13" i="2"/>
  <c r="I434" i="1"/>
  <c r="J13" i="1"/>
  <c r="G13" i="2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/>
  <c r="G18" i="2"/>
  <c r="F23" i="1"/>
  <c r="C22" i="2" s="1"/>
  <c r="C32" i="2" s="1"/>
  <c r="D22" i="2"/>
  <c r="E22" i="2"/>
  <c r="F22" i="2"/>
  <c r="I440" i="1"/>
  <c r="J23" i="1"/>
  <c r="G22" i="2"/>
  <c r="C23" i="2"/>
  <c r="D23" i="2"/>
  <c r="D32" i="2" s="1"/>
  <c r="E23" i="2"/>
  <c r="E32" i="2" s="1"/>
  <c r="F23" i="2"/>
  <c r="I441" i="1"/>
  <c r="J24" i="1" s="1"/>
  <c r="G23" i="2" s="1"/>
  <c r="C24" i="2"/>
  <c r="D24" i="2"/>
  <c r="E24" i="2"/>
  <c r="F24" i="2"/>
  <c r="F32" i="2" s="1"/>
  <c r="I442" i="1"/>
  <c r="J25" i="1" s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D34" i="2"/>
  <c r="D42" i="2" s="1"/>
  <c r="E34" i="2"/>
  <c r="F34" i="2"/>
  <c r="C35" i="2"/>
  <c r="D35" i="2"/>
  <c r="E35" i="2"/>
  <c r="F35" i="2"/>
  <c r="C36" i="2"/>
  <c r="D36" i="2"/>
  <c r="E36" i="2"/>
  <c r="E42" i="2" s="1"/>
  <c r="E43" i="2" s="1"/>
  <c r="F36" i="2"/>
  <c r="I446" i="1"/>
  <c r="I450" i="1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/>
  <c r="G39" i="2"/>
  <c r="C40" i="2"/>
  <c r="D40" i="2"/>
  <c r="E40" i="2"/>
  <c r="I449" i="1"/>
  <c r="J41" i="1"/>
  <c r="G40" i="2"/>
  <c r="D41" i="2"/>
  <c r="E41" i="2"/>
  <c r="F41" i="2"/>
  <c r="G48" i="2"/>
  <c r="G55" i="2" s="1"/>
  <c r="E50" i="2"/>
  <c r="C51" i="2"/>
  <c r="D51" i="2"/>
  <c r="D54" i="2" s="1"/>
  <c r="E51" i="2"/>
  <c r="F51" i="2"/>
  <c r="G51" i="2"/>
  <c r="G54" i="2" s="1"/>
  <c r="D52" i="2"/>
  <c r="D53" i="2"/>
  <c r="E53" i="2"/>
  <c r="F53" i="2"/>
  <c r="G53" i="2"/>
  <c r="F54" i="2"/>
  <c r="C58" i="2"/>
  <c r="C59" i="2"/>
  <c r="C60" i="2"/>
  <c r="C62" i="2" s="1"/>
  <c r="C61" i="2"/>
  <c r="D61" i="2"/>
  <c r="D62" i="2" s="1"/>
  <c r="E61" i="2"/>
  <c r="E62" i="2" s="1"/>
  <c r="F61" i="2"/>
  <c r="F62" i="2" s="1"/>
  <c r="G61" i="2"/>
  <c r="G62" i="2" s="1"/>
  <c r="C64" i="2"/>
  <c r="F64" i="2"/>
  <c r="C65" i="2"/>
  <c r="F65" i="2"/>
  <c r="C66" i="2"/>
  <c r="C70" i="2" s="1"/>
  <c r="C67" i="2"/>
  <c r="C68" i="2"/>
  <c r="E68" i="2"/>
  <c r="F68" i="2"/>
  <c r="C69" i="2"/>
  <c r="D69" i="2"/>
  <c r="E69" i="2"/>
  <c r="F69" i="2"/>
  <c r="G69" i="2"/>
  <c r="G70" i="2" s="1"/>
  <c r="D70" i="2"/>
  <c r="D73" i="2" s="1"/>
  <c r="E70" i="2"/>
  <c r="E73" i="2" s="1"/>
  <c r="C71" i="2"/>
  <c r="D71" i="2"/>
  <c r="E71" i="2"/>
  <c r="C72" i="2"/>
  <c r="E72" i="2"/>
  <c r="G73" i="2"/>
  <c r="C77" i="2"/>
  <c r="E77" i="2"/>
  <c r="E83" i="2" s="1"/>
  <c r="F77" i="2"/>
  <c r="F83" i="2" s="1"/>
  <c r="C79" i="2"/>
  <c r="E79" i="2"/>
  <c r="F79" i="2"/>
  <c r="D80" i="2"/>
  <c r="E80" i="2"/>
  <c r="F80" i="2"/>
  <c r="C81" i="2"/>
  <c r="D81" i="2"/>
  <c r="E81" i="2"/>
  <c r="F81" i="2"/>
  <c r="C82" i="2"/>
  <c r="C85" i="2"/>
  <c r="F85" i="2"/>
  <c r="C86" i="2"/>
  <c r="F86" i="2"/>
  <c r="D88" i="2"/>
  <c r="D95" i="2" s="1"/>
  <c r="E88" i="2"/>
  <c r="F88" i="2"/>
  <c r="G88" i="2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G95" i="2"/>
  <c r="C105" i="2"/>
  <c r="E105" i="2"/>
  <c r="D107" i="2"/>
  <c r="F107" i="2"/>
  <c r="G107" i="2"/>
  <c r="E112" i="2"/>
  <c r="E113" i="2"/>
  <c r="E114" i="2"/>
  <c r="E115" i="2"/>
  <c r="C117" i="2"/>
  <c r="F120" i="2"/>
  <c r="G120" i="2"/>
  <c r="C122" i="2"/>
  <c r="C123" i="2"/>
  <c r="E123" i="2"/>
  <c r="C124" i="2"/>
  <c r="E124" i="2"/>
  <c r="D126" i="2"/>
  <c r="F126" i="2"/>
  <c r="K419" i="1"/>
  <c r="K411" i="1"/>
  <c r="K425" i="1"/>
  <c r="K426" i="1"/>
  <c r="G126" i="2"/>
  <c r="G136" i="2" s="1"/>
  <c r="G137" i="2" s="1"/>
  <c r="L255" i="1"/>
  <c r="C127" i="2" s="1"/>
  <c r="L337" i="1"/>
  <c r="E127" i="2"/>
  <c r="L256" i="1"/>
  <c r="C128" i="2" s="1"/>
  <c r="L257" i="1"/>
  <c r="C129" i="2" s="1"/>
  <c r="L338" i="1"/>
  <c r="E129" i="2"/>
  <c r="L384" i="1"/>
  <c r="L379" i="1"/>
  <c r="L380" i="1"/>
  <c r="L381" i="1"/>
  <c r="L382" i="1"/>
  <c r="L383" i="1"/>
  <c r="L392" i="1"/>
  <c r="L387" i="1"/>
  <c r="L388" i="1"/>
  <c r="L389" i="1"/>
  <c r="L390" i="1"/>
  <c r="L391" i="1"/>
  <c r="L393" i="1"/>
  <c r="C131" i="2"/>
  <c r="L395" i="1"/>
  <c r="L396" i="1"/>
  <c r="L397" i="1"/>
  <c r="L398" i="1"/>
  <c r="L399" i="1"/>
  <c r="C132" i="2" s="1"/>
  <c r="C134" i="2"/>
  <c r="E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B151" i="2"/>
  <c r="C151" i="2"/>
  <c r="D151" i="2"/>
  <c r="E151" i="2"/>
  <c r="F151" i="2"/>
  <c r="G151" i="2"/>
  <c r="B152" i="2"/>
  <c r="G152" i="2" s="1"/>
  <c r="C152" i="2"/>
  <c r="D152" i="2"/>
  <c r="E152" i="2"/>
  <c r="F152" i="2"/>
  <c r="F490" i="1"/>
  <c r="B153" i="2" s="1"/>
  <c r="G490" i="1"/>
  <c r="C153" i="2"/>
  <c r="H490" i="1"/>
  <c r="D153" i="2"/>
  <c r="I490" i="1"/>
  <c r="E153" i="2" s="1"/>
  <c r="J490" i="1"/>
  <c r="F153" i="2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B156" i="2" s="1"/>
  <c r="G493" i="1"/>
  <c r="C156" i="2"/>
  <c r="H493" i="1"/>
  <c r="D156" i="2"/>
  <c r="I493" i="1"/>
  <c r="K493" i="1" s="1"/>
  <c r="J493" i="1"/>
  <c r="F156" i="2"/>
  <c r="B2" i="13"/>
  <c r="F8" i="13"/>
  <c r="C9" i="13"/>
  <c r="C10" i="13"/>
  <c r="C11" i="13"/>
  <c r="F12" i="13"/>
  <c r="G12" i="13"/>
  <c r="F13" i="13"/>
  <c r="G13" i="13"/>
  <c r="F15" i="13"/>
  <c r="G15" i="13"/>
  <c r="F16" i="13"/>
  <c r="F17" i="13"/>
  <c r="G17" i="13"/>
  <c r="F18" i="13"/>
  <c r="D18" i="13" s="1"/>
  <c r="C18" i="13" s="1"/>
  <c r="G18" i="13"/>
  <c r="F19" i="13"/>
  <c r="G19" i="13"/>
  <c r="D19" i="13" s="1"/>
  <c r="C19" i="13" s="1"/>
  <c r="H25" i="13"/>
  <c r="H33" i="13" s="1"/>
  <c r="C25" i="13"/>
  <c r="F29" i="13"/>
  <c r="G29" i="13"/>
  <c r="J282" i="1"/>
  <c r="K320" i="1"/>
  <c r="K282" i="1"/>
  <c r="K301" i="1"/>
  <c r="G31" i="13"/>
  <c r="D39" i="13"/>
  <c r="B1" i="12"/>
  <c r="B4" i="12"/>
  <c r="F19" i="1"/>
  <c r="G19" i="1"/>
  <c r="H19" i="1"/>
  <c r="I19" i="1"/>
  <c r="G610" i="1" s="1"/>
  <c r="F33" i="1"/>
  <c r="G33" i="1"/>
  <c r="H33" i="1"/>
  <c r="H44" i="1" s="1"/>
  <c r="I33" i="1"/>
  <c r="G43" i="1"/>
  <c r="H43" i="1"/>
  <c r="F169" i="1"/>
  <c r="I169" i="1"/>
  <c r="F175" i="1"/>
  <c r="G175" i="1"/>
  <c r="G184" i="1" s="1"/>
  <c r="H175" i="1"/>
  <c r="I175" i="1"/>
  <c r="J175" i="1"/>
  <c r="F180" i="1"/>
  <c r="G180" i="1"/>
  <c r="H180" i="1"/>
  <c r="I180" i="1"/>
  <c r="H184" i="1"/>
  <c r="I184" i="1"/>
  <c r="J184" i="1"/>
  <c r="J203" i="1"/>
  <c r="K203" i="1"/>
  <c r="F221" i="1"/>
  <c r="F248" i="1"/>
  <c r="L248" i="1" s="1"/>
  <c r="H248" i="1"/>
  <c r="I248" i="1"/>
  <c r="J248" i="1"/>
  <c r="K248" i="1"/>
  <c r="F262" i="1"/>
  <c r="G262" i="1"/>
  <c r="H262" i="1"/>
  <c r="I262" i="1"/>
  <c r="J262" i="1"/>
  <c r="G282" i="1"/>
  <c r="I301" i="1"/>
  <c r="F320" i="1"/>
  <c r="F329" i="1"/>
  <c r="G329" i="1"/>
  <c r="H329" i="1"/>
  <c r="I329" i="1"/>
  <c r="J329" i="1"/>
  <c r="K329" i="1"/>
  <c r="L329" i="1"/>
  <c r="L339" i="1"/>
  <c r="F354" i="1"/>
  <c r="G354" i="1"/>
  <c r="H354" i="1"/>
  <c r="I354" i="1"/>
  <c r="J354" i="1"/>
  <c r="K354" i="1"/>
  <c r="F361" i="1"/>
  <c r="G361" i="1"/>
  <c r="L373" i="1"/>
  <c r="F374" i="1"/>
  <c r="G374" i="1"/>
  <c r="I374" i="1"/>
  <c r="J374" i="1"/>
  <c r="K374" i="1"/>
  <c r="F385" i="1"/>
  <c r="G385" i="1"/>
  <c r="G400" i="1" s="1"/>
  <c r="H635" i="1" s="1"/>
  <c r="H385" i="1"/>
  <c r="I385" i="1"/>
  <c r="F393" i="1"/>
  <c r="G393" i="1"/>
  <c r="H393" i="1"/>
  <c r="H400" i="1" s="1"/>
  <c r="H634" i="1" s="1"/>
  <c r="J634" i="1" s="1"/>
  <c r="I393" i="1"/>
  <c r="I400" i="1" s="1"/>
  <c r="F399" i="1"/>
  <c r="G399" i="1"/>
  <c r="H399" i="1"/>
  <c r="I399" i="1"/>
  <c r="F400" i="1"/>
  <c r="L405" i="1"/>
  <c r="L411" i="1" s="1"/>
  <c r="L406" i="1"/>
  <c r="L407" i="1"/>
  <c r="L408" i="1"/>
  <c r="L409" i="1"/>
  <c r="L410" i="1"/>
  <c r="F411" i="1"/>
  <c r="F426" i="1" s="1"/>
  <c r="G411" i="1"/>
  <c r="H411" i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I426" i="1" s="1"/>
  <c r="J425" i="1"/>
  <c r="J426" i="1" s="1"/>
  <c r="F438" i="1"/>
  <c r="G438" i="1"/>
  <c r="G630" i="1" s="1"/>
  <c r="H438" i="1"/>
  <c r="G631" i="1" s="1"/>
  <c r="I438" i="1"/>
  <c r="G632" i="1" s="1"/>
  <c r="F444" i="1"/>
  <c r="F451" i="1" s="1"/>
  <c r="H629" i="1" s="1"/>
  <c r="J629" i="1" s="1"/>
  <c r="G444" i="1"/>
  <c r="H444" i="1"/>
  <c r="F450" i="1"/>
  <c r="G450" i="1"/>
  <c r="H450" i="1"/>
  <c r="G451" i="1"/>
  <c r="H630" i="1" s="1"/>
  <c r="H451" i="1"/>
  <c r="H631" i="1" s="1"/>
  <c r="F460" i="1"/>
  <c r="F466" i="1" s="1"/>
  <c r="H612" i="1" s="1"/>
  <c r="G460" i="1"/>
  <c r="H460" i="1"/>
  <c r="J460" i="1"/>
  <c r="J466" i="1" s="1"/>
  <c r="H616" i="1" s="1"/>
  <c r="F464" i="1"/>
  <c r="G464" i="1"/>
  <c r="H464" i="1"/>
  <c r="I464" i="1"/>
  <c r="J464" i="1"/>
  <c r="G466" i="1"/>
  <c r="H613" i="1" s="1"/>
  <c r="H466" i="1"/>
  <c r="H614" i="1" s="1"/>
  <c r="J614" i="1" s="1"/>
  <c r="K485" i="1"/>
  <c r="K486" i="1"/>
  <c r="K487" i="1"/>
  <c r="K488" i="1"/>
  <c r="K489" i="1"/>
  <c r="K491" i="1"/>
  <c r="K492" i="1"/>
  <c r="F507" i="1"/>
  <c r="G507" i="1"/>
  <c r="H507" i="1"/>
  <c r="I507" i="1"/>
  <c r="L513" i="1"/>
  <c r="F541" i="1" s="1"/>
  <c r="H514" i="1"/>
  <c r="I514" i="1"/>
  <c r="J514" i="1"/>
  <c r="J535" i="1" s="1"/>
  <c r="K514" i="1"/>
  <c r="K535" i="1" s="1"/>
  <c r="L517" i="1"/>
  <c r="J519" i="1"/>
  <c r="K519" i="1"/>
  <c r="L521" i="1"/>
  <c r="L522" i="1"/>
  <c r="L523" i="1"/>
  <c r="F524" i="1"/>
  <c r="G524" i="1"/>
  <c r="H524" i="1"/>
  <c r="I524" i="1"/>
  <c r="J524" i="1"/>
  <c r="K524" i="1"/>
  <c r="L526" i="1"/>
  <c r="I539" i="1" s="1"/>
  <c r="I542" i="1" s="1"/>
  <c r="L527" i="1"/>
  <c r="I540" i="1" s="1"/>
  <c r="L528" i="1"/>
  <c r="I541" i="1" s="1"/>
  <c r="F529" i="1"/>
  <c r="G529" i="1"/>
  <c r="H529" i="1"/>
  <c r="I529" i="1"/>
  <c r="J529" i="1"/>
  <c r="K529" i="1"/>
  <c r="L531" i="1"/>
  <c r="L534" i="1" s="1"/>
  <c r="L533" i="1"/>
  <c r="J541" i="1" s="1"/>
  <c r="F534" i="1"/>
  <c r="G534" i="1"/>
  <c r="J534" i="1"/>
  <c r="K534" i="1"/>
  <c r="G540" i="1"/>
  <c r="H540" i="1"/>
  <c r="J540" i="1"/>
  <c r="H541" i="1"/>
  <c r="L547" i="1"/>
  <c r="L548" i="1"/>
  <c r="L549" i="1"/>
  <c r="F550" i="1"/>
  <c r="F561" i="1" s="1"/>
  <c r="G550" i="1"/>
  <c r="H550" i="1"/>
  <c r="I550" i="1"/>
  <c r="J550" i="1"/>
  <c r="K550" i="1"/>
  <c r="L550" i="1"/>
  <c r="L552" i="1"/>
  <c r="L555" i="1" s="1"/>
  <c r="L553" i="1"/>
  <c r="L554" i="1"/>
  <c r="G555" i="1"/>
  <c r="J555" i="1"/>
  <c r="K555" i="1"/>
  <c r="L557" i="1"/>
  <c r="L558" i="1"/>
  <c r="L559" i="1"/>
  <c r="F560" i="1"/>
  <c r="G560" i="1"/>
  <c r="H560" i="1"/>
  <c r="I560" i="1"/>
  <c r="J560" i="1"/>
  <c r="K560" i="1"/>
  <c r="G561" i="1"/>
  <c r="J561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H639" i="1" s="1"/>
  <c r="I588" i="1"/>
  <c r="H640" i="1" s="1"/>
  <c r="J588" i="1"/>
  <c r="H641" i="1" s="1"/>
  <c r="J641" i="1" s="1"/>
  <c r="K592" i="1"/>
  <c r="K593" i="1"/>
  <c r="K594" i="1"/>
  <c r="H595" i="1"/>
  <c r="I595" i="1"/>
  <c r="J595" i="1"/>
  <c r="K595" i="1"/>
  <c r="G638" i="1" s="1"/>
  <c r="H604" i="1"/>
  <c r="I604" i="1"/>
  <c r="J604" i="1"/>
  <c r="K604" i="1"/>
  <c r="G607" i="1"/>
  <c r="G608" i="1"/>
  <c r="G609" i="1"/>
  <c r="H609" i="1"/>
  <c r="J609" i="1" s="1"/>
  <c r="G614" i="1"/>
  <c r="H617" i="1"/>
  <c r="H618" i="1"/>
  <c r="H619" i="1"/>
  <c r="H621" i="1"/>
  <c r="H622" i="1"/>
  <c r="H623" i="1"/>
  <c r="G624" i="1"/>
  <c r="H625" i="1"/>
  <c r="H626" i="1"/>
  <c r="H627" i="1"/>
  <c r="H628" i="1"/>
  <c r="G629" i="1"/>
  <c r="G633" i="1"/>
  <c r="H633" i="1"/>
  <c r="J633" i="1"/>
  <c r="G634" i="1"/>
  <c r="G635" i="1"/>
  <c r="G639" i="1"/>
  <c r="J639" i="1" s="1"/>
  <c r="G641" i="1"/>
  <c r="G642" i="1"/>
  <c r="H642" i="1"/>
  <c r="J642" i="1"/>
  <c r="G643" i="1"/>
  <c r="J643" i="1" s="1"/>
  <c r="H643" i="1"/>
  <c r="G644" i="1"/>
  <c r="H644" i="1"/>
  <c r="J644" i="1"/>
  <c r="G645" i="1"/>
  <c r="H645" i="1"/>
  <c r="J645" i="1"/>
  <c r="F44" i="1" l="1"/>
  <c r="H607" i="1" s="1"/>
  <c r="J607" i="1" s="1"/>
  <c r="G612" i="1"/>
  <c r="J612" i="1" s="1"/>
  <c r="J263" i="1"/>
  <c r="J637" i="1"/>
  <c r="J632" i="1"/>
  <c r="G19" i="2"/>
  <c r="L228" i="1"/>
  <c r="C13" i="10" s="1"/>
  <c r="F154" i="1"/>
  <c r="F161" i="1" s="1"/>
  <c r="C39" i="10" s="1"/>
  <c r="C80" i="2"/>
  <c r="C83" i="2" s="1"/>
  <c r="G615" i="1"/>
  <c r="J615" i="1" s="1"/>
  <c r="I44" i="1"/>
  <c r="H610" i="1" s="1"/>
  <c r="I444" i="1"/>
  <c r="I451" i="1" s="1"/>
  <c r="H632" i="1" s="1"/>
  <c r="I535" i="1"/>
  <c r="J631" i="1"/>
  <c r="F184" i="1"/>
  <c r="K490" i="1"/>
  <c r="C41" i="2"/>
  <c r="J19" i="1"/>
  <c r="G611" i="1" s="1"/>
  <c r="J185" i="1"/>
  <c r="E110" i="2"/>
  <c r="B36" i="12"/>
  <c r="J635" i="1"/>
  <c r="H535" i="1"/>
  <c r="J630" i="1"/>
  <c r="H426" i="1"/>
  <c r="E19" i="2"/>
  <c r="F48" i="2"/>
  <c r="F55" i="2" s="1"/>
  <c r="F96" i="2" s="1"/>
  <c r="I104" i="1"/>
  <c r="I185" i="1" s="1"/>
  <c r="G620" i="1" s="1"/>
  <c r="J620" i="1" s="1"/>
  <c r="G33" i="13"/>
  <c r="H320" i="1"/>
  <c r="L308" i="1"/>
  <c r="C12" i="10" s="1"/>
  <c r="H221" i="1"/>
  <c r="L208" i="1"/>
  <c r="L234" i="1"/>
  <c r="G239" i="1"/>
  <c r="L293" i="1"/>
  <c r="E111" i="2" s="1"/>
  <c r="G301" i="1"/>
  <c r="G330" i="1" s="1"/>
  <c r="G344" i="1" s="1"/>
  <c r="L514" i="1"/>
  <c r="F539" i="1"/>
  <c r="L516" i="1"/>
  <c r="F519" i="1"/>
  <c r="L601" i="1"/>
  <c r="G604" i="1"/>
  <c r="L602" i="1"/>
  <c r="G653" i="1" s="1"/>
  <c r="F604" i="1"/>
  <c r="L230" i="1"/>
  <c r="D6" i="13" s="1"/>
  <c r="C6" i="13" s="1"/>
  <c r="E101" i="2"/>
  <c r="L282" i="1"/>
  <c r="K541" i="1"/>
  <c r="G426" i="1"/>
  <c r="G44" i="1"/>
  <c r="H608" i="1" s="1"/>
  <c r="J608" i="1" s="1"/>
  <c r="G613" i="1"/>
  <c r="J613" i="1" s="1"/>
  <c r="E156" i="2"/>
  <c r="D19" i="2"/>
  <c r="E48" i="2"/>
  <c r="E55" i="2" s="1"/>
  <c r="H104" i="1"/>
  <c r="L231" i="1"/>
  <c r="C111" i="2" s="1"/>
  <c r="C104" i="2"/>
  <c r="C10" i="10"/>
  <c r="C101" i="2"/>
  <c r="L203" i="1"/>
  <c r="C114" i="2"/>
  <c r="E13" i="13"/>
  <c r="C13" i="13" s="1"/>
  <c r="C19" i="10"/>
  <c r="H330" i="1"/>
  <c r="H344" i="1" s="1"/>
  <c r="G249" i="1"/>
  <c r="G263" i="1" s="1"/>
  <c r="H361" i="1"/>
  <c r="I359" i="1"/>
  <c r="I361" i="1" s="1"/>
  <c r="H624" i="1" s="1"/>
  <c r="J624" i="1" s="1"/>
  <c r="G153" i="2"/>
  <c r="D55" i="2"/>
  <c r="D96" i="2" s="1"/>
  <c r="C106" i="2"/>
  <c r="D17" i="13"/>
  <c r="C17" i="13" s="1"/>
  <c r="H374" i="1"/>
  <c r="F33" i="13"/>
  <c r="F31" i="13"/>
  <c r="I330" i="1"/>
  <c r="I344" i="1" s="1"/>
  <c r="G535" i="1"/>
  <c r="E126" i="2"/>
  <c r="L343" i="1"/>
  <c r="B12" i="12"/>
  <c r="C10" i="12"/>
  <c r="C11" i="12"/>
  <c r="L560" i="1"/>
  <c r="L561" i="1" s="1"/>
  <c r="D137" i="2"/>
  <c r="E95" i="2"/>
  <c r="C73" i="2"/>
  <c r="F104" i="1"/>
  <c r="C16" i="10"/>
  <c r="H539" i="1"/>
  <c r="H542" i="1" s="1"/>
  <c r="L524" i="1"/>
  <c r="F42" i="2"/>
  <c r="F43" i="2" s="1"/>
  <c r="C38" i="10"/>
  <c r="C15" i="10"/>
  <c r="L385" i="1"/>
  <c r="F95" i="2"/>
  <c r="G96" i="2"/>
  <c r="C54" i="2"/>
  <c r="D119" i="2"/>
  <c r="D120" i="2" s="1"/>
  <c r="L288" i="1"/>
  <c r="L301" i="1" s="1"/>
  <c r="F301" i="1"/>
  <c r="K239" i="1"/>
  <c r="K330" i="1"/>
  <c r="C95" i="2"/>
  <c r="F70" i="2"/>
  <c r="F73" i="2" s="1"/>
  <c r="J37" i="1"/>
  <c r="D43" i="2"/>
  <c r="F282" i="1"/>
  <c r="F330" i="1" s="1"/>
  <c r="F344" i="1" s="1"/>
  <c r="L269" i="1"/>
  <c r="J610" i="1"/>
  <c r="G156" i="2"/>
  <c r="C42" i="2"/>
  <c r="C43" i="2" s="1"/>
  <c r="G32" i="2"/>
  <c r="D12" i="13"/>
  <c r="C12" i="13" s="1"/>
  <c r="C113" i="2"/>
  <c r="C18" i="10"/>
  <c r="C112" i="2"/>
  <c r="E8" i="13"/>
  <c r="C115" i="2"/>
  <c r="D14" i="13"/>
  <c r="C14" i="13" s="1"/>
  <c r="E16" i="13"/>
  <c r="C16" i="13" s="1"/>
  <c r="C29" i="10"/>
  <c r="E122" i="2"/>
  <c r="E136" i="2" s="1"/>
  <c r="F22" i="13"/>
  <c r="C22" i="13" s="1"/>
  <c r="G652" i="1"/>
  <c r="D15" i="13"/>
  <c r="C15" i="13" s="1"/>
  <c r="G640" i="1"/>
  <c r="J640" i="1" s="1"/>
  <c r="C116" i="2"/>
  <c r="C19" i="12"/>
  <c r="B21" i="12"/>
  <c r="L426" i="1"/>
  <c r="G628" i="1" s="1"/>
  <c r="J628" i="1" s="1"/>
  <c r="J330" i="1"/>
  <c r="J344" i="1" s="1"/>
  <c r="J33" i="1"/>
  <c r="H132" i="1"/>
  <c r="C30" i="12"/>
  <c r="C31" i="12" s="1"/>
  <c r="B31" i="12"/>
  <c r="I203" i="1"/>
  <c r="I249" i="1" s="1"/>
  <c r="I263" i="1" s="1"/>
  <c r="C110" i="2"/>
  <c r="L207" i="1"/>
  <c r="L221" i="1" s="1"/>
  <c r="H620" i="1"/>
  <c r="H203" i="1"/>
  <c r="H249" i="1" s="1"/>
  <c r="H263" i="1" s="1"/>
  <c r="C103" i="2"/>
  <c r="L367" i="1"/>
  <c r="L226" i="1"/>
  <c r="C11" i="10" s="1"/>
  <c r="L354" i="1"/>
  <c r="L529" i="1"/>
  <c r="F514" i="1"/>
  <c r="F535" i="1" s="1"/>
  <c r="K343" i="1"/>
  <c r="K262" i="1"/>
  <c r="L262" i="1" s="1"/>
  <c r="F40" i="2"/>
  <c r="L280" i="1"/>
  <c r="E117" i="2" s="1"/>
  <c r="F239" i="1"/>
  <c r="F203" i="1"/>
  <c r="F249" i="1" s="1"/>
  <c r="F263" i="1" s="1"/>
  <c r="J539" i="1"/>
  <c r="J542" i="1" s="1"/>
  <c r="K221" i="1"/>
  <c r="K249" i="1" s="1"/>
  <c r="K263" i="1" s="1"/>
  <c r="D29" i="13"/>
  <c r="C29" i="13" s="1"/>
  <c r="G104" i="1"/>
  <c r="G185" i="1" s="1"/>
  <c r="G618" i="1" s="1"/>
  <c r="J618" i="1" s="1"/>
  <c r="F652" i="1"/>
  <c r="I652" i="1" s="1"/>
  <c r="C35" i="10"/>
  <c r="F651" i="1"/>
  <c r="I651" i="1" s="1"/>
  <c r="C48" i="2"/>
  <c r="D12" i="10" l="1"/>
  <c r="D13" i="10"/>
  <c r="B22" i="12"/>
  <c r="C21" i="12"/>
  <c r="C22" i="12" s="1"/>
  <c r="C17" i="10"/>
  <c r="D7" i="13"/>
  <c r="C7" i="13" s="1"/>
  <c r="G650" i="1"/>
  <c r="G654" i="1" s="1"/>
  <c r="E33" i="13"/>
  <c r="D35" i="13" s="1"/>
  <c r="C8" i="13"/>
  <c r="G36" i="2"/>
  <c r="G42" i="2" s="1"/>
  <c r="G43" i="2" s="1"/>
  <c r="J43" i="1"/>
  <c r="L400" i="1"/>
  <c r="C130" i="2"/>
  <c r="F185" i="1"/>
  <c r="G617" i="1" s="1"/>
  <c r="J617" i="1" s="1"/>
  <c r="C55" i="2"/>
  <c r="C96" i="2" s="1"/>
  <c r="C120" i="2"/>
  <c r="H185" i="1"/>
  <c r="G619" i="1" s="1"/>
  <c r="J619" i="1" s="1"/>
  <c r="D15" i="10"/>
  <c r="D5" i="13"/>
  <c r="E96" i="2"/>
  <c r="C38" i="12"/>
  <c r="C37" i="12"/>
  <c r="B39" i="12"/>
  <c r="C36" i="10"/>
  <c r="A31" i="12"/>
  <c r="K344" i="1"/>
  <c r="E120" i="2"/>
  <c r="H638" i="1"/>
  <c r="J638" i="1" s="1"/>
  <c r="D19" i="10"/>
  <c r="L604" i="1"/>
  <c r="F653" i="1"/>
  <c r="I653" i="1" s="1"/>
  <c r="G636" i="1"/>
  <c r="G621" i="1"/>
  <c r="J621" i="1" s="1"/>
  <c r="G625" i="1"/>
  <c r="J625" i="1" s="1"/>
  <c r="C27" i="10"/>
  <c r="C13" i="12"/>
  <c r="G539" i="1"/>
  <c r="G542" i="1" s="1"/>
  <c r="L519" i="1"/>
  <c r="E103" i="2"/>
  <c r="L320" i="1"/>
  <c r="D31" i="13" s="1"/>
  <c r="C31" i="13" s="1"/>
  <c r="L239" i="1"/>
  <c r="H650" i="1" s="1"/>
  <c r="H654" i="1" s="1"/>
  <c r="B13" i="12"/>
  <c r="A13" i="12" s="1"/>
  <c r="C12" i="12"/>
  <c r="F650" i="1"/>
  <c r="F542" i="1"/>
  <c r="L374" i="1"/>
  <c r="G626" i="1" s="1"/>
  <c r="J626" i="1" s="1"/>
  <c r="F122" i="2"/>
  <c r="F136" i="2" s="1"/>
  <c r="F137" i="2" s="1"/>
  <c r="C102" i="2"/>
  <c r="C107" i="2"/>
  <c r="L535" i="1"/>
  <c r="E102" i="2"/>
  <c r="E107" i="2" s="1"/>
  <c r="E137" i="2" s="1"/>
  <c r="D10" i="10"/>
  <c r="C28" i="10"/>
  <c r="H662" i="1" l="1"/>
  <c r="C6" i="10" s="1"/>
  <c r="H657" i="1"/>
  <c r="F654" i="1"/>
  <c r="I650" i="1"/>
  <c r="I654" i="1" s="1"/>
  <c r="L249" i="1"/>
  <c r="L263" i="1" s="1"/>
  <c r="G622" i="1" s="1"/>
  <c r="J622" i="1" s="1"/>
  <c r="C133" i="2"/>
  <c r="C136" i="2" s="1"/>
  <c r="C137" i="2" s="1"/>
  <c r="K539" i="1"/>
  <c r="K542" i="1" s="1"/>
  <c r="G657" i="1"/>
  <c r="G662" i="1"/>
  <c r="C5" i="10" s="1"/>
  <c r="D25" i="10"/>
  <c r="C30" i="10"/>
  <c r="D22" i="10"/>
  <c r="D20" i="10"/>
  <c r="D24" i="10"/>
  <c r="D26" i="10"/>
  <c r="D21" i="10"/>
  <c r="D23" i="10"/>
  <c r="C41" i="10"/>
  <c r="D16" i="10"/>
  <c r="D17" i="10"/>
  <c r="A22" i="12"/>
  <c r="C40" i="12"/>
  <c r="G627" i="1"/>
  <c r="J627" i="1" s="1"/>
  <c r="H636" i="1"/>
  <c r="J636" i="1" s="1"/>
  <c r="L330" i="1"/>
  <c r="L344" i="1" s="1"/>
  <c r="G623" i="1" s="1"/>
  <c r="J623" i="1" s="1"/>
  <c r="G616" i="1"/>
  <c r="J44" i="1"/>
  <c r="H611" i="1" s="1"/>
  <c r="J611" i="1" s="1"/>
  <c r="D33" i="13"/>
  <c r="D36" i="13" s="1"/>
  <c r="C5" i="13"/>
  <c r="B40" i="12"/>
  <c r="C39" i="12"/>
  <c r="D27" i="10"/>
  <c r="D18" i="10"/>
  <c r="D11" i="10"/>
  <c r="D28" i="10" s="1"/>
  <c r="A40" i="12" l="1"/>
  <c r="I662" i="1"/>
  <c r="C7" i="10" s="1"/>
  <c r="I657" i="1"/>
  <c r="D40" i="10"/>
  <c r="D37" i="10"/>
  <c r="D38" i="10"/>
  <c r="D35" i="10"/>
  <c r="D39" i="10"/>
  <c r="J616" i="1"/>
  <c r="H646" i="1"/>
  <c r="D36" i="10"/>
  <c r="F657" i="1"/>
  <c r="F662" i="1"/>
  <c r="C4" i="10" s="1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23855467-EC7A-43D2-8C51-AEBF87828C16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8E8374ED-F246-48BC-AC01-6E6572F248DD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30E6BA45-8257-46DB-A2C1-7D6A3E909C7E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E935D922-7835-4E33-9FB7-5A7E651E6B53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7CC7D004-D79E-44A2-BFD3-2C3277A7B955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2EBF547F-04B8-4F66-BE16-BD9F1CB4FC05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25227848-B66D-4BB6-B1C0-94A63FE26520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B41F7220-7785-4EAF-94EE-533AFAC48981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123E9097-662E-4B1E-8CA1-269C7CC06291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AC1CB993-5604-4780-9428-0FE61C698991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43C1FD01-7556-4216-864F-3A4952ED075C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546DFA1A-3BD1-42BA-81D6-D3831E89BCCC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<sst xmlns="http://schemas.openxmlformats.org/spreadsheetml/2006/main" count="3871" uniqueCount="901">
  <si>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</si>
  <si>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</si>
  <si>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</si>
  <si>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</si>
  <si>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</si>
  <si>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</si>
  <si>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</si>
  <si>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</si>
  <si>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</si>
  <si>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</si>
  <si>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</si>
  <si>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</si>
  <si>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</si>
  <si>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</si>
  <si>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</si>
  <si>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</si>
  <si>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</si>
  <si>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</si>
  <si>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</si>
  <si>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</si>
  <si>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</si>
  <si>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</si>
  <si>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</si>
  <si>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</si>
  <si>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</si>
  <si>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</si>
  <si>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</si>
  <si>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</si>
  <si>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</si>
  <si>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</si>
  <si>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</si>
  <si>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</si>
  <si>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</si>
  <si>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</si>
  <si>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</si>
  <si>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</si>
  <si>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</si>
  <si>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</si>
  <si>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</si>
  <si>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</si>
  <si>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</si>
  <si>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</si>
  <si>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</si>
  <si>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</si>
  <si>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</si>
  <si>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</si>
  <si>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</si>
  <si>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</si>
  <si>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</si>
  <si>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</si>
  <si>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</si>
  <si>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</si>
  <si>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</si>
  <si>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</si>
  <si>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</si>
  <si>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</si>
  <si>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</si>
  <si>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</si>
  <si>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</si>
  <si>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</si>
  <si>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</si>
  <si>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</si>
  <si>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</si>
  <si>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</si>
  <si>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</si>
  <si>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</si>
  <si>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</si>
  <si>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</si>
  <si>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</si>
  <si>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</si>
  <si>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</si>
  <si>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</si>
  <si>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</si>
  <si>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</si>
  <si>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</si>
  <si>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</si>
  <si>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</si>
  <si>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</si>
  <si>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</si>
  <si>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</si>
  <si>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</si>
  <si>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</si>
  <si>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</si>
  <si>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</si>
  <si>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</si>
  <si>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</si>
  <si>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</si>
  <si>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</si>
  <si>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</si>
  <si>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</si>
  <si>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</si>
  <si>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</si>
  <si>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</si>
  <si>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</si>
  <si>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</si>
  <si>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</si>
  <si>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</si>
  <si>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</si>
  <si>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</si>
  <si>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</si>
  <si>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</si>
  <si>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</si>
  <si>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</si>
  <si>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</si>
  <si>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</si>
  <si>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</si>
  <si>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</si>
  <si>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</si>
  <si>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</si>
  <si>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</si>
  <si>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</si>
  <si>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</si>
  <si>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</si>
  <si>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</si>
  <si>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</si>
  <si>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</si>
  <si>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</si>
  <si>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</si>
  <si>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</si>
  <si>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</si>
  <si>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</si>
  <si>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</si>
  <si>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</si>
  <si>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</si>
  <si>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</si>
  <si>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</si>
  <si>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</si>
  <si>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</si>
  <si>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</si>
  <si>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</si>
  <si>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</si>
  <si>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</si>
  <si>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</si>
  <si>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</si>
  <si>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</si>
  <si>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</si>
  <si>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</si>
  <si>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</si>
  <si>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</si>
  <si>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</si>
  <si>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</si>
  <si>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</si>
  <si>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</si>
  <si>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</si>
  <si>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</si>
  <si>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</si>
  <si>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</si>
  <si>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</si>
  <si>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</si>
  <si>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</si>
  <si>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</si>
  <si>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</si>
  <si>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</si>
  <si>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</si>
  <si>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</si>
  <si>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</si>
  <si>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</si>
  <si>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</si>
  <si>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</si>
  <si>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</si>
  <si>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</si>
  <si>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</si>
  <si>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</si>
  <si>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</si>
  <si>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</si>
  <si>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</si>
  <si>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</si>
  <si>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</si>
  <si>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</si>
  <si>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</si>
  <si>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</si>
  <si>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</si>
  <si>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</si>
  <si>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</si>
  <si>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</si>
  <si>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</si>
  <si>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</si>
  <si>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</si>
  <si>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</si>
  <si>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</si>
  <si>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</si>
  <si>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</si>
  <si>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</si>
  <si>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</si>
  <si>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</si>
  <si>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</si>
  <si>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</si>
  <si>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</si>
  <si>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</si>
  <si>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</si>
  <si>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</si>
  <si>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</si>
  <si>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</si>
  <si>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</si>
  <si>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</si>
  <si>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</si>
  <si>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</si>
  <si>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</si>
  <si>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</si>
  <si>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</si>
  <si>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</si>
  <si>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</si>
  <si>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</si>
  <si>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</si>
  <si>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</si>
  <si>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</si>
  <si>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</si>
  <si>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</si>
  <si>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</si>
  <si>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</si>
  <si>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</si>
  <si>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</si>
  <si>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</si>
  <si>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</si>
  <si>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</si>
  <si>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</si>
  <si>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</si>
  <si>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</si>
  <si>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</si>
  <si>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</si>
  <si>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</si>
  <si>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</si>
  <si>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</si>
  <si>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</si>
  <si>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</si>
  <si>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</si>
  <si>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</si>
  <si>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</si>
  <si>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</si>
  <si>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</si>
  <si>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</si>
  <si>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</si>
  <si>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</si>
  <si>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</si>
  <si>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</si>
  <si>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</si>
  <si>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</si>
  <si>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</si>
  <si>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</si>
  <si>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</si>
  <si>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</si>
  <si>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</si>
  <si>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</si>
  <si>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</si>
  <si>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</si>
  <si>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</si>
  <si>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</si>
  <si>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</si>
  <si>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</si>
  <si>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</si>
  <si>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</si>
  <si>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</si>
  <si>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</si>
  <si>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</si>
  <si>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</si>
  <si>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</si>
  <si>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</si>
  <si>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</si>
  <si>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</si>
  <si>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</si>
  <si>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</si>
  <si>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</si>
  <si>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</si>
  <si>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</si>
  <si>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</si>
  <si>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</si>
  <si>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</si>
  <si>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</si>
  <si>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</si>
  <si>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</si>
  <si>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</si>
  <si>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</si>
  <si>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</si>
  <si>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</si>
  <si>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</si>
  <si>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</si>
  <si>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</si>
  <si>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</si>
  <si>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</si>
  <si>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</si>
  <si>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</si>
  <si>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</si>
  <si>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</si>
  <si>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</si>
  <si>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</si>
  <si>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</si>
  <si>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</si>
  <si>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</si>
  <si>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</si>
  <si>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</si>
  <si>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</si>
  <si>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</si>
  <si>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</si>
  <si>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</si>
  <si>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</si>
  <si>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</si>
  <si>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</si>
  <si>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</si>
  <si>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</si>
  <si>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</si>
  <si>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</si>
  <si>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</si>
  <si>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</si>
  <si>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</si>
  <si>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</si>
  <si>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</si>
  <si>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</si>
  <si>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</si>
  <si>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</si>
  <si>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</si>
  <si>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</si>
  <si>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</si>
  <si>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</si>
  <si>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</si>
  <si>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</si>
  <si>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</si>
  <si>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</si>
  <si>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</si>
  <si>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</si>
  <si>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</si>
  <si>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</si>
  <si>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</si>
  <si>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</si>
  <si>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</si>
  <si>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</si>
  <si>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</si>
  <si>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</si>
  <si>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</si>
  <si>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</si>
  <si>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</si>
  <si>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</si>
  <si>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</si>
  <si>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</si>
  <si>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</si>
  <si>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</si>
  <si>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</si>
  <si>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</si>
  <si>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</si>
  <si>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</si>
  <si>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</si>
  <si>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</si>
  <si>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</si>
  <si>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</si>
  <si>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</si>
  <si>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</si>
  <si>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</si>
  <si>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</si>
  <si>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</si>
  <si>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</si>
  <si>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</si>
  <si>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</si>
  <si>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</si>
  <si>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</si>
  <si>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</si>
  <si>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</si>
  <si>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</si>
  <si>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</si>
  <si>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</si>
  <si>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</si>
  <si>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</si>
  <si>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</si>
  <si>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</si>
  <si>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</si>
  <si>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</si>
  <si>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</si>
  <si>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</si>
  <si>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</si>
  <si>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</si>
  <si>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</si>
  <si>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</si>
  <si>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</si>
  <si>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</si>
  <si>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</si>
  <si>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</si>
  <si>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</si>
  <si>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</si>
  <si>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</si>
  <si>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</si>
  <si>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</si>
  <si>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</si>
  <si>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</si>
  <si>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</si>
  <si>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</si>
  <si>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</si>
  <si>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</si>
  <si>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</si>
  <si>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</si>
  <si>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</si>
  <si>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</si>
  <si>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</si>
  <si>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</si>
  <si>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</si>
  <si>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</si>
  <si>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</si>
  <si>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</si>
  <si>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</si>
  <si>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</si>
  <si>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</si>
  <si>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</si>
  <si>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</si>
  <si>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</si>
  <si>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</si>
  <si>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</si>
  <si>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</si>
  <si>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</si>
  <si>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</si>
  <si>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</si>
  <si>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</si>
  <si>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</si>
  <si>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</si>
  <si>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</si>
  <si>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</si>
  <si>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</si>
  <si>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</si>
  <si>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</si>
  <si>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</si>
  <si>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</si>
  <si>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</si>
  <si>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</si>
  <si>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</si>
  <si>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</si>
  <si>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</si>
  <si>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</si>
  <si>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</si>
  <si>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</si>
  <si>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</si>
  <si>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</si>
  <si>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</si>
  <si>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</si>
  <si>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</si>
  <si>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</si>
  <si>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</si>
  <si>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</si>
  <si>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</si>
  <si>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</si>
  <si>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</si>
  <si>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</si>
  <si>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</si>
  <si>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</si>
  <si>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</si>
  <si>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</si>
  <si>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</si>
  <si>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</si>
  <si>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</si>
  <si>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</si>
  <si>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</si>
  <si>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</si>
  <si>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</si>
  <si>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</si>
  <si>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</si>
  <si>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</si>
  <si>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</si>
  <si>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</si>
  <si>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</si>
  <si>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</si>
  <si>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</si>
  <si>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</si>
  <si>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</si>
  <si>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</si>
  <si>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</si>
  <si>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</si>
  <si>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</si>
  <si>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</si>
  <si>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</si>
  <si>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</si>
  <si>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</si>
  <si>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</si>
  <si>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</si>
  <si>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</si>
  <si>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</si>
  <si>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</si>
  <si>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</si>
  <si>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</si>
  <si>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</si>
  <si>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</si>
  <si>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</si>
  <si>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</si>
  <si>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</si>
  <si>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</si>
  <si>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</si>
  <si>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</si>
  <si>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</si>
  <si>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</si>
  <si>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</si>
  <si>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</si>
  <si>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</si>
  <si>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</si>
  <si>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</si>
  <si>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</si>
  <si>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</si>
  <si>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</si>
  <si>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</si>
  <si>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</si>
  <si>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</si>
  <si>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</si>
  <si>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</si>
  <si>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</si>
  <si>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</si>
  <si>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</si>
  <si>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</si>
  <si>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</si>
  <si>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</si>
  <si>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</si>
  <si>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</si>
  <si>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</si>
  <si>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</si>
  <si>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</si>
  <si>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</si>
  <si>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</si>
  <si>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</si>
  <si>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</si>
  <si>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</si>
  <si>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</si>
  <si>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</si>
  <si>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</si>
  <si>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</si>
  <si>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</si>
  <si>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</si>
  <si>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</si>
  <si>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</si>
  <si>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</si>
  <si>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</si>
  <si>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</si>
  <si>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</si>
  <si>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</si>
  <si>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</si>
  <si>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</si>
  <si>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</si>
  <si>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</si>
  <si>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</si>
  <si>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</si>
  <si>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</si>
  <si>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</si>
  <si>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</si>
  <si>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</si>
  <si>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</si>
  <si>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</si>
  <si>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</si>
  <si>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</si>
  <si>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</si>
  <si>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</si>
  <si>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</si>
  <si>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</si>
  <si>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</si>
  <si>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</si>
  <si>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</si>
  <si>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</si>
  <si>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</si>
  <si>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</si>
  <si>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</si>
  <si>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</si>
  <si>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</si>
  <si>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</si>
  <si>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</si>
  <si>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</si>
  <si>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</si>
  <si>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</si>
  <si>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</si>
  <si>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</si>
  <si>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</si>
  <si>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</si>
  <si>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</si>
  <si>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</si>
  <si>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</si>
  <si>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</si>
  <si>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</si>
  <si>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</si>
  <si>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</si>
  <si>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</si>
  <si>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</si>
  <si>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</si>
  <si>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</si>
  <si>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</si>
  <si>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</si>
  <si>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</si>
  <si>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</si>
  <si>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</si>
  <si>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</si>
  <si>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</si>
  <si>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</si>
  <si>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</si>
  <si>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</si>
  <si>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</si>
  <si>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</si>
  <si>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</si>
  <si>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</si>
  <si>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</si>
  <si>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</si>
  <si>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</si>
  <si>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</si>
  <si>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</si>
  <si>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</si>
  <si>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</si>
  <si>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</si>
  <si>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</si>
  <si>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</si>
  <si>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</si>
  <si>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</si>
  <si>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</si>
  <si>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</si>
  <si>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</si>
  <si>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</si>
  <si>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</si>
  <si>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</si>
  <si>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</si>
  <si>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</si>
  <si>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</si>
  <si>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</si>
  <si>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</si>
  <si>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</si>
  <si>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</si>
  <si>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</si>
  <si>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</si>
  <si>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</si>
  <si>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</si>
  <si>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</si>
  <si>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</si>
  <si>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</si>
  <si>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</si>
  <si>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</si>
  <si>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</si>
  <si>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</si>
  <si>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</si>
  <si>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</si>
  <si>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</si>
  <si>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</si>
  <si>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</si>
  <si>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</si>
  <si>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</si>
  <si>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</si>
  <si>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</si>
  <si>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</si>
  <si>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</si>
  <si>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</si>
  <si>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</si>
  <si>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</si>
  <si>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</si>
  <si>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</si>
  <si>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</si>
  <si>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</si>
  <si>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</si>
  <si>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</si>
  <si>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</si>
  <si>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</si>
  <si>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</si>
  <si>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</si>
  <si>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</si>
  <si>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</si>
  <si>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</si>
  <si>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</si>
  <si>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</si>
  <si>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</si>
  <si>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</si>
  <si>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</si>
  <si>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</si>
  <si>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</si>
  <si>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</si>
  <si>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</si>
  <si>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</si>
  <si>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</si>
  <si>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</si>
  <si>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</si>
  <si>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</si>
  <si>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</si>
  <si>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</si>
  <si>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</si>
  <si>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</si>
  <si>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</si>
  <si>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</si>
  <si>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</si>
  <si>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</si>
  <si>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</si>
  <si>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</si>
  <si>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</si>
  <si>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</si>
  <si>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</si>
  <si>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</si>
  <si>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</si>
  <si>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</si>
  <si>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</si>
  <si>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</si>
  <si>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</si>
  <si>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</si>
  <si>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</si>
  <si>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</si>
  <si>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</si>
  <si>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</si>
  <si>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</si>
  <si>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</si>
  <si>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</si>
  <si>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</si>
  <si>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</si>
  <si>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</si>
  <si>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</si>
  <si>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</si>
  <si>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</si>
  <si>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</si>
  <si>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</si>
  <si>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</si>
  <si>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</si>
  <si>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</si>
  <si>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</si>
  <si>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</si>
  <si>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</si>
  <si>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</si>
  <si>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</si>
  <si>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</si>
  <si>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</si>
  <si>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</si>
  <si>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</si>
  <si>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</si>
  <si>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</si>
  <si>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</si>
  <si>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</si>
  <si>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</si>
  <si>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</si>
  <si>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</si>
  <si>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</si>
  <si>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</si>
  <si>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</si>
  <si>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</si>
  <si>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</si>
  <si>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</si>
  <si>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</si>
  <si>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</si>
  <si>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</si>
  <si>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</si>
  <si>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</si>
  <si>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</si>
  <si>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</si>
  <si>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</si>
  <si>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</si>
  <si>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</si>
  <si>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</si>
  <si>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</si>
  <si>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</si>
  <si>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</si>
  <si>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</si>
  <si>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</si>
  <si>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</si>
  <si>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</si>
  <si>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</si>
  <si>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</si>
  <si>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</si>
  <si>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</si>
  <si>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</si>
  <si>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</si>
  <si>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</si>
  <si>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</si>
  <si>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</si>
  <si>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</si>
  <si>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</si>
  <si>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</si>
  <si>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</si>
  <si>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</si>
  <si>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</si>
  <si>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</si>
  <si>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</si>
  <si>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</si>
  <si>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</si>
  <si>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</si>
  <si>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</si>
  <si>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</si>
  <si>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</si>
  <si>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</si>
  <si>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</si>
  <si>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</si>
  <si>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</si>
  <si>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</si>
  <si>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</si>
  <si>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</si>
  <si>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</si>
  <si>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</si>
  <si>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</si>
  <si>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</si>
  <si>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</si>
  <si>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</si>
  <si>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</si>
  <si>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</si>
  <si>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</si>
  <si>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</si>
  <si>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</si>
  <si>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</si>
  <si>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</si>
  <si>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</si>
  <si>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</si>
  <si>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</si>
  <si>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</si>
  <si>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</si>
  <si>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</si>
  <si>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</si>
  <si>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</si>
  <si>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</si>
  <si>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</si>
  <si>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</si>
  <si>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</si>
  <si>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</si>
  <si>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</si>
  <si>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</si>
  <si>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</si>
  <si>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</si>
  <si>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</si>
  <si>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</si>
  <si>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</si>
  <si>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</si>
  <si>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</si>
  <si>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</si>
  <si>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</si>
  <si>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</si>
  <si>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</si>
  <si>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</si>
  <si>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</si>
  <si>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</si>
  <si>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</si>
  <si>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</si>
  <si>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</si>
  <si>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</si>
  <si>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</si>
  <si>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</si>
  <si>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</si>
  <si>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</si>
  <si>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</si>
  <si>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</si>
  <si>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</si>
  <si>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</si>
  <si>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</si>
  <si>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</si>
  <si>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</si>
  <si>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</si>
  <si>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</si>
  <si>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</si>
  <si>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</si>
  <si>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</si>
  <si>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</si>
  <si>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</si>
  <si>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</si>
  <si>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</si>
  <si>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</si>
  <si>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</si>
  <si>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</si>
  <si>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</si>
  <si>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</si>
  <si>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</si>
  <si>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</si>
  <si>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</si>
  <si>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</si>
  <si>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</si>
  <si>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</si>
  <si>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</si>
  <si>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</si>
  <si>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</si>
  <si>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</si>
  <si>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</si>
  <si>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</si>
  <si>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</si>
  <si>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</si>
  <si>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</si>
  <si>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</si>
  <si>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</si>
  <si>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</si>
  <si>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</si>
  <si>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</si>
  <si>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</si>
  <si>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</si>
  <si>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</si>
  <si>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</si>
  <si>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</si>
  <si>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</si>
  <si>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</si>
  <si>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</si>
  <si>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</si>
  <si>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</si>
  <si>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</si>
  <si>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</si>
  <si>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</si>
  <si>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</si>
  <si>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</si>
  <si>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</si>
  <si>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</si>
  <si>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</si>
  <si>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</si>
  <si>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</si>
  <si>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</si>
  <si>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</si>
  <si>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</si>
  <si>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</si>
  <si>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</si>
  <si>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</si>
  <si>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</si>
  <si>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</si>
  <si>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</si>
  <si>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</si>
  <si>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</si>
  <si>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</si>
  <si>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CONCORD SCHOOL DISTRICT</t>
  </si>
  <si>
    <t>04/20</t>
  </si>
  <si>
    <t>See Attached Page for Details</t>
  </si>
  <si>
    <t>11/91 - 07/09</t>
  </si>
  <si>
    <t>Adjustment for prior year bond fund liability. Amount brought in through Financial System Conversion.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</si>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</sst>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A6F3-2EE9-4AD4-983D-6594753ABB7A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H656" sqref="H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111</v>
      </c>
      <c r="C2" s="21">
        <v>111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126433.88-472.99</f>
        <v>125960.89</v>
      </c>
      <c r="G9" s="18">
        <f>205206.9+2529.1</f>
        <v>207736</v>
      </c>
      <c r="H9" s="18">
        <v>-209321.71</v>
      </c>
      <c r="I9" s="18">
        <v>191166.04</v>
      </c>
      <c r="J9" s="67">
        <f>SUM(I431)</f>
        <v>0</v>
      </c>
      <c r="K9" s="24" t="s">
        <v>312</v>
      </c>
      <c r="L9" s="24" t="s">
        <v>312</v>
      </c>
      <c r="M9" s="8" t="s">
        <v>899</v>
      </c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>
        <f>8715805.72-260339.1</f>
        <v>8455466.620000001</v>
      </c>
      <c r="J10" s="67">
        <f>SUM(I432)</f>
        <v>7393000.8699999992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9978410.2-254604.5</f>
        <v>9723805.6999999993</v>
      </c>
      <c r="G12" s="18">
        <v>547505.78</v>
      </c>
      <c r="H12" s="18">
        <v>3989219.41</v>
      </c>
      <c r="I12" s="18">
        <v>2089263.21</v>
      </c>
      <c r="J12" s="67">
        <f>SUM(I433)</f>
        <v>18250</v>
      </c>
      <c r="K12" s="24" t="s">
        <v>312</v>
      </c>
      <c r="L12" s="24" t="s">
        <v>312</v>
      </c>
      <c r="M12" s="8" t="s">
        <v>900</v>
      </c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>
        <v>0.3</v>
      </c>
      <c r="I13" s="18"/>
      <c r="J13" s="67">
        <f>SUM(I434)</f>
        <v>295654.5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f>430301.74+49298.1</f>
        <v>479599.83999999997</v>
      </c>
      <c r="G14" s="18">
        <v>50969.59</v>
      </c>
      <c r="H14" s="18">
        <v>1300597.8400000001</v>
      </c>
      <c r="I14" s="18"/>
      <c r="J14" s="67">
        <f>SUM(I435)</f>
        <v>0</v>
      </c>
      <c r="K14" s="24" t="s">
        <v>312</v>
      </c>
      <c r="L14" s="24" t="s">
        <v>312</v>
      </c>
      <c r="M14" s="8" t="s">
        <v>900</v>
      </c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>
        <v>166534.53</v>
      </c>
      <c r="G16" s="18">
        <v>23571.98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>
        <v>93300</v>
      </c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10589200.959999999</v>
      </c>
      <c r="G19" s="41">
        <f>SUM(G9:G18)</f>
        <v>829783.35</v>
      </c>
      <c r="H19" s="41">
        <f>SUM(H9:H18)</f>
        <v>5080495.84</v>
      </c>
      <c r="I19" s="41">
        <f>SUM(I9:I18)</f>
        <v>10735895.870000001</v>
      </c>
      <c r="J19" s="41">
        <f>SUM(J9:J18)</f>
        <v>7706905.3699999992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f>6931239.6</f>
        <v>6931239.5999999996</v>
      </c>
      <c r="G23" s="18">
        <v>585492.56999999995</v>
      </c>
      <c r="H23" s="18">
        <v>4855561.9400000004</v>
      </c>
      <c r="I23" s="18">
        <v>4272592.74</v>
      </c>
      <c r="J23" s="67">
        <f>SUM(I440)</f>
        <v>18250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253049.73-48097.96</f>
        <v>204951.77000000002</v>
      </c>
      <c r="G25" s="18">
        <v>5626.2</v>
      </c>
      <c r="H25" s="18">
        <v>49368.55</v>
      </c>
      <c r="I25" s="18">
        <v>41623.269999999997</v>
      </c>
      <c r="J25" s="67">
        <f>SUM(I442)</f>
        <v>0</v>
      </c>
      <c r="K25" s="24" t="s">
        <v>312</v>
      </c>
      <c r="L25" s="24" t="s">
        <v>312</v>
      </c>
      <c r="M25" s="8" t="s">
        <v>900</v>
      </c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f>84378.85+35613</f>
        <v>119991.85</v>
      </c>
      <c r="G29" s="18">
        <v>4118.05</v>
      </c>
      <c r="H29" s="18">
        <v>26508.29</v>
      </c>
      <c r="I29" s="18"/>
      <c r="J29" s="24" t="s">
        <v>312</v>
      </c>
      <c r="K29" s="24" t="s">
        <v>312</v>
      </c>
      <c r="L29" s="24" t="s">
        <v>312</v>
      </c>
      <c r="M29" s="8" t="s">
        <v>900</v>
      </c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192416.45+48200.96</f>
        <v>240617.41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55311.61</v>
      </c>
      <c r="G31" s="18">
        <v>22390.83</v>
      </c>
      <c r="H31" s="18">
        <v>31796.37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>
        <v>25</v>
      </c>
      <c r="H32" s="18">
        <v>5236.22</v>
      </c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7552112.2399999993</v>
      </c>
      <c r="G33" s="41">
        <f>SUM(G23:G32)</f>
        <v>617652.64999999991</v>
      </c>
      <c r="H33" s="41">
        <f>SUM(H23:H32)</f>
        <v>4968471.37</v>
      </c>
      <c r="I33" s="41">
        <f>SUM(I23:I32)</f>
        <v>4314216.01</v>
      </c>
      <c r="J33" s="41">
        <f>SUM(J23:J32)</f>
        <v>18250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810465.57</v>
      </c>
      <c r="G37" s="18">
        <v>84748.32</v>
      </c>
      <c r="H37" s="18">
        <v>212829.01</v>
      </c>
      <c r="I37" s="18">
        <v>5738415.7699999996</v>
      </c>
      <c r="J37" s="13">
        <f>SUM(I446)</f>
        <v>4750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f>217884.53-51350</f>
        <v>166534.53</v>
      </c>
      <c r="G41" s="18">
        <f>124878.28+2504.1</f>
        <v>127382.38</v>
      </c>
      <c r="H41" s="18">
        <f>134131.68-234936.22</f>
        <v>-100804.54000000001</v>
      </c>
      <c r="I41" s="18">
        <f>7839278.5-6895675.31-260339.1</f>
        <v>683264.09000000043</v>
      </c>
      <c r="J41" s="13">
        <f>SUM(I449)</f>
        <v>7683905.3699999992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5226988.35-2976754.34+51350-241495.39</f>
        <v>2060088.6199999996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 t="s">
        <v>900</v>
      </c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3037088.7199999997</v>
      </c>
      <c r="G43" s="41">
        <f>SUM(G35:G42)</f>
        <v>212130.7</v>
      </c>
      <c r="H43" s="41">
        <f>SUM(H35:H42)</f>
        <v>112024.47</v>
      </c>
      <c r="I43" s="41">
        <f>SUM(I35:I42)</f>
        <v>6421679.8600000003</v>
      </c>
      <c r="J43" s="41">
        <f>SUM(J35:J42)</f>
        <v>7688655.3699999992</v>
      </c>
      <c r="K43" s="45" t="s">
        <v>312</v>
      </c>
      <c r="L43" s="45" t="s">
        <v>312</v>
      </c>
      <c r="M43" s="8" t="s">
        <v>900</v>
      </c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10589200.959999999</v>
      </c>
      <c r="G44" s="41">
        <f>G43+G33</f>
        <v>829783.34999999986</v>
      </c>
      <c r="H44" s="41">
        <f>H43+H33</f>
        <v>5080495.84</v>
      </c>
      <c r="I44" s="41">
        <f>I43+I33</f>
        <v>10735895.870000001</v>
      </c>
      <c r="J44" s="41">
        <f>J43+J33</f>
        <v>7706905.3699999992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33446849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33446849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f>66793.13+6754.66</f>
        <v>73547.790000000008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28245.55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175847.8</v>
      </c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251994.89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2492551.5099999998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f>144358.24+670336.88</f>
        <v>814695.12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311156.84000000003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4148039.5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11360</v>
      </c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>
        <v>2513.71</v>
      </c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>
        <v>67260.399999999994</v>
      </c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81134.109999999986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25348.11</v>
      </c>
      <c r="G88" s="18">
        <v>360.73</v>
      </c>
      <c r="H88" s="18"/>
      <c r="I88" s="18">
        <f>55.29-19936.85</f>
        <v>-19881.559999999998</v>
      </c>
      <c r="J88" s="18">
        <f>20895.52+1152.45</f>
        <v>22047.97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-46.9+451421.55+23691.4+261244.75+5602.55</f>
        <v>741913.35000000009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f>20008.6+79636.09+5169.96</f>
        <v>104814.65000000001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f>80278+11100</f>
        <v>91378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78381.13</v>
      </c>
      <c r="I94" s="18"/>
      <c r="J94" s="18">
        <v>7251</v>
      </c>
      <c r="K94" s="24" t="s">
        <v>312</v>
      </c>
      <c r="L94" s="24" t="s">
        <v>312</v>
      </c>
      <c r="M94" s="8" t="s">
        <v>899</v>
      </c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2602.96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112737.53</v>
      </c>
      <c r="G102" s="18">
        <f>11076.39+2272.8</f>
        <v>13349.189999999999</v>
      </c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336881.25</v>
      </c>
      <c r="G103" s="41">
        <f>SUM(G88:G102)</f>
        <v>755623.27</v>
      </c>
      <c r="H103" s="41">
        <f>SUM(H88:H102)</f>
        <v>78381.13</v>
      </c>
      <c r="I103" s="41">
        <f>SUM(I88:I102)</f>
        <v>-19881.559999999998</v>
      </c>
      <c r="J103" s="41">
        <f>SUM(J88:J102)</f>
        <v>29298.97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38012903.859999999</v>
      </c>
      <c r="G104" s="41">
        <f>G52+G103</f>
        <v>755623.27</v>
      </c>
      <c r="H104" s="41">
        <f>H52+H71+H86+H103</f>
        <v>78381.13</v>
      </c>
      <c r="I104" s="41">
        <f>I52+I103</f>
        <v>-19881.559999999998</v>
      </c>
      <c r="J104" s="41">
        <f>J52+J103</f>
        <v>29298.97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9506622.3399999999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8410188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3647394.66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41300.07</v>
      </c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21605505.07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500888.02</v>
      </c>
      <c r="G115" s="24" t="s">
        <v>312</v>
      </c>
      <c r="H115" s="24" t="s">
        <v>312</v>
      </c>
      <c r="I115" s="18">
        <v>3799.34</v>
      </c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511772.71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f>664198.71+17616.04</f>
        <v>681814.75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>
        <v>87429.13</v>
      </c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45716.5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32550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v>281841.89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1727025.48</v>
      </c>
      <c r="G128" s="41">
        <f>SUM(G115:G127)</f>
        <v>45716.5</v>
      </c>
      <c r="H128" s="41">
        <f>SUM(H115:H127)</f>
        <v>369271.02</v>
      </c>
      <c r="I128" s="41">
        <f>SUM(I115:I127)</f>
        <v>3799.34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23332530.550000001</v>
      </c>
      <c r="G132" s="41">
        <f>G113+SUM(G128:G129)</f>
        <v>45716.5</v>
      </c>
      <c r="H132" s="41">
        <f>H113+SUM(H128:H131)</f>
        <v>369271.02</v>
      </c>
      <c r="I132" s="41">
        <f>I113+I128</f>
        <v>3799.34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1971613.02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470423.4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382028.28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711400.89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1656139.5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f>875168.52+143306.2+38198.1</f>
        <v>1056672.82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 t="s">
        <v>899</v>
      </c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52741</v>
      </c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1056672.82</v>
      </c>
      <c r="G154" s="41">
        <f>SUM(G142:G153)</f>
        <v>764141.89</v>
      </c>
      <c r="H154" s="41">
        <f>SUM(H142:H153)</f>
        <v>4480204.2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1056672.82</v>
      </c>
      <c r="G161" s="41">
        <f>G139+G154+SUM(G155:G160)</f>
        <v>764141.89</v>
      </c>
      <c r="H161" s="41">
        <f>H139+H154+SUM(H155:H160)</f>
        <v>4480204.2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>
        <v>10147234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10147234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6846.99</v>
      </c>
      <c r="H171" s="18"/>
      <c r="I171" s="18"/>
      <c r="J171" s="18">
        <f>983754+830614+51350</f>
        <v>1865718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>
        <v>39949.410000000003</v>
      </c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73084.09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90921.98</v>
      </c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203955.47999999998</v>
      </c>
      <c r="G175" s="41">
        <f>SUM(G171:G174)</f>
        <v>6846.99</v>
      </c>
      <c r="H175" s="41">
        <f>SUM(H171:H174)</f>
        <v>0</v>
      </c>
      <c r="I175" s="41">
        <f>SUM(I171:I174)</f>
        <v>0</v>
      </c>
      <c r="J175" s="41">
        <f>SUM(J171:J174)</f>
        <v>1865718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627359.5</v>
      </c>
      <c r="G178" s="18"/>
      <c r="H178" s="18"/>
      <c r="I178" s="18">
        <v>389993.2</v>
      </c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627359.5</v>
      </c>
      <c r="G180" s="41">
        <f>SUM(G177:G179)</f>
        <v>0</v>
      </c>
      <c r="H180" s="41">
        <f>SUM(H177:H179)</f>
        <v>0</v>
      </c>
      <c r="I180" s="41">
        <f>SUM(I177:I179)</f>
        <v>389993.2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>
        <v>350</v>
      </c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831664.98</v>
      </c>
      <c r="G184" s="41">
        <f>G175+SUM(G180:G183)</f>
        <v>6846.99</v>
      </c>
      <c r="H184" s="41">
        <f>+H175+SUM(H180:H183)</f>
        <v>0</v>
      </c>
      <c r="I184" s="41">
        <f>I169+I175+SUM(I180:I183)</f>
        <v>10537227.199999999</v>
      </c>
      <c r="J184" s="41">
        <f>J175</f>
        <v>1865718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63233772.209999993</v>
      </c>
      <c r="G185" s="47">
        <f>G104+G132+G161+G184</f>
        <v>1572328.6500000001</v>
      </c>
      <c r="H185" s="47">
        <f>H104+H132+H161+H184</f>
        <v>4927856.3500000006</v>
      </c>
      <c r="I185" s="47">
        <f>I104+I132+I161+I184</f>
        <v>10521144.979999999</v>
      </c>
      <c r="J185" s="47">
        <f>J104+J132+J184</f>
        <v>1895016.97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7202167.53+24551.76+255093.33+493</f>
        <v>7482305.6200000001</v>
      </c>
      <c r="G189" s="18">
        <f>2470288.38+7275.76+560553.43+37.72</f>
        <v>3038155.29</v>
      </c>
      <c r="H189" s="18">
        <f>79191.22+1124.25</f>
        <v>80315.47</v>
      </c>
      <c r="I189" s="18">
        <f>229772.5+5832.07</f>
        <v>235604.57</v>
      </c>
      <c r="J189" s="18">
        <f>11922.52+17322.57</f>
        <v>29245.09</v>
      </c>
      <c r="K189" s="18">
        <f>382</f>
        <v>382</v>
      </c>
      <c r="L189" s="19">
        <f>SUM(F189:K189)</f>
        <v>10866008.040000001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2264406.24+810193.42+4114.14</f>
        <v>3078713.8000000003</v>
      </c>
      <c r="G190" s="18">
        <f>675949.33+246122.99+315.3+239316</f>
        <v>1161703.6200000001</v>
      </c>
      <c r="H190" s="18">
        <f>173315.47+82673.75+32949.95</f>
        <v>288939.17</v>
      </c>
      <c r="I190" s="18">
        <f>7037.39+4194.89+1977.12</f>
        <v>13209.400000000001</v>
      </c>
      <c r="J190" s="18">
        <f>208.5+6902.78</f>
        <v>7111.28</v>
      </c>
      <c r="K190" s="18">
        <f>90</f>
        <v>90</v>
      </c>
      <c r="L190" s="19">
        <f>SUM(F190:K190)</f>
        <v>4549767.2700000005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9918.75+225.36+53382.26</f>
        <v>63526.37</v>
      </c>
      <c r="G192" s="18">
        <f>1396.97+17.24+22125.01+745</f>
        <v>24284.219999999998</v>
      </c>
      <c r="H192" s="18">
        <f>2399.4</f>
        <v>2399.4</v>
      </c>
      <c r="I192" s="18"/>
      <c r="J192" s="18"/>
      <c r="K192" s="18"/>
      <c r="L192" s="19">
        <f>SUM(F192:K192)</f>
        <v>90209.989999999991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371410.12+341989.29+133101.25+597122.62+185802.86+53683.99</f>
        <v>1683110.1299999997</v>
      </c>
      <c r="G194" s="18">
        <f>117168.39+117188.73+33448.28+200392.54+41020.69+13529.77+126857</f>
        <v>649605.40000000014</v>
      </c>
      <c r="H194" s="18">
        <f>1300+108135.95+55923.23</f>
        <v>165359.18</v>
      </c>
      <c r="I194" s="18">
        <f>1221.28+5612.53+4084.36+8113.69</f>
        <v>19031.86</v>
      </c>
      <c r="J194" s="18">
        <f>5370.45</f>
        <v>5370.45</v>
      </c>
      <c r="K194" s="18">
        <f>39.33</f>
        <v>39.33</v>
      </c>
      <c r="L194" s="19">
        <f t="shared" ref="L194:L200" si="0">SUM(F194:K194)</f>
        <v>2522516.35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203240.72+117752.25+229029.12</f>
        <v>550022.09</v>
      </c>
      <c r="G195" s="18">
        <f>65673.79+37946.85+162758.72+25074</f>
        <v>291453.36</v>
      </c>
      <c r="H195" s="18">
        <f>68.59+89293.01</f>
        <v>89361.599999999991</v>
      </c>
      <c r="I195" s="18">
        <f>33752.71+4622.61+2170.21+67552.66+15612.74</f>
        <v>123710.93000000001</v>
      </c>
      <c r="J195" s="18">
        <f>2221.96+4129.32+613.97+26251.12</f>
        <v>33216.369999999995</v>
      </c>
      <c r="K195" s="18">
        <f>197.27</f>
        <v>197.27</v>
      </c>
      <c r="L195" s="19">
        <f t="shared" si="0"/>
        <v>1087961.6200000001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189635.53</f>
        <v>189635.53</v>
      </c>
      <c r="G196" s="18">
        <f>67511.21</f>
        <v>67511.210000000006</v>
      </c>
      <c r="H196" s="18">
        <f>128373.83</f>
        <v>128373.83</v>
      </c>
      <c r="I196" s="18">
        <f>14360.29</f>
        <v>14360.29</v>
      </c>
      <c r="J196" s="18">
        <f>4384</f>
        <v>4384</v>
      </c>
      <c r="K196" s="18">
        <f>5613.05</f>
        <v>5613.05</v>
      </c>
      <c r="L196" s="19">
        <f t="shared" si="0"/>
        <v>409877.91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911690.13</f>
        <v>911690.13</v>
      </c>
      <c r="G197" s="18">
        <f>345955.1+71000</f>
        <v>416955.1</v>
      </c>
      <c r="H197" s="18">
        <f>16012.64</f>
        <v>16012.64</v>
      </c>
      <c r="I197" s="18">
        <f>3904.21</f>
        <v>3904.21</v>
      </c>
      <c r="J197" s="18">
        <f>199</f>
        <v>199</v>
      </c>
      <c r="K197" s="18">
        <f>2769</f>
        <v>2769</v>
      </c>
      <c r="L197" s="19">
        <f t="shared" si="0"/>
        <v>1351530.0799999998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f>196917.14</f>
        <v>196917.14</v>
      </c>
      <c r="G198" s="18">
        <f>86427.36</f>
        <v>86427.36</v>
      </c>
      <c r="H198" s="18">
        <f>3905.2</f>
        <v>3905.2</v>
      </c>
      <c r="I198" s="18">
        <f>1802.58</f>
        <v>1802.58</v>
      </c>
      <c r="J198" s="18"/>
      <c r="K198" s="18">
        <f>1034.81</f>
        <v>1034.81</v>
      </c>
      <c r="L198" s="19">
        <f t="shared" si="0"/>
        <v>290087.09000000003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643904.19+169466.87</f>
        <v>813371.05999999994</v>
      </c>
      <c r="G199" s="18">
        <f>286169.82+74191.91+50147</f>
        <v>410508.73</v>
      </c>
      <c r="H199" s="18">
        <f>366340.51+1174.1+168600.89+43188.36</f>
        <v>579303.86</v>
      </c>
      <c r="I199" s="18">
        <f>62076.64+670574.08+29047.27</f>
        <v>761697.99</v>
      </c>
      <c r="J199" s="18">
        <f>29465.79+8570.79</f>
        <v>38036.58</v>
      </c>
      <c r="K199" s="18">
        <f>288.04</f>
        <v>288.04000000000002</v>
      </c>
      <c r="L199" s="19">
        <f t="shared" si="0"/>
        <v>2603206.2599999998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f>4626.32+566705.59</f>
        <v>571331.90999999992</v>
      </c>
      <c r="G200" s="18">
        <f>479.83+248+153622.94</f>
        <v>154350.76999999999</v>
      </c>
      <c r="H200" s="18">
        <f>16836.5+7544+17931+62589.44</f>
        <v>104900.94</v>
      </c>
      <c r="I200" s="18">
        <v>135618.15</v>
      </c>
      <c r="J200" s="18">
        <v>86780.31</v>
      </c>
      <c r="K200" s="18">
        <v>665.81</v>
      </c>
      <c r="L200" s="19">
        <f t="shared" si="0"/>
        <v>1053647.8899999999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f>122049.65</f>
        <v>122049.65</v>
      </c>
      <c r="G201" s="18">
        <f>53002.93</f>
        <v>53002.93</v>
      </c>
      <c r="H201" s="18">
        <f>29156.49</f>
        <v>29156.49</v>
      </c>
      <c r="I201" s="18"/>
      <c r="J201" s="18"/>
      <c r="K201" s="18">
        <f>129.28</f>
        <v>129.28</v>
      </c>
      <c r="L201" s="19">
        <f>SUM(F201:K201)</f>
        <v>204338.34999999998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15662673.43</v>
      </c>
      <c r="G203" s="41">
        <f t="shared" si="1"/>
        <v>6353957.9900000002</v>
      </c>
      <c r="H203" s="41">
        <f t="shared" si="1"/>
        <v>1488027.7799999998</v>
      </c>
      <c r="I203" s="41">
        <f t="shared" si="1"/>
        <v>1308939.98</v>
      </c>
      <c r="J203" s="41">
        <f t="shared" si="1"/>
        <v>204343.08000000002</v>
      </c>
      <c r="K203" s="41">
        <f t="shared" si="1"/>
        <v>11208.590000000002</v>
      </c>
      <c r="L203" s="41">
        <f t="shared" si="1"/>
        <v>25029150.850000001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4106669.55+11609.44+126367</f>
        <v>4244645.99</v>
      </c>
      <c r="G207" s="18">
        <f>1399283.64+3440.39+319502</f>
        <v>1722226.0299999998</v>
      </c>
      <c r="H207" s="18">
        <f>32731+531.61</f>
        <v>33262.61</v>
      </c>
      <c r="I207" s="18">
        <f>68248.26+2757.73</f>
        <v>71005.989999999991</v>
      </c>
      <c r="J207" s="18">
        <f>11791.24+8191.08</f>
        <v>19982.32</v>
      </c>
      <c r="K207" s="18">
        <f>104</f>
        <v>104</v>
      </c>
      <c r="L207" s="19">
        <f>SUM(F207:K207)</f>
        <v>6091226.9400000004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464232.98+820170.19+2103.62</f>
        <v>1286506.79</v>
      </c>
      <c r="G208" s="18">
        <f>161367.06+273219.02+161.22+100046</f>
        <v>534793.30000000005</v>
      </c>
      <c r="H208" s="18">
        <f>171676.36+3521.73+16847.79</f>
        <v>192045.88</v>
      </c>
      <c r="I208" s="18">
        <f>3495.42+1010.93</f>
        <v>4506.3500000000004</v>
      </c>
      <c r="J208" s="18">
        <f>562.9+3529.49</f>
        <v>4092.39</v>
      </c>
      <c r="K208" s="18"/>
      <c r="L208" s="19">
        <f>SUM(F208:K208)</f>
        <v>2021944.7100000002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24106+59383.96+25242.11</f>
        <v>108732.06999999999</v>
      </c>
      <c r="G210" s="18">
        <f>3457.03+8983.53+10461.93+6455</f>
        <v>29357.49</v>
      </c>
      <c r="H210" s="18">
        <f>12034.02</f>
        <v>12034.02</v>
      </c>
      <c r="I210" s="18">
        <f>1520</f>
        <v>1520</v>
      </c>
      <c r="J210" s="18">
        <f>1344.5</f>
        <v>1344.5</v>
      </c>
      <c r="K210" s="18">
        <f>880</f>
        <v>880</v>
      </c>
      <c r="L210" s="19">
        <f>SUM(F210:K210)</f>
        <v>153868.07999999999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206407.37+77047.66+46405.92+80382.75+24247.28+27343.23</f>
        <v>461834.20999999996</v>
      </c>
      <c r="G212" s="18">
        <f>56098.52+20923.99+21626.86+22934.75+1415.99+6872.21+33762</f>
        <v>163634.32</v>
      </c>
      <c r="H212" s="18">
        <f>13514.45+28504.35</f>
        <v>42018.8</v>
      </c>
      <c r="I212" s="18">
        <f>1302.74+1897.71+421.05+4147.68</f>
        <v>7769.18</v>
      </c>
      <c r="J212" s="18">
        <f>2743.97</f>
        <v>2743.97</v>
      </c>
      <c r="K212" s="18">
        <f>20.11</f>
        <v>20.11</v>
      </c>
      <c r="L212" s="19">
        <f t="shared" ref="L212:L218" si="2">SUM(F212:K212)</f>
        <v>678020.59000000008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8513.5+113910.59+104441.72</f>
        <v>226865.81</v>
      </c>
      <c r="G213" s="18">
        <f>1284.74+30540.57+71186.43+9434</f>
        <v>112445.73999999999</v>
      </c>
      <c r="H213" s="18">
        <f>1978.7+296.96+41473.96</f>
        <v>43749.619999999995</v>
      </c>
      <c r="I213" s="18">
        <f>10441.73+1476.35+5685.36+31310.52+7382.57</f>
        <v>56296.53</v>
      </c>
      <c r="J213" s="18">
        <f>11159.12+2033.97+12412.99</f>
        <v>25606.080000000002</v>
      </c>
      <c r="K213" s="18">
        <f>84.25</f>
        <v>84.25</v>
      </c>
      <c r="L213" s="19">
        <f t="shared" si="2"/>
        <v>465048.02999999997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89670.27</f>
        <v>89670.27</v>
      </c>
      <c r="G214" s="18">
        <f>31923.07</f>
        <v>31923.07</v>
      </c>
      <c r="H214" s="18">
        <f>60702.32</f>
        <v>60702.32</v>
      </c>
      <c r="I214" s="18">
        <f>6790.34</f>
        <v>6790.34</v>
      </c>
      <c r="J214" s="18">
        <f>2073</f>
        <v>2073</v>
      </c>
      <c r="K214" s="18">
        <f>2654.16</f>
        <v>2654.16</v>
      </c>
      <c r="L214" s="19">
        <f t="shared" si="2"/>
        <v>193813.16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f>534714.27</f>
        <v>534714.27</v>
      </c>
      <c r="G215" s="18">
        <f>187630.89+41707</f>
        <v>229337.89</v>
      </c>
      <c r="H215" s="18">
        <f>19486.31</f>
        <v>19486.310000000001</v>
      </c>
      <c r="I215" s="18">
        <f>15562.83</f>
        <v>15562.83</v>
      </c>
      <c r="J215" s="18">
        <f>2070.74</f>
        <v>2070.7399999999998</v>
      </c>
      <c r="K215" s="18">
        <f>4396</f>
        <v>4396</v>
      </c>
      <c r="L215" s="19">
        <f t="shared" si="2"/>
        <v>805568.04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f>84105.17</f>
        <v>84105.17</v>
      </c>
      <c r="G216" s="18">
        <f>36913.94</f>
        <v>36913.94</v>
      </c>
      <c r="H216" s="18">
        <f>1667.95</f>
        <v>1667.95</v>
      </c>
      <c r="I216" s="18">
        <f>769.9</f>
        <v>769.9</v>
      </c>
      <c r="J216" s="18"/>
      <c r="K216" s="18">
        <f>441.98</f>
        <v>441.98</v>
      </c>
      <c r="L216" s="19">
        <f t="shared" si="2"/>
        <v>123898.93999999999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272678.39+89249.57</f>
        <v>361927.96</v>
      </c>
      <c r="G217" s="18">
        <f>120545.37+39073.1+21102</f>
        <v>180720.47</v>
      </c>
      <c r="H217" s="18">
        <f>89906.55+796+88793.51+15729.37</f>
        <v>195225.43</v>
      </c>
      <c r="I217" s="18">
        <f>29906.05+385445.82+15297.72</f>
        <v>430649.58999999997</v>
      </c>
      <c r="J217" s="18">
        <f>9179.03+828+4513.8</f>
        <v>14520.830000000002</v>
      </c>
      <c r="K217" s="18">
        <f>151.7</f>
        <v>151.69999999999999</v>
      </c>
      <c r="L217" s="19">
        <f t="shared" si="2"/>
        <v>1183195.9800000002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f>189.63+267970.06</f>
        <v>268159.69</v>
      </c>
      <c r="G218" s="18">
        <f>14.51+72641.51</f>
        <v>72656.01999999999</v>
      </c>
      <c r="H218" s="18">
        <f>14332.5+8382+29595.8</f>
        <v>52310.3</v>
      </c>
      <c r="I218" s="18">
        <v>64127.85</v>
      </c>
      <c r="J218" s="18">
        <v>41034.57</v>
      </c>
      <c r="K218" s="18">
        <v>314.83999999999997</v>
      </c>
      <c r="L218" s="19">
        <f t="shared" si="2"/>
        <v>498603.26999999996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f>52128.56</f>
        <v>52128.56</v>
      </c>
      <c r="G219" s="18">
        <f>22638.05</f>
        <v>22638.05</v>
      </c>
      <c r="H219" s="18">
        <f>12453.02</f>
        <v>12453.02</v>
      </c>
      <c r="I219" s="18"/>
      <c r="J219" s="18"/>
      <c r="K219" s="18">
        <f>55.22</f>
        <v>55.22</v>
      </c>
      <c r="L219" s="19">
        <f>SUM(F219:K219)</f>
        <v>87274.85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7719290.79</v>
      </c>
      <c r="G221" s="41">
        <f>SUM(G207:G220)</f>
        <v>3136646.32</v>
      </c>
      <c r="H221" s="41">
        <f>SUM(H207:H220)</f>
        <v>664956.26</v>
      </c>
      <c r="I221" s="41">
        <f>SUM(I207:I220)</f>
        <v>658998.55999999994</v>
      </c>
      <c r="J221" s="41">
        <f>SUM(J207:J220)</f>
        <v>113468.4</v>
      </c>
      <c r="K221" s="41">
        <f t="shared" si="3"/>
        <v>9102.26</v>
      </c>
      <c r="L221" s="41">
        <f t="shared" si="3"/>
        <v>12302462.59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5569740.43+19841.9+202376+5838</f>
        <v>5797796.3300000001</v>
      </c>
      <c r="G225" s="18">
        <f>1901980.66+5880.02+433450</f>
        <v>2341310.6799999997</v>
      </c>
      <c r="H225" s="18">
        <f>383364.48+908.58</f>
        <v>384273.06</v>
      </c>
      <c r="I225" s="18">
        <f>152395.25+4713.28</f>
        <v>157108.53</v>
      </c>
      <c r="J225" s="18">
        <f>18413.75+13999.52</f>
        <v>32413.27</v>
      </c>
      <c r="K225" s="18">
        <f>646.9</f>
        <v>646.9</v>
      </c>
      <c r="L225" s="19">
        <f>SUM(F225:K225)</f>
        <v>8713548.7699999996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1024562.65+866588.27+6586.48+4242.8</f>
        <v>1901980.2</v>
      </c>
      <c r="G226" s="18">
        <f>306159.27+287414.78+503.88+325.17+147711</f>
        <v>742114.10000000009</v>
      </c>
      <c r="H226" s="18">
        <f>1026165.55+4155.91+33980.42</f>
        <v>1064301.8800000001</v>
      </c>
      <c r="I226" s="18">
        <f>13594.91+2038.95</f>
        <v>15633.86</v>
      </c>
      <c r="J226" s="18">
        <f>533+7118.66</f>
        <v>7651.66</v>
      </c>
      <c r="K226" s="18">
        <f>402.97</f>
        <v>402.97</v>
      </c>
      <c r="L226" s="19">
        <f>SUM(F226:K226)</f>
        <v>3732084.67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f>104567.49+66675.96+60224.06+172072.16+289332.59</f>
        <v>692872.26</v>
      </c>
      <c r="G227" s="18">
        <f>36172.14+28196.92+22237.52+58699.75+91360.77+53871</f>
        <v>290538.10000000003</v>
      </c>
      <c r="H227" s="18">
        <f>5957.33+500</f>
        <v>6457.33</v>
      </c>
      <c r="I227" s="18">
        <f>5976.28+1044.5+4220.29+12497.41+22295.99</f>
        <v>46034.47</v>
      </c>
      <c r="J227" s="18">
        <f>646.14+370.74+1355.22</f>
        <v>2372.1</v>
      </c>
      <c r="K227" s="18">
        <f>345</f>
        <v>345</v>
      </c>
      <c r="L227" s="19">
        <f>SUM(F227:K227)</f>
        <v>1038619.26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42477+255030.06+43141.73</f>
        <v>340648.79</v>
      </c>
      <c r="G228" s="18">
        <f>6341.42+30635.21+17880.67+23088</f>
        <v>77945.299999999988</v>
      </c>
      <c r="H228" s="18">
        <f>114478.02</f>
        <v>114478.02</v>
      </c>
      <c r="I228" s="18">
        <f>21413.39</f>
        <v>21413.39</v>
      </c>
      <c r="J228" s="18">
        <f>19983.62</f>
        <v>19983.62</v>
      </c>
      <c r="K228" s="18">
        <f>19718.12</f>
        <v>19718.12</v>
      </c>
      <c r="L228" s="19">
        <f>SUM(F228:K228)</f>
        <v>594187.24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577386.77+109833.23+111934.61+84383.08+35467.38+54747.01</f>
        <v>973752.08</v>
      </c>
      <c r="G230" s="18">
        <f>175923.53+50113.11+25954.28+25368.83+14496.29+13687.46+71497</f>
        <v>377040.5</v>
      </c>
      <c r="H230" s="18">
        <f>20+292.48+19914.22+57150.02</f>
        <v>77376.72</v>
      </c>
      <c r="I230" s="18">
        <f>1212.57+1408.95+8361.84</f>
        <v>10983.36</v>
      </c>
      <c r="J230" s="18">
        <f>5526.66</f>
        <v>5526.66</v>
      </c>
      <c r="K230" s="18">
        <f>35+40.56+370</f>
        <v>445.56</v>
      </c>
      <c r="L230" s="19">
        <f t="shared" ref="L230:L236" si="4">SUM(F230:K230)</f>
        <v>1445124.8800000001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176786.39+3384+172726.23</f>
        <v>352896.62</v>
      </c>
      <c r="G231" s="18">
        <f>63936.38+258.89+113014.18+13902</f>
        <v>191111.44999999998</v>
      </c>
      <c r="H231" s="18">
        <f>129+328.95+69762.12</f>
        <v>70220.069999999992</v>
      </c>
      <c r="I231" s="18">
        <f>20708.65+2395.11+7120.62+52566.29+12617.69</f>
        <v>95408.36</v>
      </c>
      <c r="J231" s="18">
        <f>3765.46+8188.46+21215.26</f>
        <v>33169.18</v>
      </c>
      <c r="K231" s="18">
        <f>210+130.48</f>
        <v>340.48</v>
      </c>
      <c r="L231" s="19">
        <f t="shared" si="4"/>
        <v>743146.15999999992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153257</f>
        <v>153257</v>
      </c>
      <c r="G232" s="18">
        <f>54560.27</f>
        <v>54560.27</v>
      </c>
      <c r="H232" s="18">
        <f>103747.37</f>
        <v>103747.37</v>
      </c>
      <c r="I232" s="18">
        <f>11605.49</f>
        <v>11605.49</v>
      </c>
      <c r="J232" s="18">
        <f>3543</f>
        <v>3543</v>
      </c>
      <c r="K232" s="18">
        <f>4536.27</f>
        <v>4536.2700000000004</v>
      </c>
      <c r="L232" s="19">
        <f t="shared" si="4"/>
        <v>331249.40000000002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923578.81</f>
        <v>923578.81</v>
      </c>
      <c r="G233" s="18">
        <f>341961.11+71993</f>
        <v>413954.11</v>
      </c>
      <c r="H233" s="18">
        <f>24922.47+13632.8</f>
        <v>38555.270000000004</v>
      </c>
      <c r="I233" s="18">
        <f>8585.8+997.97</f>
        <v>9583.7699999999986</v>
      </c>
      <c r="J233" s="18"/>
      <c r="K233" s="18">
        <v>8374.94</v>
      </c>
      <c r="L233" s="19">
        <f t="shared" si="4"/>
        <v>1394046.9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f>130249.91</f>
        <v>130249.91</v>
      </c>
      <c r="G234" s="18">
        <f>57166.97</f>
        <v>57166.97</v>
      </c>
      <c r="H234" s="18">
        <f>2583.08</f>
        <v>2583.08</v>
      </c>
      <c r="I234" s="18">
        <f>1192.31</f>
        <v>1192.31</v>
      </c>
      <c r="J234" s="18"/>
      <c r="K234" s="18">
        <f>684.47</f>
        <v>684.47</v>
      </c>
      <c r="L234" s="19">
        <f t="shared" si="4"/>
        <v>191876.74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469651.81+188425.7+38.76</f>
        <v>658116.27</v>
      </c>
      <c r="G235" s="18">
        <f>178621.68+82492.01+36493+6.51</f>
        <v>297613.2</v>
      </c>
      <c r="H235" s="18">
        <f>269385.58+1890.5+187462.84+32004.25</f>
        <v>490743.17000000004</v>
      </c>
      <c r="I235" s="18">
        <f>46837.09+888462.6+32296.88</f>
        <v>967596.57</v>
      </c>
      <c r="J235" s="18">
        <f>19902.98+9529.63</f>
        <v>29432.61</v>
      </c>
      <c r="K235" s="18">
        <f>320.26</f>
        <v>320.26</v>
      </c>
      <c r="L235" s="19">
        <f t="shared" si="4"/>
        <v>2443822.0799999996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457992.2</v>
      </c>
      <c r="G236" s="18">
        <v>124152.86</v>
      </c>
      <c r="H236" s="18">
        <f>22837.5+87626+14201+50582.65</f>
        <v>175247.15</v>
      </c>
      <c r="I236" s="18">
        <v>109601.99</v>
      </c>
      <c r="J236" s="18">
        <v>70132.89</v>
      </c>
      <c r="K236" s="18">
        <f>538.09-0.04</f>
        <v>538.05000000000007</v>
      </c>
      <c r="L236" s="19">
        <f t="shared" si="4"/>
        <v>937665.14000000013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f>80729.16</f>
        <v>80729.16</v>
      </c>
      <c r="G237" s="18">
        <f>35058.54</f>
        <v>35058.54</v>
      </c>
      <c r="H237" s="18">
        <f>19285.43</f>
        <v>19285.43</v>
      </c>
      <c r="I237" s="18"/>
      <c r="J237" s="18"/>
      <c r="K237" s="18">
        <f>85.51</f>
        <v>85.51</v>
      </c>
      <c r="L237" s="19">
        <f>SUM(F237:K237)</f>
        <v>135158.64000000001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12463869.629999999</v>
      </c>
      <c r="G239" s="41">
        <f t="shared" si="5"/>
        <v>5002566.08</v>
      </c>
      <c r="H239" s="41">
        <f t="shared" si="5"/>
        <v>2547268.5500000003</v>
      </c>
      <c r="I239" s="41">
        <f t="shared" si="5"/>
        <v>1446162.0999999999</v>
      </c>
      <c r="J239" s="41">
        <f t="shared" si="5"/>
        <v>204224.99</v>
      </c>
      <c r="K239" s="41">
        <f t="shared" si="5"/>
        <v>36438.530000000006</v>
      </c>
      <c r="L239" s="41">
        <f t="shared" si="5"/>
        <v>21700529.879999999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f>314737.65</f>
        <v>314737.65000000002</v>
      </c>
      <c r="G243" s="18">
        <f>62544.23+24577</f>
        <v>87121.23000000001</v>
      </c>
      <c r="H243" s="18">
        <f>140267.81</f>
        <v>140267.81</v>
      </c>
      <c r="I243" s="18">
        <f>26354.2</f>
        <v>26354.2</v>
      </c>
      <c r="J243" s="18">
        <f>791.97</f>
        <v>791.97</v>
      </c>
      <c r="K243" s="18">
        <f>10635.49</f>
        <v>10635.49</v>
      </c>
      <c r="L243" s="19">
        <f t="shared" si="6"/>
        <v>579908.34999999986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f>392688.72</f>
        <v>392688.72</v>
      </c>
      <c r="I247" s="18"/>
      <c r="J247" s="18"/>
      <c r="K247" s="18"/>
      <c r="L247" s="19">
        <f t="shared" si="6"/>
        <v>392688.72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314737.65000000002</v>
      </c>
      <c r="G248" s="41">
        <f t="shared" si="7"/>
        <v>87121.23000000001</v>
      </c>
      <c r="H248" s="41">
        <f t="shared" si="7"/>
        <v>532956.53</v>
      </c>
      <c r="I248" s="41">
        <f t="shared" si="7"/>
        <v>26354.2</v>
      </c>
      <c r="J248" s="41">
        <f t="shared" si="7"/>
        <v>791.97</v>
      </c>
      <c r="K248" s="41">
        <f t="shared" si="7"/>
        <v>10635.49</v>
      </c>
      <c r="L248" s="41">
        <f>SUM(F248:K248)</f>
        <v>972597.07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36160571.499999993</v>
      </c>
      <c r="G249" s="41">
        <f t="shared" si="8"/>
        <v>14580291.620000001</v>
      </c>
      <c r="H249" s="41">
        <f t="shared" si="8"/>
        <v>5233209.12</v>
      </c>
      <c r="I249" s="41">
        <f t="shared" si="8"/>
        <v>3440454.84</v>
      </c>
      <c r="J249" s="41">
        <f t="shared" si="8"/>
        <v>522828.43999999994</v>
      </c>
      <c r="K249" s="41">
        <f t="shared" si="8"/>
        <v>67384.87000000001</v>
      </c>
      <c r="L249" s="41">
        <f t="shared" si="8"/>
        <v>60004740.389999993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1789601.64</v>
      </c>
      <c r="L252" s="19">
        <f>SUM(F252:K252)</f>
        <v>1789601.64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429928.55</v>
      </c>
      <c r="L253" s="19">
        <f>SUM(F253:K253)</f>
        <v>429928.55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6846.99</v>
      </c>
      <c r="L255" s="19">
        <f>SUM(F255:K255)</f>
        <v>6846.99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f>160600+823154+830614+51350</f>
        <v>1865718</v>
      </c>
      <c r="L258" s="19">
        <f t="shared" si="9"/>
        <v>1865718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4092095.18</v>
      </c>
      <c r="L262" s="41">
        <f t="shared" si="9"/>
        <v>4092095.18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36160571.499999993</v>
      </c>
      <c r="G263" s="42">
        <f t="shared" si="11"/>
        <v>14580291.620000001</v>
      </c>
      <c r="H263" s="42">
        <f t="shared" si="11"/>
        <v>5233209.12</v>
      </c>
      <c r="I263" s="42">
        <f t="shared" si="11"/>
        <v>3440454.84</v>
      </c>
      <c r="J263" s="42">
        <f t="shared" si="11"/>
        <v>522828.43999999994</v>
      </c>
      <c r="K263" s="42">
        <f t="shared" si="11"/>
        <v>4159480.0500000003</v>
      </c>
      <c r="L263" s="42">
        <f t="shared" si="11"/>
        <v>64096835.569999993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47370.54+15710.33</f>
        <v>63080.87</v>
      </c>
      <c r="G268" s="18">
        <f>9269.13+2415.75</f>
        <v>11684.88</v>
      </c>
      <c r="H268" s="18">
        <f>471.5+7291.14</f>
        <v>7762.64</v>
      </c>
      <c r="I268" s="18">
        <f>12092.25+4922.75</f>
        <v>17015</v>
      </c>
      <c r="J268" s="18">
        <f>3362.58</f>
        <v>3362.58</v>
      </c>
      <c r="K268" s="18"/>
      <c r="L268" s="19">
        <f>SUM(F268:K268)</f>
        <v>102905.97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5716.1+303604.78+738192.45+2245.59+1718.56</f>
        <v>1051477.48</v>
      </c>
      <c r="G269" s="18">
        <f>1994.18+82074.01+175836+171.81+1286.55</f>
        <v>261362.55</v>
      </c>
      <c r="H269" s="18">
        <f>35000+59403.41</f>
        <v>94403.41</v>
      </c>
      <c r="I269" s="18">
        <f>8628.16+2779.07</f>
        <v>11407.23</v>
      </c>
      <c r="J269" s="18">
        <f>50625.41+3947.54</f>
        <v>54572.950000000004</v>
      </c>
      <c r="K269" s="18"/>
      <c r="L269" s="19">
        <f>SUM(F269:K269)</f>
        <v>1473223.6199999999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f>174948.4+2488.85</f>
        <v>177437.25</v>
      </c>
      <c r="G271" s="18">
        <f>20116.47+213.34</f>
        <v>20329.810000000001</v>
      </c>
      <c r="H271" s="18"/>
      <c r="I271" s="18">
        <f>1810.09</f>
        <v>1810.09</v>
      </c>
      <c r="J271" s="18"/>
      <c r="K271" s="18"/>
      <c r="L271" s="19">
        <f>SUM(F271:K271)</f>
        <v>199577.15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f>2788.46+30442.92+7125.38+90670.06+14643.07</f>
        <v>145669.88999999998</v>
      </c>
      <c r="G273" s="18">
        <f>405.74+7305.85+1874.06+8030.74+2627.06</f>
        <v>20243.45</v>
      </c>
      <c r="H273" s="18">
        <f>110.34+3886+130252.15</f>
        <v>134248.49</v>
      </c>
      <c r="I273" s="18">
        <f>6.5+859.85+1000+104.6</f>
        <v>1970.9499999999998</v>
      </c>
      <c r="J273" s="18"/>
      <c r="K273" s="18"/>
      <c r="L273" s="19">
        <f t="shared" ref="L273:L279" si="12">SUM(F273:K273)</f>
        <v>302132.77999999997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400+28982.68+2055+63563</f>
        <v>95000.68</v>
      </c>
      <c r="G274" s="18">
        <f>60.29+3652.17+284.61+9624.02</f>
        <v>13621.09</v>
      </c>
      <c r="H274" s="18">
        <f>70394+1605+64201.89</f>
        <v>136200.89000000001</v>
      </c>
      <c r="I274" s="18">
        <f>698.99+4247.98+1032.36+15964.8</f>
        <v>21944.129999999997</v>
      </c>
      <c r="J274" s="18">
        <f>12730+3263.49</f>
        <v>15993.49</v>
      </c>
      <c r="K274" s="18"/>
      <c r="L274" s="19">
        <f t="shared" si="12"/>
        <v>282760.27999999997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27952.79</v>
      </c>
      <c r="G275" s="18">
        <v>12274.76</v>
      </c>
      <c r="H275" s="18"/>
      <c r="I275" s="18"/>
      <c r="J275" s="18"/>
      <c r="K275" s="18"/>
      <c r="L275" s="19">
        <f t="shared" si="12"/>
        <v>40227.550000000003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f>8886.85</f>
        <v>8886.85</v>
      </c>
      <c r="I279" s="18"/>
      <c r="J279" s="18"/>
      <c r="K279" s="18"/>
      <c r="L279" s="19">
        <f t="shared" si="12"/>
        <v>8886.85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>
        <f>1972.8</f>
        <v>1972.8</v>
      </c>
      <c r="I280" s="18">
        <f>3698.6</f>
        <v>3698.6</v>
      </c>
      <c r="J280" s="18"/>
      <c r="K280" s="18"/>
      <c r="L280" s="19">
        <f>SUM(F280:K280)</f>
        <v>5671.4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1560618.96</v>
      </c>
      <c r="G282" s="42">
        <f t="shared" si="13"/>
        <v>339516.54000000004</v>
      </c>
      <c r="H282" s="42">
        <f t="shared" si="13"/>
        <v>383475.07999999996</v>
      </c>
      <c r="I282" s="42">
        <f t="shared" si="13"/>
        <v>57845.999999999993</v>
      </c>
      <c r="J282" s="42">
        <f t="shared" si="13"/>
        <v>73929.02</v>
      </c>
      <c r="K282" s="42">
        <f t="shared" si="13"/>
        <v>0</v>
      </c>
      <c r="L282" s="41">
        <f t="shared" si="13"/>
        <v>2415385.5999999996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f>3400+7428.72</f>
        <v>10828.720000000001</v>
      </c>
      <c r="G287" s="18">
        <f>514.8+1142.3</f>
        <v>1657.1</v>
      </c>
      <c r="H287" s="18">
        <f>3447.66</f>
        <v>3447.66</v>
      </c>
      <c r="I287" s="18">
        <f>5080.84+2327.75</f>
        <v>7408.59</v>
      </c>
      <c r="J287" s="18"/>
      <c r="K287" s="18"/>
      <c r="L287" s="19">
        <f>SUM(F287:K287)</f>
        <v>23342.07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9164.52+208483.43+176313.83+878.73</f>
        <v>394840.50999999995</v>
      </c>
      <c r="G288" s="18">
        <f>1754.72+48473.5+60199.52+657.83</f>
        <v>111085.56999999999</v>
      </c>
      <c r="H288" s="18">
        <f>30373.83</f>
        <v>30373.83</v>
      </c>
      <c r="I288" s="18">
        <f>3918.52+1420.98</f>
        <v>5339.5</v>
      </c>
      <c r="J288" s="18">
        <f>14636.88+2018.44</f>
        <v>16655.32</v>
      </c>
      <c r="K288" s="18"/>
      <c r="L288" s="19">
        <f>SUM(F288:K288)</f>
        <v>558294.72999999986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f>48+24657.24+1176.86</f>
        <v>25882.100000000002</v>
      </c>
      <c r="G290" s="18">
        <f>3.68+3526.34+100.88</f>
        <v>3630.9</v>
      </c>
      <c r="H290" s="18"/>
      <c r="I290" s="18"/>
      <c r="J290" s="18"/>
      <c r="K290" s="18"/>
      <c r="L290" s="19">
        <f>SUM(F290:K290)</f>
        <v>29513.000000000004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f>6924.06</f>
        <v>6924.06</v>
      </c>
      <c r="G292" s="18">
        <f>1242.22</f>
        <v>1242.22</v>
      </c>
      <c r="H292" s="18">
        <f>61590.48</f>
        <v>61590.48</v>
      </c>
      <c r="I292" s="18">
        <f>49.46</f>
        <v>49.46</v>
      </c>
      <c r="J292" s="18"/>
      <c r="K292" s="18"/>
      <c r="L292" s="19">
        <f t="shared" ref="L292:L298" si="14">SUM(F292:K292)</f>
        <v>69806.220000000016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f>583.5+27148.36</f>
        <v>27731.86</v>
      </c>
      <c r="G293" s="18">
        <f>93.31+4110.51</f>
        <v>4203.8200000000006</v>
      </c>
      <c r="H293" s="18">
        <f>7000+27421.24</f>
        <v>34421.240000000005</v>
      </c>
      <c r="I293" s="18">
        <f>99.06+6818.72</f>
        <v>6917.7800000000007</v>
      </c>
      <c r="J293" s="18">
        <f>1393.87</f>
        <v>1393.87</v>
      </c>
      <c r="K293" s="18"/>
      <c r="L293" s="19">
        <f t="shared" si="14"/>
        <v>74668.570000000007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13217.64</v>
      </c>
      <c r="G294" s="18">
        <f>5804.19</f>
        <v>5804.19</v>
      </c>
      <c r="H294" s="18"/>
      <c r="I294" s="18"/>
      <c r="J294" s="18"/>
      <c r="K294" s="18"/>
      <c r="L294" s="19">
        <f t="shared" si="14"/>
        <v>19021.829999999998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>
        <f>932.85</f>
        <v>932.85</v>
      </c>
      <c r="I299" s="18">
        <f>1748.91</f>
        <v>1748.91</v>
      </c>
      <c r="J299" s="18"/>
      <c r="K299" s="18"/>
      <c r="L299" s="19">
        <f>SUM(F299:K299)</f>
        <v>2681.76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479424.88999999996</v>
      </c>
      <c r="G301" s="42">
        <f t="shared" si="15"/>
        <v>127623.8</v>
      </c>
      <c r="H301" s="42">
        <f t="shared" si="15"/>
        <v>130766.06000000001</v>
      </c>
      <c r="I301" s="42">
        <f t="shared" si="15"/>
        <v>21464.240000000002</v>
      </c>
      <c r="J301" s="42">
        <f t="shared" si="15"/>
        <v>18049.189999999999</v>
      </c>
      <c r="K301" s="42">
        <f t="shared" si="15"/>
        <v>0</v>
      </c>
      <c r="L301" s="41">
        <f t="shared" si="15"/>
        <v>777328.17999999982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f>21829.09+12696.56</f>
        <v>34525.65</v>
      </c>
      <c r="G306" s="18">
        <f>1997.44+1952.33</f>
        <v>3949.77</v>
      </c>
      <c r="H306" s="18">
        <f>5892.45</f>
        <v>5892.45</v>
      </c>
      <c r="I306" s="18">
        <f>6971.67+3978.39</f>
        <v>10950.06</v>
      </c>
      <c r="J306" s="18">
        <f>-158.31</f>
        <v>-158.31</v>
      </c>
      <c r="K306" s="18">
        <f>195</f>
        <v>195</v>
      </c>
      <c r="L306" s="19">
        <f>SUM(F306:K306)</f>
        <v>55354.619999999995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f>22276.44+287619.65+15146.98+1772.31</f>
        <v>326815.38</v>
      </c>
      <c r="G307" s="18">
        <f>10943.81+98774.33+3391.14+1326.79</f>
        <v>114436.06999999999</v>
      </c>
      <c r="H307" s="18">
        <f>61261.19</f>
        <v>61261.19</v>
      </c>
      <c r="I307" s="18">
        <f>6620.74+2865.98</f>
        <v>9486.7199999999993</v>
      </c>
      <c r="J307" s="18">
        <f>6751.19+14219.83+4071.01</f>
        <v>25042.03</v>
      </c>
      <c r="K307" s="18"/>
      <c r="L307" s="19">
        <f>SUM(F307:K307)</f>
        <v>537041.39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f>29064.05+28075.9+74272.21</f>
        <v>131412.16</v>
      </c>
      <c r="G308" s="18">
        <f>8624.24+2526.34+31312.91</f>
        <v>42463.49</v>
      </c>
      <c r="H308" s="18">
        <f>9070+3601.58+1152.29</f>
        <v>13823.869999999999</v>
      </c>
      <c r="I308" s="18">
        <f>1825.09+9103.48+4890.34+12218.14</f>
        <v>28037.05</v>
      </c>
      <c r="J308" s="18">
        <f>2671+15284.64+19412.01+11102.81</f>
        <v>48470.459999999992</v>
      </c>
      <c r="K308" s="18"/>
      <c r="L308" s="19">
        <f>SUM(F308:K308)</f>
        <v>264207.02999999997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f>2011.4</f>
        <v>2011.4</v>
      </c>
      <c r="G309" s="18">
        <f>172.42</f>
        <v>172.42</v>
      </c>
      <c r="H309" s="18"/>
      <c r="I309" s="18"/>
      <c r="J309" s="18"/>
      <c r="K309" s="18"/>
      <c r="L309" s="19">
        <f>SUM(F309:K309)</f>
        <v>2183.8200000000002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f>2452.5+23836.8+11834.03</f>
        <v>38123.33</v>
      </c>
      <c r="G311" s="18">
        <f>187.64+15145.54+2123.1</f>
        <v>17456.28</v>
      </c>
      <c r="H311" s="18">
        <f>105265.35</f>
        <v>105265.35</v>
      </c>
      <c r="I311" s="18">
        <f>2839.56+84.53</f>
        <v>2924.09</v>
      </c>
      <c r="J311" s="18"/>
      <c r="K311" s="18"/>
      <c r="L311" s="19">
        <f t="shared" ref="L311:L317" si="16">SUM(F311:K311)</f>
        <v>163769.05000000002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f>10582+42043.45</f>
        <v>52625.45</v>
      </c>
      <c r="G312" s="18">
        <f>1473+6365.77</f>
        <v>7838.77</v>
      </c>
      <c r="H312" s="18">
        <f>12903.29+2270.14+42466.04</f>
        <v>57639.47</v>
      </c>
      <c r="I312" s="18">
        <f>22819.53+10559.84</f>
        <v>33379.369999999995</v>
      </c>
      <c r="J312" s="18">
        <f>7959.56+2158.63</f>
        <v>10118.19</v>
      </c>
      <c r="K312" s="18">
        <f>11347.32</f>
        <v>11347.32</v>
      </c>
      <c r="L312" s="19">
        <f t="shared" si="16"/>
        <v>172948.57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f>22590.5</f>
        <v>22590.5</v>
      </c>
      <c r="G313" s="18">
        <f>9920.04</f>
        <v>9920.0400000000009</v>
      </c>
      <c r="H313" s="18"/>
      <c r="I313" s="18"/>
      <c r="J313" s="18"/>
      <c r="K313" s="18"/>
      <c r="L313" s="19">
        <f t="shared" si="16"/>
        <v>32510.54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f>3505+1707+20045.09</f>
        <v>25257.09</v>
      </c>
      <c r="I317" s="18"/>
      <c r="J317" s="18"/>
      <c r="K317" s="18"/>
      <c r="L317" s="19">
        <f t="shared" si="16"/>
        <v>25257.09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>
        <f>1594.35</f>
        <v>1594.35</v>
      </c>
      <c r="I318" s="18">
        <f>2989.08</f>
        <v>2989.08</v>
      </c>
      <c r="J318" s="18"/>
      <c r="K318" s="18"/>
      <c r="L318" s="19">
        <f>SUM(F318:K318)</f>
        <v>4583.43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608103.87</v>
      </c>
      <c r="G320" s="42">
        <f t="shared" si="17"/>
        <v>196236.84</v>
      </c>
      <c r="H320" s="42">
        <f t="shared" si="17"/>
        <v>270733.76999999996</v>
      </c>
      <c r="I320" s="42">
        <f t="shared" si="17"/>
        <v>87766.37</v>
      </c>
      <c r="J320" s="42">
        <f t="shared" si="17"/>
        <v>83472.37</v>
      </c>
      <c r="K320" s="42">
        <f t="shared" si="17"/>
        <v>11542.32</v>
      </c>
      <c r="L320" s="41">
        <f t="shared" si="17"/>
        <v>1257855.54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f>189701.41</f>
        <v>189701.41</v>
      </c>
      <c r="G325" s="18">
        <f>34589.19</f>
        <v>34589.19</v>
      </c>
      <c r="H325" s="18">
        <f>29795.9</f>
        <v>29795.9</v>
      </c>
      <c r="I325" s="18">
        <f>50995.16</f>
        <v>50995.16</v>
      </c>
      <c r="J325" s="18">
        <f>14485.24</f>
        <v>14485.24</v>
      </c>
      <c r="K325" s="18"/>
      <c r="L325" s="19">
        <f t="shared" si="18"/>
        <v>319566.90000000002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>
        <f>30719.06+38422.4</f>
        <v>69141.460000000006</v>
      </c>
      <c r="I328" s="18"/>
      <c r="J328" s="18">
        <f>16718</f>
        <v>16718</v>
      </c>
      <c r="K328" s="18"/>
      <c r="L328" s="19">
        <f t="shared" si="18"/>
        <v>85859.46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189701.41</v>
      </c>
      <c r="G329" s="41">
        <f t="shared" si="19"/>
        <v>34589.19</v>
      </c>
      <c r="H329" s="41">
        <f t="shared" si="19"/>
        <v>98937.360000000015</v>
      </c>
      <c r="I329" s="41">
        <f t="shared" si="19"/>
        <v>50995.16</v>
      </c>
      <c r="J329" s="41">
        <f t="shared" si="19"/>
        <v>31203.239999999998</v>
      </c>
      <c r="K329" s="41">
        <f t="shared" si="19"/>
        <v>0</v>
      </c>
      <c r="L329" s="41">
        <f t="shared" si="18"/>
        <v>405426.36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2837849.13</v>
      </c>
      <c r="G330" s="41">
        <f t="shared" si="20"/>
        <v>697966.37000000011</v>
      </c>
      <c r="H330" s="41">
        <f t="shared" si="20"/>
        <v>883912.2699999999</v>
      </c>
      <c r="I330" s="41">
        <f t="shared" si="20"/>
        <v>218071.77</v>
      </c>
      <c r="J330" s="41">
        <f t="shared" si="20"/>
        <v>206653.82</v>
      </c>
      <c r="K330" s="41">
        <f t="shared" si="20"/>
        <v>11542.32</v>
      </c>
      <c r="L330" s="41">
        <f t="shared" si="20"/>
        <v>4855995.68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f>8787.25+64296.84</f>
        <v>73084.09</v>
      </c>
      <c r="L336" s="19">
        <f t="shared" ref="L336:L342" si="21">SUM(F336:K336)</f>
        <v>73084.09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73084.09</v>
      </c>
      <c r="L343" s="41">
        <f>SUM(L333:L342)</f>
        <v>73084.09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2837849.13</v>
      </c>
      <c r="G344" s="41">
        <f>G330</f>
        <v>697966.37000000011</v>
      </c>
      <c r="H344" s="41">
        <f>H330</f>
        <v>883912.2699999999</v>
      </c>
      <c r="I344" s="41">
        <f>I330</f>
        <v>218071.77</v>
      </c>
      <c r="J344" s="41">
        <f>J330</f>
        <v>206653.82</v>
      </c>
      <c r="K344" s="47">
        <f>K330+K343</f>
        <v>84626.41</v>
      </c>
      <c r="L344" s="41">
        <f>L330+L343</f>
        <v>4929079.7699999996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272192.21000000002</v>
      </c>
      <c r="G350" s="18">
        <v>75669.73</v>
      </c>
      <c r="H350" s="18">
        <v>20125.650000000001</v>
      </c>
      <c r="I350" s="18">
        <v>345062.24</v>
      </c>
      <c r="J350" s="18">
        <v>7997.73</v>
      </c>
      <c r="K350" s="18">
        <v>530.20000000000073</v>
      </c>
      <c r="L350" s="13">
        <f>SUM(F350:K350)</f>
        <v>721577.76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132548.99</v>
      </c>
      <c r="G351" s="18">
        <v>39364.76</v>
      </c>
      <c r="H351" s="18">
        <v>6857.16</v>
      </c>
      <c r="I351" s="18">
        <v>178319.03</v>
      </c>
      <c r="J351" s="18">
        <v>5445</v>
      </c>
      <c r="K351" s="18">
        <v>248.80000000000109</v>
      </c>
      <c r="L351" s="19">
        <f>SUM(F351:K351)</f>
        <v>362783.74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177537</v>
      </c>
      <c r="G352" s="18">
        <v>43713.54</v>
      </c>
      <c r="H352" s="18">
        <v>13737.04</v>
      </c>
      <c r="I352" s="18">
        <v>277016.71000000002</v>
      </c>
      <c r="J352" s="18">
        <v>1194.8699999999999</v>
      </c>
      <c r="K352" s="18">
        <v>184.44000000000051</v>
      </c>
      <c r="L352" s="19">
        <f>SUM(F352:K352)</f>
        <v>513383.60000000003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>
        <v>39949.410000000003</v>
      </c>
      <c r="L353" s="13">
        <f>SUM(F353:K353)</f>
        <v>39949.410000000003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582278.19999999995</v>
      </c>
      <c r="G354" s="47">
        <f t="shared" si="22"/>
        <v>158748.03</v>
      </c>
      <c r="H354" s="47">
        <f t="shared" si="22"/>
        <v>40719.850000000006</v>
      </c>
      <c r="I354" s="47">
        <f t="shared" si="22"/>
        <v>800397.98</v>
      </c>
      <c r="J354" s="47">
        <f t="shared" si="22"/>
        <v>14637.599999999999</v>
      </c>
      <c r="K354" s="47">
        <f t="shared" si="22"/>
        <v>40912.850000000006</v>
      </c>
      <c r="L354" s="47">
        <f t="shared" si="22"/>
        <v>1637694.51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275622.67+28854.38</f>
        <v>304477.05</v>
      </c>
      <c r="G359" s="18">
        <f>148405.87+13643.62</f>
        <v>162049.49</v>
      </c>
      <c r="H359" s="18">
        <f>233760.83+23318.55-0.01</f>
        <v>257079.36999999997</v>
      </c>
      <c r="I359" s="56">
        <f>SUM(F359:H359)</f>
        <v>723605.90999999992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32929.8+7655.4</f>
        <v>40585.200000000004</v>
      </c>
      <c r="G360" s="63">
        <f>12649.31+3620.23</f>
        <v>16269.539999999999</v>
      </c>
      <c r="H360" s="63">
        <f>13749.93+6187.4</f>
        <v>19937.330000000002</v>
      </c>
      <c r="I360" s="56">
        <f>SUM(F360:H360)</f>
        <v>76792.070000000007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345062.25</v>
      </c>
      <c r="G361" s="47">
        <f>SUM(G359:G360)</f>
        <v>178319.03</v>
      </c>
      <c r="H361" s="47">
        <f>SUM(H359:H360)</f>
        <v>277016.69999999995</v>
      </c>
      <c r="I361" s="47">
        <f>SUM(I359:I360)</f>
        <v>800397.98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>
        <f>863250</f>
        <v>863250</v>
      </c>
      <c r="I367" s="18"/>
      <c r="J367" s="18"/>
      <c r="K367" s="18"/>
      <c r="L367" s="13">
        <f t="shared" ref="L367:L373" si="23">SUM(F367:K367)</f>
        <v>863250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f>2315518.43+250072.67+5805.3</f>
        <v>2571396.4</v>
      </c>
      <c r="I368" s="18"/>
      <c r="J368" s="18"/>
      <c r="K368" s="18">
        <v>100</v>
      </c>
      <c r="L368" s="13">
        <f t="shared" si="23"/>
        <v>2571496.4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>
        <f>5476.14+190275.5</f>
        <v>195751.64</v>
      </c>
      <c r="I370" s="18"/>
      <c r="J370" s="18"/>
      <c r="K370" s="18">
        <f>200+6350+1025</f>
        <v>7575</v>
      </c>
      <c r="L370" s="13">
        <f t="shared" si="23"/>
        <v>203326.64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>
        <f>6292.21+500000+149480.27</f>
        <v>655772.48</v>
      </c>
      <c r="I371" s="18"/>
      <c r="J371" s="18"/>
      <c r="K371" s="18"/>
      <c r="L371" s="13">
        <f t="shared" si="23"/>
        <v>655772.48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>
        <v>43574.96</v>
      </c>
      <c r="G372" s="18">
        <v>16343.5</v>
      </c>
      <c r="H372" s="18">
        <f>12733.8+781.2+1300</f>
        <v>14815</v>
      </c>
      <c r="I372" s="18"/>
      <c r="J372" s="18">
        <v>91968.87</v>
      </c>
      <c r="K372" s="18"/>
      <c r="L372" s="13">
        <f t="shared" si="23"/>
        <v>166702.32999999999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>
        <v>90921.98</v>
      </c>
      <c r="L373" s="13">
        <f t="shared" si="23"/>
        <v>90921.98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43574.96</v>
      </c>
      <c r="G374" s="139">
        <f t="shared" ref="G374:L374" si="24">SUM(G366:G373)</f>
        <v>16343.5</v>
      </c>
      <c r="H374" s="139">
        <f t="shared" si="24"/>
        <v>4300985.5199999996</v>
      </c>
      <c r="I374" s="41">
        <f t="shared" si="24"/>
        <v>0</v>
      </c>
      <c r="J374" s="47">
        <f t="shared" si="24"/>
        <v>91968.87</v>
      </c>
      <c r="K374" s="47">
        <f t="shared" si="24"/>
        <v>98596.98</v>
      </c>
      <c r="L374" s="47">
        <f t="shared" si="24"/>
        <v>4551469.83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>
        <f>983754+830614+51350</f>
        <v>1865718</v>
      </c>
      <c r="H392" s="18">
        <f>20895.52+1152.45</f>
        <v>22047.97</v>
      </c>
      <c r="I392" s="18">
        <v>7251</v>
      </c>
      <c r="J392" s="24" t="s">
        <v>312</v>
      </c>
      <c r="K392" s="24" t="s">
        <v>312</v>
      </c>
      <c r="L392" s="56">
        <f t="shared" si="26"/>
        <v>1895016.97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1865718</v>
      </c>
      <c r="H393" s="47">
        <f>SUM(H387:H392)</f>
        <v>22047.97</v>
      </c>
      <c r="I393" s="47">
        <f>SUM(I387:I392)</f>
        <v>7251</v>
      </c>
      <c r="J393" s="45" t="s">
        <v>312</v>
      </c>
      <c r="K393" s="45" t="s">
        <v>312</v>
      </c>
      <c r="L393" s="47">
        <f>SUM(L387:L392)</f>
        <v>1895016.97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1865718</v>
      </c>
      <c r="H400" s="47">
        <f>H385+H393+H399</f>
        <v>22047.97</v>
      </c>
      <c r="I400" s="47">
        <f>I385+I393+I399</f>
        <v>7251</v>
      </c>
      <c r="J400" s="24" t="s">
        <v>312</v>
      </c>
      <c r="K400" s="24" t="s">
        <v>312</v>
      </c>
      <c r="L400" s="47">
        <f>L385+L393+L399</f>
        <v>1895016.97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>
        <v>211950</v>
      </c>
      <c r="L410" s="56">
        <f t="shared" si="27"/>
        <v>211950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211950</v>
      </c>
      <c r="L411" s="47">
        <f t="shared" si="28"/>
        <v>211950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>
        <v>805402.7</v>
      </c>
      <c r="L418" s="56">
        <f t="shared" si="29"/>
        <v>805402.7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805402.7</v>
      </c>
      <c r="L419" s="47">
        <f t="shared" si="30"/>
        <v>805402.7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>
        <v>17150</v>
      </c>
      <c r="I421" s="18"/>
      <c r="J421" s="18"/>
      <c r="K421" s="18"/>
      <c r="L421" s="56">
        <f>SUM(F421:K421)</f>
        <v>17150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17150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17150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17150</v>
      </c>
      <c r="I426" s="47">
        <f t="shared" si="32"/>
        <v>0</v>
      </c>
      <c r="J426" s="47">
        <f t="shared" si="32"/>
        <v>0</v>
      </c>
      <c r="K426" s="47">
        <f t="shared" si="32"/>
        <v>1017352.7</v>
      </c>
      <c r="L426" s="47">
        <f t="shared" si="32"/>
        <v>1034502.7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f>7059807.64+333193.23</f>
        <v>7393000.8699999992</v>
      </c>
      <c r="H432" s="18"/>
      <c r="I432" s="56">
        <f t="shared" si="33"/>
        <v>7393000.8699999992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>
        <v>18250</v>
      </c>
      <c r="H433" s="18"/>
      <c r="I433" s="56">
        <f t="shared" si="33"/>
        <v>18250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>
        <f>41050+254604.5</f>
        <v>295654.5</v>
      </c>
      <c r="H434" s="18"/>
      <c r="I434" s="56">
        <f t="shared" si="33"/>
        <v>295654.5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7706905.3699999992</v>
      </c>
      <c r="H438" s="13">
        <f>SUM(H431:H437)</f>
        <v>0</v>
      </c>
      <c r="I438" s="13">
        <f>SUM(I431:I437)</f>
        <v>7706905.3699999992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>
        <f>18250</f>
        <v>18250</v>
      </c>
      <c r="H440" s="18"/>
      <c r="I440" s="56">
        <f>SUM(F440:H440)</f>
        <v>18250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18250</v>
      </c>
      <c r="H444" s="72">
        <f>SUM(H440:H443)</f>
        <v>0</v>
      </c>
      <c r="I444" s="72">
        <f>SUM(I440:I443)</f>
        <v>18250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>
        <v>4750</v>
      </c>
      <c r="H446" s="18"/>
      <c r="I446" s="56">
        <f>SUM(F446:H446)</f>
        <v>4750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f>7100857.64+328443.23+254604.5</f>
        <v>7683905.3699999992</v>
      </c>
      <c r="H449" s="18"/>
      <c r="I449" s="56">
        <f>SUM(F449:H449)</f>
        <v>7683905.3699999992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7688655.3699999992</v>
      </c>
      <c r="H450" s="83">
        <f>SUM(H446:H449)</f>
        <v>0</v>
      </c>
      <c r="I450" s="83">
        <f>SUM(I446:I449)</f>
        <v>7688655.3699999992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7706905.3699999992</v>
      </c>
      <c r="H451" s="42">
        <f>H444+H450</f>
        <v>0</v>
      </c>
      <c r="I451" s="42">
        <f>I444+I450</f>
        <v>7706905.3699999992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3900152.08</v>
      </c>
      <c r="G455" s="18">
        <v>277496.56</v>
      </c>
      <c r="H455" s="18">
        <v>113247.89</v>
      </c>
      <c r="I455" s="18">
        <v>452005.06</v>
      </c>
      <c r="J455" s="18">
        <v>6828141.0999999996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62466192.63+767579.58</f>
        <v>63233772.210000001</v>
      </c>
      <c r="G458" s="18">
        <f>1570055.85+2272.8</f>
        <v>1572328.6500000001</v>
      </c>
      <c r="H458" s="18">
        <v>4927856.3499999996</v>
      </c>
      <c r="I458" s="18">
        <f>10541081.83-19936.85</f>
        <v>10521144.98</v>
      </c>
      <c r="J458" s="18">
        <f>1004649.52+8403.45+881964</f>
        <v>1895016.97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63233772.210000001</v>
      </c>
      <c r="G460" s="53">
        <f>SUM(G458:G459)</f>
        <v>1572328.6500000001</v>
      </c>
      <c r="H460" s="53">
        <f>SUM(H458:H459)</f>
        <v>4927856.3499999996</v>
      </c>
      <c r="I460" s="53">
        <f>SUM(I458:I459)</f>
        <v>10521144.98</v>
      </c>
      <c r="J460" s="53">
        <f>SUM(J458:J459)</f>
        <v>1895016.97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63087760.6+1009074.97</f>
        <v>64096835.57</v>
      </c>
      <c r="G462" s="18">
        <f>1637925.81-231.3</f>
        <v>1637694.51</v>
      </c>
      <c r="H462" s="18">
        <v>4929079.7699999996</v>
      </c>
      <c r="I462" s="18">
        <f>4311067.58+240402.25</f>
        <v>4551469.83</v>
      </c>
      <c r="J462" s="18">
        <f>389993.2+17150+627359.5</f>
        <v>1034502.7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>
        <v>0.35</v>
      </c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64096835.57</v>
      </c>
      <c r="G464" s="53">
        <f>SUM(G462:G463)</f>
        <v>1637694.51</v>
      </c>
      <c r="H464" s="53">
        <f>SUM(H462:H463)</f>
        <v>4929079.7699999996</v>
      </c>
      <c r="I464" s="53">
        <f>SUM(I462:I463)</f>
        <v>4551470.18</v>
      </c>
      <c r="J464" s="53">
        <f>SUM(J462:J463)</f>
        <v>1034502.7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3037088.7200000063</v>
      </c>
      <c r="G466" s="53">
        <f>(G455+G460)- G464</f>
        <v>212130.70000000019</v>
      </c>
      <c r="H466" s="53">
        <f>(H455+H460)- H464</f>
        <v>112024.46999999974</v>
      </c>
      <c r="I466" s="53">
        <f>(I455+I460)- I464</f>
        <v>6421679.8600000013</v>
      </c>
      <c r="J466" s="53">
        <f>(J455+J460)- J464</f>
        <v>7688655.3700000001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897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33198041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 t="s">
        <v>896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11116396.609999999</v>
      </c>
      <c r="G485" s="18"/>
      <c r="H485" s="18"/>
      <c r="I485" s="18"/>
      <c r="J485" s="18"/>
      <c r="K485" s="53">
        <f>SUM(F485:J485)</f>
        <v>11116396.609999999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587100</v>
      </c>
      <c r="G486" s="18"/>
      <c r="H486" s="18"/>
      <c r="I486" s="18"/>
      <c r="J486" s="18"/>
      <c r="K486" s="53">
        <f t="shared" ref="K486:K493" si="34">SUM(F486:J486)</f>
        <v>587100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1789601.64</v>
      </c>
      <c r="G487" s="18"/>
      <c r="H487" s="18"/>
      <c r="I487" s="18"/>
      <c r="J487" s="18"/>
      <c r="K487" s="53">
        <f t="shared" si="34"/>
        <v>1789601.64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F485+F486-F487</f>
        <v>9913894.9699999988</v>
      </c>
      <c r="G488" s="205"/>
      <c r="H488" s="205"/>
      <c r="I488" s="205"/>
      <c r="J488" s="205"/>
      <c r="K488" s="206">
        <f t="shared" si="34"/>
        <v>9913894.9699999988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1167996.52</v>
      </c>
      <c r="G489" s="18"/>
      <c r="H489" s="18"/>
      <c r="I489" s="18"/>
      <c r="J489" s="18"/>
      <c r="K489" s="53">
        <f t="shared" si="34"/>
        <v>1167996.52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11081891.489999998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11081891.489999998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1752399.99</v>
      </c>
      <c r="G491" s="205"/>
      <c r="H491" s="205"/>
      <c r="I491" s="205"/>
      <c r="J491" s="205"/>
      <c r="K491" s="206">
        <f t="shared" si="34"/>
        <v>1752399.99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365896.87</v>
      </c>
      <c r="G492" s="18"/>
      <c r="H492" s="18"/>
      <c r="I492" s="18"/>
      <c r="J492" s="18"/>
      <c r="K492" s="53">
        <f t="shared" si="34"/>
        <v>365896.87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2118296.86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2118296.86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4130191.28</f>
        <v>4130191.28</v>
      </c>
      <c r="G511" s="18">
        <f>1183750.17</f>
        <v>1183750.17</v>
      </c>
      <c r="H511" s="18">
        <f>376381.61</f>
        <v>376381.61</v>
      </c>
      <c r="I511" s="18">
        <f>24616.63</f>
        <v>24616.63</v>
      </c>
      <c r="J511" s="18">
        <f>11058.82</f>
        <v>11058.82</v>
      </c>
      <c r="K511" s="18">
        <v>90</v>
      </c>
      <c r="L511" s="88">
        <f>SUM(F511:K511)</f>
        <v>5726088.5099999998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1681347.3</f>
        <v>1681347.3</v>
      </c>
      <c r="G512" s="18">
        <f>545832.87</f>
        <v>545832.87</v>
      </c>
      <c r="H512" s="18">
        <f>218860.46</f>
        <v>218860.46</v>
      </c>
      <c r="I512" s="18">
        <f>9845.85</f>
        <v>9845.85</v>
      </c>
      <c r="J512" s="18">
        <f>6110.83</f>
        <v>6110.83</v>
      </c>
      <c r="K512" s="18"/>
      <c r="L512" s="88">
        <f>SUM(F512:K512)</f>
        <v>2461997.31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2228795.58</f>
        <v>2228795.58</v>
      </c>
      <c r="G513" s="18">
        <f>708839.17</f>
        <v>708839.17</v>
      </c>
      <c r="H513" s="18">
        <f>1118384.4</f>
        <v>1118384.3999999999</v>
      </c>
      <c r="I513" s="18">
        <f>25120.58</f>
        <v>25120.58</v>
      </c>
      <c r="J513" s="18">
        <f>18473.86</f>
        <v>18473.86</v>
      </c>
      <c r="K513" s="18">
        <f>402.97</f>
        <v>402.97</v>
      </c>
      <c r="L513" s="88">
        <f>SUM(F513:K513)</f>
        <v>4100016.56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8040334.1600000001</v>
      </c>
      <c r="G514" s="108">
        <f t="shared" ref="G514:L514" si="35">SUM(G511:G513)</f>
        <v>2438422.21</v>
      </c>
      <c r="H514" s="108">
        <f t="shared" si="35"/>
        <v>1713626.4699999997</v>
      </c>
      <c r="I514" s="108">
        <f t="shared" si="35"/>
        <v>59583.060000000005</v>
      </c>
      <c r="J514" s="108">
        <f t="shared" si="35"/>
        <v>35643.51</v>
      </c>
      <c r="K514" s="108">
        <f t="shared" si="35"/>
        <v>492.97</v>
      </c>
      <c r="L514" s="89">
        <f t="shared" si="35"/>
        <v>12288102.380000001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1082177.24</f>
        <v>1082177.24</v>
      </c>
      <c r="G516" s="18">
        <f>300139.15</f>
        <v>300139.15000000002</v>
      </c>
      <c r="H516" s="18">
        <f>297267.31</f>
        <v>297267.31</v>
      </c>
      <c r="I516" s="18">
        <f>13284.04</f>
        <v>13284.04</v>
      </c>
      <c r="J516" s="18">
        <f>5317.79</f>
        <v>5317.79</v>
      </c>
      <c r="K516" s="18">
        <f>39.33</f>
        <v>39.33</v>
      </c>
      <c r="L516" s="88">
        <f>SUM(F516:K516)</f>
        <v>1698224.8600000003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183997.95</f>
        <v>183997.95</v>
      </c>
      <c r="G517" s="18">
        <f>53529.46</f>
        <v>53529.46</v>
      </c>
      <c r="H517" s="18">
        <f>102502.63</f>
        <v>102502.63</v>
      </c>
      <c r="I517" s="18">
        <f>4606.32</f>
        <v>4606.32</v>
      </c>
      <c r="J517" s="18">
        <f>2719.07</f>
        <v>2719.07</v>
      </c>
      <c r="K517" s="18">
        <f>20.11</f>
        <v>20.11</v>
      </c>
      <c r="L517" s="88">
        <f>SUM(F517:K517)</f>
        <v>347375.54000000004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322424.51</f>
        <v>322424.51</v>
      </c>
      <c r="G518" s="18">
        <f>93095.5</f>
        <v>93095.5</v>
      </c>
      <c r="H518" s="18">
        <f>180438.19</f>
        <v>180438.19</v>
      </c>
      <c r="I518" s="18">
        <f>8724.85</f>
        <v>8724.85</v>
      </c>
      <c r="J518" s="18">
        <f>5484.11</f>
        <v>5484.11</v>
      </c>
      <c r="K518" s="18">
        <f>40.56</f>
        <v>40.56</v>
      </c>
      <c r="L518" s="88">
        <f>SUM(F518:K518)</f>
        <v>610207.72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1588599.7</v>
      </c>
      <c r="G519" s="89">
        <f t="shared" ref="G519:L519" si="36">SUM(G516:G518)</f>
        <v>446764.11000000004</v>
      </c>
      <c r="H519" s="89">
        <f t="shared" si="36"/>
        <v>580208.13</v>
      </c>
      <c r="I519" s="89">
        <f t="shared" si="36"/>
        <v>26615.21</v>
      </c>
      <c r="J519" s="89">
        <f t="shared" si="36"/>
        <v>13520.970000000001</v>
      </c>
      <c r="K519" s="89">
        <f t="shared" si="36"/>
        <v>100</v>
      </c>
      <c r="L519" s="89">
        <f t="shared" si="36"/>
        <v>2655808.12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74161.96</f>
        <v>74161.960000000006</v>
      </c>
      <c r="G521" s="18">
        <v>31999.71</v>
      </c>
      <c r="H521" s="18"/>
      <c r="I521" s="18"/>
      <c r="J521" s="18"/>
      <c r="K521" s="18"/>
      <c r="L521" s="88">
        <f>SUM(F521:K521)</f>
        <v>106161.67000000001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37920.089999999997</v>
      </c>
      <c r="G522" s="18">
        <v>16361.92</v>
      </c>
      <c r="H522" s="18"/>
      <c r="I522" s="18"/>
      <c r="J522" s="18"/>
      <c r="K522" s="18"/>
      <c r="L522" s="88">
        <f>SUM(F522:K522)</f>
        <v>54282.009999999995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76481.289999999994</v>
      </c>
      <c r="G523" s="18">
        <v>33000.47</v>
      </c>
      <c r="H523" s="18"/>
      <c r="I523" s="18"/>
      <c r="J523" s="18"/>
      <c r="K523" s="18"/>
      <c r="L523" s="88">
        <f>SUM(F523:K523)</f>
        <v>109481.76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188563.34</v>
      </c>
      <c r="G524" s="89">
        <f t="shared" ref="G524:L524" si="37">SUM(G521:G523)</f>
        <v>81362.100000000006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269925.44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6960.97</v>
      </c>
      <c r="I526" s="18"/>
      <c r="J526" s="18"/>
      <c r="K526" s="18"/>
      <c r="L526" s="88">
        <f>SUM(F526:K526)</f>
        <v>6960.97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3559.24</v>
      </c>
      <c r="I527" s="18"/>
      <c r="J527" s="18"/>
      <c r="K527" s="18"/>
      <c r="L527" s="88">
        <f>SUM(F527:K527)</f>
        <v>3559.24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7178.6869999999999</v>
      </c>
      <c r="I528" s="18"/>
      <c r="J528" s="18"/>
      <c r="K528" s="18"/>
      <c r="L528" s="88">
        <f>SUM(F528:K528)</f>
        <v>7178.6869999999999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17698.896999999997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17698.896999999997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f>199657.22</f>
        <v>199657.22</v>
      </c>
      <c r="G531" s="18">
        <f>55040.58</f>
        <v>55040.58</v>
      </c>
      <c r="H531" s="18">
        <f>80033.57</f>
        <v>80033.570000000007</v>
      </c>
      <c r="I531" s="18">
        <f>135.47</f>
        <v>135.47</v>
      </c>
      <c r="J531" s="18"/>
      <c r="K531" s="18">
        <f>159.43</f>
        <v>159.43</v>
      </c>
      <c r="L531" s="88">
        <f>SUM(F531:K531)</f>
        <v>335026.26999999996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f>94409.08</f>
        <v>94409.08</v>
      </c>
      <c r="G532" s="18">
        <f>26026.26</f>
        <v>26026.26</v>
      </c>
      <c r="H532" s="18">
        <f>37844.34</f>
        <v>37844.339999999997</v>
      </c>
      <c r="I532" s="18">
        <f>64.06</f>
        <v>64.06</v>
      </c>
      <c r="J532" s="18"/>
      <c r="K532" s="18">
        <f>75.39</f>
        <v>75.39</v>
      </c>
      <c r="L532" s="88">
        <f>SUM(F532:K532)</f>
        <v>158419.13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f>161356.18</f>
        <v>161356.18</v>
      </c>
      <c r="G533" s="18">
        <f>44481.93</f>
        <v>44481.93</v>
      </c>
      <c r="H533" s="18">
        <f>64680.41</f>
        <v>64680.41</v>
      </c>
      <c r="I533" s="18">
        <f>109.48</f>
        <v>109.48</v>
      </c>
      <c r="J533" s="18"/>
      <c r="K533" s="18">
        <f>128.85</f>
        <v>128.85</v>
      </c>
      <c r="L533" s="88">
        <f>SUM(F533:K533)</f>
        <v>270756.84999999998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455422.48</v>
      </c>
      <c r="G534" s="194">
        <f t="shared" ref="G534:L534" si="39">SUM(G531:G533)</f>
        <v>125548.76999999999</v>
      </c>
      <c r="H534" s="194">
        <f t="shared" si="39"/>
        <v>182558.32</v>
      </c>
      <c r="I534" s="194">
        <f t="shared" si="39"/>
        <v>309.01</v>
      </c>
      <c r="J534" s="194">
        <f t="shared" si="39"/>
        <v>0</v>
      </c>
      <c r="K534" s="194">
        <f t="shared" si="39"/>
        <v>363.66999999999996</v>
      </c>
      <c r="L534" s="194">
        <f t="shared" si="39"/>
        <v>764202.25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10272919.68</v>
      </c>
      <c r="G535" s="89">
        <f t="shared" ref="G535:L535" si="40">G514+G519+G524+G529+G534</f>
        <v>3092097.19</v>
      </c>
      <c r="H535" s="89">
        <f t="shared" si="40"/>
        <v>2494091.8169999993</v>
      </c>
      <c r="I535" s="89">
        <f t="shared" si="40"/>
        <v>86507.28</v>
      </c>
      <c r="J535" s="89">
        <f t="shared" si="40"/>
        <v>49164.480000000003</v>
      </c>
      <c r="K535" s="89">
        <f t="shared" si="40"/>
        <v>956.64</v>
      </c>
      <c r="L535" s="89">
        <f t="shared" si="40"/>
        <v>15995737.086999999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5726088.5099999998</v>
      </c>
      <c r="G539" s="87">
        <f>L516</f>
        <v>1698224.8600000003</v>
      </c>
      <c r="H539" s="87">
        <f>L521</f>
        <v>106161.67000000001</v>
      </c>
      <c r="I539" s="87">
        <f>L526</f>
        <v>6960.97</v>
      </c>
      <c r="J539" s="87">
        <f>L531</f>
        <v>335026.26999999996</v>
      </c>
      <c r="K539" s="87">
        <f>SUM(F539:J539)</f>
        <v>7872462.2799999993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2461997.31</v>
      </c>
      <c r="G540" s="87">
        <f>L517</f>
        <v>347375.54000000004</v>
      </c>
      <c r="H540" s="87">
        <f>L522</f>
        <v>54282.009999999995</v>
      </c>
      <c r="I540" s="87">
        <f>L527</f>
        <v>3559.24</v>
      </c>
      <c r="J540" s="87">
        <f>L532</f>
        <v>158419.13</v>
      </c>
      <c r="K540" s="87">
        <f>SUM(F540:J540)</f>
        <v>3025633.23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4100016.56</v>
      </c>
      <c r="G541" s="87">
        <f>L518</f>
        <v>610207.72</v>
      </c>
      <c r="H541" s="87">
        <f>L523</f>
        <v>109481.76</v>
      </c>
      <c r="I541" s="87">
        <f>L528</f>
        <v>7178.6869999999999</v>
      </c>
      <c r="J541" s="87">
        <f>L533</f>
        <v>270756.84999999998</v>
      </c>
      <c r="K541" s="87">
        <f>SUM(F541:J541)</f>
        <v>5097641.5769999996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12288102.380000001</v>
      </c>
      <c r="G542" s="89">
        <f t="shared" si="41"/>
        <v>2655808.12</v>
      </c>
      <c r="H542" s="89">
        <f t="shared" si="41"/>
        <v>269925.44</v>
      </c>
      <c r="I542" s="89">
        <f t="shared" si="41"/>
        <v>17698.896999999997</v>
      </c>
      <c r="J542" s="89">
        <f t="shared" si="41"/>
        <v>764202.25</v>
      </c>
      <c r="K542" s="89">
        <f t="shared" si="41"/>
        <v>15995737.086999999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v>738192.45</v>
      </c>
      <c r="G547" s="18">
        <v>175836</v>
      </c>
      <c r="H547" s="18">
        <v>35000</v>
      </c>
      <c r="I547" s="18">
        <v>8628.16</v>
      </c>
      <c r="J547" s="18"/>
      <c r="K547" s="18"/>
      <c r="L547" s="88">
        <f>SUM(F547:K547)</f>
        <v>957656.61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>
        <v>176313.83</v>
      </c>
      <c r="G548" s="18">
        <v>60199.519999999997</v>
      </c>
      <c r="H548" s="18"/>
      <c r="I548" s="18">
        <v>3918.52</v>
      </c>
      <c r="J548" s="18"/>
      <c r="K548" s="18"/>
      <c r="L548" s="88">
        <f>SUM(F548:K548)</f>
        <v>240431.86999999997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>
        <v>15146.98</v>
      </c>
      <c r="G549" s="18">
        <v>3391.14</v>
      </c>
      <c r="H549" s="18"/>
      <c r="I549" s="18">
        <v>6620.74</v>
      </c>
      <c r="J549" s="18">
        <v>6751.19</v>
      </c>
      <c r="K549" s="18"/>
      <c r="L549" s="88">
        <f>SUM(F549:K549)</f>
        <v>31910.05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929653.25999999989</v>
      </c>
      <c r="G550" s="108">
        <f t="shared" si="42"/>
        <v>239426.66</v>
      </c>
      <c r="H550" s="108">
        <f t="shared" si="42"/>
        <v>35000</v>
      </c>
      <c r="I550" s="108">
        <f t="shared" si="42"/>
        <v>19167.419999999998</v>
      </c>
      <c r="J550" s="108">
        <f t="shared" si="42"/>
        <v>6751.19</v>
      </c>
      <c r="K550" s="108">
        <f t="shared" si="42"/>
        <v>0</v>
      </c>
      <c r="L550" s="89">
        <f t="shared" si="42"/>
        <v>1229998.53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f>2245.59+839.47</f>
        <v>3085.0600000000004</v>
      </c>
      <c r="G552" s="18">
        <f>171.81+64.22</f>
        <v>236.03</v>
      </c>
      <c r="H552" s="18">
        <f>56106.25</f>
        <v>56106.25</v>
      </c>
      <c r="I552" s="18">
        <f>1159.15</f>
        <v>1159.1500000000001</v>
      </c>
      <c r="J552" s="18"/>
      <c r="K552" s="18"/>
      <c r="L552" s="88">
        <f>SUM(F552:K552)</f>
        <v>60586.490000000005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f>396.95</f>
        <v>396.95</v>
      </c>
      <c r="G553" s="18">
        <f>30.37</f>
        <v>30.37</v>
      </c>
      <c r="H553" s="18">
        <f>26530.17</f>
        <v>26530.17</v>
      </c>
      <c r="I553" s="18">
        <f>548.12</f>
        <v>548.12</v>
      </c>
      <c r="J553" s="18"/>
      <c r="K553" s="18"/>
      <c r="L553" s="88">
        <f>SUM(F553:K553)</f>
        <v>27505.609999999997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f>6586.48+678.43</f>
        <v>7264.91</v>
      </c>
      <c r="G554" s="18">
        <f>503.88+51.9</f>
        <v>555.78</v>
      </c>
      <c r="H554" s="18">
        <f>45343.17</f>
        <v>45343.17</v>
      </c>
      <c r="I554" s="18">
        <f>936.8</f>
        <v>936.8</v>
      </c>
      <c r="J554" s="18"/>
      <c r="K554" s="18"/>
      <c r="L554" s="88">
        <f>SUM(F554:K554)</f>
        <v>54100.66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10746.92</v>
      </c>
      <c r="G555" s="89">
        <f t="shared" si="43"/>
        <v>822.18</v>
      </c>
      <c r="H555" s="89">
        <f t="shared" si="43"/>
        <v>127979.59</v>
      </c>
      <c r="I555" s="89">
        <f t="shared" si="43"/>
        <v>2644.0699999999997</v>
      </c>
      <c r="J555" s="89">
        <f t="shared" si="43"/>
        <v>0</v>
      </c>
      <c r="K555" s="89">
        <f t="shared" si="43"/>
        <v>0</v>
      </c>
      <c r="L555" s="89">
        <f t="shared" si="43"/>
        <v>142192.76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940400.17999999993</v>
      </c>
      <c r="G561" s="89">
        <f t="shared" ref="G561:L561" si="45">G550+G555+G560</f>
        <v>240248.84</v>
      </c>
      <c r="H561" s="89">
        <f t="shared" si="45"/>
        <v>162979.59</v>
      </c>
      <c r="I561" s="89">
        <f t="shared" si="45"/>
        <v>21811.489999999998</v>
      </c>
      <c r="J561" s="89">
        <f t="shared" si="45"/>
        <v>6751.19</v>
      </c>
      <c r="K561" s="89">
        <f t="shared" si="45"/>
        <v>0</v>
      </c>
      <c r="L561" s="89">
        <f t="shared" si="45"/>
        <v>1372191.29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5186.05</v>
      </c>
      <c r="G569" s="18">
        <v>40694.92</v>
      </c>
      <c r="H569" s="18">
        <v>48548.72</v>
      </c>
      <c r="I569" s="87">
        <f t="shared" si="46"/>
        <v>94429.69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152542.42000000001</v>
      </c>
      <c r="G572" s="18">
        <v>130981.44</v>
      </c>
      <c r="H572" s="18">
        <v>978591.83</v>
      </c>
      <c r="I572" s="87">
        <f t="shared" si="46"/>
        <v>1262115.69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651847.15</v>
      </c>
      <c r="I581" s="18">
        <v>308112.5</v>
      </c>
      <c r="J581" s="18">
        <v>526600.31000000006</v>
      </c>
      <c r="K581" s="104">
        <f t="shared" ref="K581:K587" si="47">SUM(H581:J581)</f>
        <v>1486559.96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335026.27</v>
      </c>
      <c r="I582" s="18">
        <v>158419.13</v>
      </c>
      <c r="J582" s="18">
        <v>270756.84999999998</v>
      </c>
      <c r="K582" s="104">
        <f t="shared" si="47"/>
        <v>764202.25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>
        <v>2001.49</v>
      </c>
      <c r="I583" s="18">
        <v>946.41</v>
      </c>
      <c r="J583" s="18">
        <v>24455.040000000001</v>
      </c>
      <c r="K583" s="104">
        <f t="shared" si="47"/>
        <v>27402.940000000002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4520.62</v>
      </c>
      <c r="I584" s="18">
        <v>16470.099999999999</v>
      </c>
      <c r="J584" s="18">
        <v>91279.4</v>
      </c>
      <c r="K584" s="104">
        <f t="shared" si="47"/>
        <v>112270.12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19114.060000000001</v>
      </c>
      <c r="I585" s="18">
        <v>9458.9699999999993</v>
      </c>
      <c r="J585" s="18">
        <v>16041.65</v>
      </c>
      <c r="K585" s="104">
        <f t="shared" si="47"/>
        <v>44614.68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v>9027.86</v>
      </c>
      <c r="I586" s="18">
        <v>701.67</v>
      </c>
      <c r="J586" s="18">
        <v>1199.21</v>
      </c>
      <c r="K586" s="104">
        <f t="shared" si="47"/>
        <v>10928.740000000002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32110.44</v>
      </c>
      <c r="I587" s="18">
        <v>4494.49</v>
      </c>
      <c r="J587" s="18">
        <f>7332.72-0.04</f>
        <v>7332.68</v>
      </c>
      <c r="K587" s="104">
        <f t="shared" si="47"/>
        <v>43937.61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1053647.8900000001</v>
      </c>
      <c r="I588" s="108">
        <f>SUM(I581:I587)</f>
        <v>498603.2699999999</v>
      </c>
      <c r="J588" s="108">
        <f>SUM(J581:J587)</f>
        <v>937665.14000000013</v>
      </c>
      <c r="K588" s="108">
        <f>SUM(K581:K587)</f>
        <v>2489916.3000000003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278272.09999999998</v>
      </c>
      <c r="I594" s="18">
        <v>131517.59</v>
      </c>
      <c r="J594" s="18">
        <v>302974.57</v>
      </c>
      <c r="K594" s="104">
        <f>SUM(H594:J594)</f>
        <v>712764.26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278272.09999999998</v>
      </c>
      <c r="I595" s="108">
        <f>SUM(I592:I594)</f>
        <v>131517.59</v>
      </c>
      <c r="J595" s="108">
        <f>SUM(J592:J594)</f>
        <v>302974.57</v>
      </c>
      <c r="K595" s="108">
        <f>SUM(K592:K594)</f>
        <v>712764.26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64046.76+1421.84</f>
        <v>65468.6</v>
      </c>
      <c r="G601" s="18">
        <f>7757.45+172.22</f>
        <v>7929.67</v>
      </c>
      <c r="H601" s="18">
        <f>59864.31+1328.99</f>
        <v>61193.299999999996</v>
      </c>
      <c r="I601" s="18">
        <f>2297.25+51</f>
        <v>2348.25</v>
      </c>
      <c r="J601" s="18">
        <f>6902.78+153.24</f>
        <v>7056.0199999999995</v>
      </c>
      <c r="K601" s="18"/>
      <c r="L601" s="88">
        <f>SUM(F601:K601)</f>
        <v>143995.84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f>21469.65+476.63</f>
        <v>21946.280000000002</v>
      </c>
      <c r="G602" s="18">
        <f>2789.21+61.92</f>
        <v>2851.13</v>
      </c>
      <c r="H602" s="18">
        <f>25006.65+555.15</f>
        <v>25561.800000000003</v>
      </c>
      <c r="I602" s="18">
        <f>1010.93+22.44</f>
        <v>1033.3699999999999</v>
      </c>
      <c r="J602" s="18">
        <f>3529.49+78.35</f>
        <v>3607.8399999999997</v>
      </c>
      <c r="K602" s="18"/>
      <c r="L602" s="88">
        <f>SUM(F602:K602)</f>
        <v>55000.420000000006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f>23798.84+528.33</f>
        <v>24327.170000000002</v>
      </c>
      <c r="G603" s="18">
        <f>2706.87+60.09</f>
        <v>2766.96</v>
      </c>
      <c r="H603" s="18">
        <f>44625.27+990.68</f>
        <v>45615.95</v>
      </c>
      <c r="I603" s="18">
        <f>2116.41+46.98</f>
        <v>2163.39</v>
      </c>
      <c r="J603" s="18">
        <f>7118.66+158.03</f>
        <v>7276.69</v>
      </c>
      <c r="K603" s="18"/>
      <c r="L603" s="88">
        <f>SUM(F603:K603)</f>
        <v>82150.16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111742.05</v>
      </c>
      <c r="G604" s="108">
        <f t="shared" si="48"/>
        <v>13547.759999999998</v>
      </c>
      <c r="H604" s="108">
        <f t="shared" si="48"/>
        <v>132371.04999999999</v>
      </c>
      <c r="I604" s="108">
        <f t="shared" si="48"/>
        <v>5545.01</v>
      </c>
      <c r="J604" s="108">
        <f t="shared" si="48"/>
        <v>17940.55</v>
      </c>
      <c r="K604" s="108">
        <f t="shared" si="48"/>
        <v>0</v>
      </c>
      <c r="L604" s="89">
        <f t="shared" si="48"/>
        <v>281146.42000000004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10589200.959999999</v>
      </c>
      <c r="H607" s="109">
        <f>SUM(F44)</f>
        <v>10589200.959999999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829783.35</v>
      </c>
      <c r="H608" s="109">
        <f>SUM(G44)</f>
        <v>829783.34999999986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5080495.84</v>
      </c>
      <c r="H609" s="109">
        <f>SUM(H44)</f>
        <v>5080495.84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10735895.870000001</v>
      </c>
      <c r="H610" s="109">
        <f>SUM(I44)</f>
        <v>10735895.870000001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7706905.3699999992</v>
      </c>
      <c r="H611" s="109">
        <f>SUM(J44)</f>
        <v>7706905.3699999992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3037088.7199999997</v>
      </c>
      <c r="H612" s="109">
        <f>F466</f>
        <v>3037088.7200000063</v>
      </c>
      <c r="I612" s="121" t="s">
        <v>106</v>
      </c>
      <c r="J612" s="109">
        <f t="shared" ref="J612:J645" si="49">G612-H612</f>
        <v>-6.5192580223083496E-9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212130.7</v>
      </c>
      <c r="H613" s="109">
        <f>G466</f>
        <v>212130.70000000019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112024.47</v>
      </c>
      <c r="H614" s="109">
        <f>H466</f>
        <v>112024.46999999974</v>
      </c>
      <c r="I614" s="121" t="s">
        <v>110</v>
      </c>
      <c r="J614" s="109">
        <f t="shared" si="49"/>
        <v>2.6193447411060333E-10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6421679.8600000003</v>
      </c>
      <c r="H615" s="109">
        <f>I466</f>
        <v>6421679.8600000013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7688655.3699999992</v>
      </c>
      <c r="H616" s="109">
        <f>J466</f>
        <v>7688655.3700000001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63233772.209999993</v>
      </c>
      <c r="H617" s="104">
        <f>SUM(F458)</f>
        <v>63233772.210000001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1572328.6500000001</v>
      </c>
      <c r="H618" s="104">
        <f>SUM(G458)</f>
        <v>1572328.6500000001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4927856.3500000006</v>
      </c>
      <c r="H619" s="104">
        <f>SUM(H458)</f>
        <v>4927856.3499999996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10521144.979999999</v>
      </c>
      <c r="H620" s="104">
        <f>SUM(I458)</f>
        <v>10521144.98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1895016.97</v>
      </c>
      <c r="H621" s="104">
        <f>SUM(J458)</f>
        <v>1895016.97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64096835.569999993</v>
      </c>
      <c r="H622" s="104">
        <f>SUM(F462)</f>
        <v>64096835.57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4929079.7699999996</v>
      </c>
      <c r="H623" s="104">
        <f>SUM(H462)</f>
        <v>4929079.7699999996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800397.98</v>
      </c>
      <c r="H624" s="104">
        <f>I361</f>
        <v>800397.98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1637694.51</v>
      </c>
      <c r="H625" s="104">
        <f>SUM(G462)</f>
        <v>1637694.51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4551469.83</v>
      </c>
      <c r="H626" s="104">
        <f>SUM(I462)</f>
        <v>4551469.83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1895016.97</v>
      </c>
      <c r="H627" s="164">
        <f>SUM(J458)</f>
        <v>1895016.97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1034502.7</v>
      </c>
      <c r="H628" s="164">
        <f>SUM(J462)</f>
        <v>1034502.7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7706905.3699999992</v>
      </c>
      <c r="H630" s="104">
        <f>SUM(G451)</f>
        <v>7706905.3699999992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7706905.3699999992</v>
      </c>
      <c r="H632" s="104">
        <f>SUM(I451)</f>
        <v>7706905.3699999992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22047.97</v>
      </c>
      <c r="H634" s="104">
        <f>H400</f>
        <v>22047.97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1865718</v>
      </c>
      <c r="H635" s="104">
        <f>G400</f>
        <v>1865718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1895016.97</v>
      </c>
      <c r="H636" s="104">
        <f>L400</f>
        <v>1895016.97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2489916.3000000003</v>
      </c>
      <c r="H637" s="104">
        <f>L200+L218+L236</f>
        <v>2489916.2999999998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712764.26</v>
      </c>
      <c r="H638" s="104">
        <f>(J249+J330)-(J247+J328)</f>
        <v>712764.26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1053647.8899999999</v>
      </c>
      <c r="H639" s="104">
        <f>H588</f>
        <v>1053647.8900000001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498603.26999999996</v>
      </c>
      <c r="H640" s="104">
        <f>I588</f>
        <v>498603.2699999999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937665.14000000013</v>
      </c>
      <c r="H641" s="104">
        <f>J588</f>
        <v>937665.14000000013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6846.99</v>
      </c>
      <c r="H642" s="104">
        <f>K255+K337</f>
        <v>6846.99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1865718</v>
      </c>
      <c r="H645" s="104">
        <f>K258+K339</f>
        <v>1865718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28166114.210000005</v>
      </c>
      <c r="G650" s="19">
        <f>(L221+L301+L351)</f>
        <v>13442574.51</v>
      </c>
      <c r="H650" s="19">
        <f>(L239+L320+L352)</f>
        <v>23471769.02</v>
      </c>
      <c r="I650" s="19">
        <f>SUM(F650:H650)</f>
        <v>65080457.74000001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341093.61488582281</v>
      </c>
      <c r="G651" s="19">
        <f>(L351/IF(SUM(L350:L352)=0,1,SUM(L350:L352))*(SUM(G89:G102)))</f>
        <v>171489.78829169908</v>
      </c>
      <c r="H651" s="19">
        <f>(L352/IF(SUM(L350:L352)=0,1,SUM(L350:L352))*(SUM(G89:G102)))</f>
        <v>242679.13682247815</v>
      </c>
      <c r="I651" s="19">
        <f>SUM(F651:H651)</f>
        <v>755262.54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975754.42999999993</v>
      </c>
      <c r="G652" s="19">
        <f>(L218+L298)-(J218+J298)</f>
        <v>457568.69999999995</v>
      </c>
      <c r="H652" s="19">
        <f>(L236+L317)-(J236+J317)</f>
        <v>892789.34000000008</v>
      </c>
      <c r="I652" s="19">
        <f>SUM(F652:H652)</f>
        <v>2326112.4699999997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579996.40999999992</v>
      </c>
      <c r="G653" s="200">
        <f>SUM(G565:G577)+SUM(I592:I594)+L602</f>
        <v>358194.36999999994</v>
      </c>
      <c r="H653" s="200">
        <f>SUM(H565:H577)+SUM(J592:J594)+L603</f>
        <v>1412265.2799999998</v>
      </c>
      <c r="I653" s="19">
        <f>SUM(F653:H653)</f>
        <v>2350456.0599999996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26269269.755114183</v>
      </c>
      <c r="G654" s="19">
        <f>G650-SUM(G651:G653)</f>
        <v>12455321.651708301</v>
      </c>
      <c r="H654" s="19">
        <f>H650-SUM(H651:H653)</f>
        <v>20924035.263177522</v>
      </c>
      <c r="I654" s="19">
        <f>I650-SUM(I651:I653)</f>
        <v>59648626.670000009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1983.44</v>
      </c>
      <c r="G655" s="249">
        <v>1077.1500000000001</v>
      </c>
      <c r="H655" s="249">
        <v>1824.9</v>
      </c>
      <c r="I655" s="19">
        <f>SUM(F655:H655)</f>
        <v>4885.49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13244.3</v>
      </c>
      <c r="G657" s="19">
        <f>ROUND(G654/G655,2)</f>
        <v>11563.22</v>
      </c>
      <c r="H657" s="19">
        <f>ROUND(H654/H655,2)</f>
        <v>11465.85</v>
      </c>
      <c r="I657" s="19">
        <f>ROUND(I654/I655,2)</f>
        <v>12209.34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117.16</v>
      </c>
      <c r="I660" s="19">
        <f>SUM(F660:H660)</f>
        <v>117.16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13244.3</v>
      </c>
      <c r="G662" s="19">
        <f>ROUND((G654+G659)/(G655+G660),2)</f>
        <v>11563.22</v>
      </c>
      <c r="H662" s="19">
        <f>ROUND((H654+H659)/(H655+H660),2)</f>
        <v>10774.14</v>
      </c>
      <c r="I662" s="19">
        <f>ROUND((I654+I659)/(I655+I660),2)</f>
        <v>11923.41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7D01D-30A7-4199-9749-DD53C3C96ADC}">
  <sheetPr>
    <tabColor indexed="20"/>
  </sheetPr>
  <dimension ref="A1:C52"/>
  <sheetViews>
    <sheetView topLeftCell="A6" workbookViewId="0">
      <selection activeCell="C37" sqref="C37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CONCORD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17633183.179999996</v>
      </c>
      <c r="C9" s="230">
        <f>'DOE25'!G189+'DOE25'!G207+'DOE25'!G225+'DOE25'!G268+'DOE25'!G287+'DOE25'!G306</f>
        <v>7118983.7499999991</v>
      </c>
    </row>
    <row r="10" spans="1:3" x14ac:dyDescent="0.2">
      <c r="A10" t="s">
        <v>813</v>
      </c>
      <c r="B10" s="241">
        <v>16201439.74</v>
      </c>
      <c r="C10" s="241">
        <f>+B10/B9*C9</f>
        <v>6540950.9478971018</v>
      </c>
    </row>
    <row r="11" spans="1:3" x14ac:dyDescent="0.2">
      <c r="A11" t="s">
        <v>814</v>
      </c>
      <c r="B11" s="241">
        <v>20059.79</v>
      </c>
      <c r="C11" s="241">
        <f>+B11/B9*C9</f>
        <v>8098.6692862344844</v>
      </c>
    </row>
    <row r="12" spans="1:3" x14ac:dyDescent="0.2">
      <c r="A12" t="s">
        <v>815</v>
      </c>
      <c r="B12" s="241">
        <f>+B9-B10-B11</f>
        <v>1411683.6499999957</v>
      </c>
      <c r="C12" s="241">
        <f>+B12/B9*C9</f>
        <v>569934.13281666243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17633183.179999996</v>
      </c>
      <c r="C13" s="232">
        <f>SUM(C10:C12)</f>
        <v>7118983.7499999981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8040334.1599999992</v>
      </c>
      <c r="C18" s="230">
        <f>'DOE25'!G190+'DOE25'!G208+'DOE25'!G226+'DOE25'!G269+'DOE25'!G288+'DOE25'!G307</f>
        <v>2925495.21</v>
      </c>
    </row>
    <row r="19" spans="1:3" x14ac:dyDescent="0.2">
      <c r="A19" t="s">
        <v>813</v>
      </c>
      <c r="B19" s="241">
        <v>3103609.56</v>
      </c>
      <c r="C19" s="241">
        <f>+B19/B18*C18</f>
        <v>1129255.914096263</v>
      </c>
    </row>
    <row r="20" spans="1:3" x14ac:dyDescent="0.2">
      <c r="A20" t="s">
        <v>814</v>
      </c>
      <c r="B20" s="241">
        <v>3054376.52</v>
      </c>
      <c r="C20" s="241">
        <f>+B20/B18*C18</f>
        <v>1111342.352317913</v>
      </c>
    </row>
    <row r="21" spans="1:3" x14ac:dyDescent="0.2">
      <c r="A21" t="s">
        <v>815</v>
      </c>
      <c r="B21" s="241">
        <f>+B18-B19-B20</f>
        <v>1882348.0799999996</v>
      </c>
      <c r="C21" s="241">
        <f>+B21/B18*C18</f>
        <v>684896.94358582434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8040334.1600000001</v>
      </c>
      <c r="C22" s="232">
        <f>SUM(C19:C21)</f>
        <v>2925495.21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824284.42</v>
      </c>
      <c r="C27" s="235">
        <f>'DOE25'!G191+'DOE25'!G209+'DOE25'!G227+'DOE25'!G270+'DOE25'!G289+'DOE25'!G308</f>
        <v>333001.59000000003</v>
      </c>
    </row>
    <row r="28" spans="1:3" x14ac:dyDescent="0.2">
      <c r="A28" t="s">
        <v>813</v>
      </c>
      <c r="B28" s="241">
        <v>653289.61</v>
      </c>
      <c r="C28" s="241">
        <f>+B28/B27*C27</f>
        <v>263921.61926399131</v>
      </c>
    </row>
    <row r="29" spans="1:3" x14ac:dyDescent="0.2">
      <c r="A29" t="s">
        <v>814</v>
      </c>
      <c r="B29" s="241">
        <v>3342.88</v>
      </c>
      <c r="C29" s="241">
        <f>+B29/B27*C27</f>
        <v>1350.4857403215265</v>
      </c>
    </row>
    <row r="30" spans="1:3" x14ac:dyDescent="0.2">
      <c r="A30" t="s">
        <v>815</v>
      </c>
      <c r="B30" s="241">
        <f>+B27-B28-B29</f>
        <v>167651.93000000005</v>
      </c>
      <c r="C30" s="241">
        <f>+B30/B27*C27</f>
        <v>67729.484995687191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824284.42</v>
      </c>
      <c r="C31" s="232">
        <f>SUM(C28:C30)</f>
        <v>333001.59000000003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718237.98</v>
      </c>
      <c r="C36" s="236">
        <f>'DOE25'!G192+'DOE25'!G210+'DOE25'!G228+'DOE25'!G271+'DOE25'!G290+'DOE25'!G309</f>
        <v>155720.13999999998</v>
      </c>
    </row>
    <row r="37" spans="1:3" x14ac:dyDescent="0.2">
      <c r="A37" t="s">
        <v>813</v>
      </c>
      <c r="B37" s="241">
        <v>0</v>
      </c>
      <c r="C37" s="241">
        <f>+B37/B36*C36</f>
        <v>0</v>
      </c>
    </row>
    <row r="38" spans="1:3" x14ac:dyDescent="0.2">
      <c r="A38" t="s">
        <v>814</v>
      </c>
      <c r="B38" s="241">
        <v>0</v>
      </c>
      <c r="C38" s="241">
        <f>+B38/B36*C36</f>
        <v>0</v>
      </c>
    </row>
    <row r="39" spans="1:3" x14ac:dyDescent="0.2">
      <c r="A39" t="s">
        <v>815</v>
      </c>
      <c r="B39" s="241">
        <f>+B36-B37-B38</f>
        <v>718237.98</v>
      </c>
      <c r="C39" s="241">
        <f>+B39/B36*C36</f>
        <v>155720.13999999998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718237.98</v>
      </c>
      <c r="C40" s="232">
        <f>SUM(C37:C39)</f>
        <v>155720.13999999998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F0594-762F-4471-909C-A274C1DE8D23}">
  <sheetPr>
    <tabColor indexed="11"/>
  </sheetPr>
  <dimension ref="A1:I51"/>
  <sheetViews>
    <sheetView workbookViewId="0">
      <pane ySplit="4" topLeftCell="A35" activePane="bottomLeft" state="frozen"/>
      <selection pane="bottomLeft" activeCell="F14" sqref="F1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CONCORD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37851464.969999999</v>
      </c>
      <c r="D5" s="20">
        <f>SUM('DOE25'!L189:L192)+SUM('DOE25'!L207:L210)+SUM('DOE25'!L225:L228)-F5-G5</f>
        <v>37704699.75</v>
      </c>
      <c r="E5" s="244"/>
      <c r="F5" s="256">
        <f>SUM('DOE25'!J189:J192)+SUM('DOE25'!J207:J210)+SUM('DOE25'!J225:J228)</f>
        <v>124196.23</v>
      </c>
      <c r="G5" s="53">
        <f>SUM('DOE25'!K189:K192)+SUM('DOE25'!K207:K210)+SUM('DOE25'!K225:K228)</f>
        <v>22568.989999999998</v>
      </c>
      <c r="H5" s="260"/>
    </row>
    <row r="6" spans="1:9" x14ac:dyDescent="0.2">
      <c r="A6" s="32">
        <v>2100</v>
      </c>
      <c r="B6" t="s">
        <v>835</v>
      </c>
      <c r="C6" s="246">
        <f t="shared" si="0"/>
        <v>4645661.82</v>
      </c>
      <c r="D6" s="20">
        <f>'DOE25'!L194+'DOE25'!L212+'DOE25'!L230-F6-G6</f>
        <v>4631515.74</v>
      </c>
      <c r="E6" s="244"/>
      <c r="F6" s="256">
        <f>'DOE25'!J194+'DOE25'!J212+'DOE25'!J230</f>
        <v>13641.08</v>
      </c>
      <c r="G6" s="53">
        <f>'DOE25'!K194+'DOE25'!K212+'DOE25'!K230</f>
        <v>505</v>
      </c>
      <c r="H6" s="260"/>
    </row>
    <row r="7" spans="1:9" x14ac:dyDescent="0.2">
      <c r="A7" s="32">
        <v>2200</v>
      </c>
      <c r="B7" t="s">
        <v>868</v>
      </c>
      <c r="C7" s="246">
        <f t="shared" si="0"/>
        <v>2296155.81</v>
      </c>
      <c r="D7" s="20">
        <f>'DOE25'!L195+'DOE25'!L213+'DOE25'!L231-F7-G7</f>
        <v>2203542.1800000002</v>
      </c>
      <c r="E7" s="244"/>
      <c r="F7" s="256">
        <f>'DOE25'!J195+'DOE25'!J213+'DOE25'!J231</f>
        <v>91991.63</v>
      </c>
      <c r="G7" s="53">
        <f>'DOE25'!K195+'DOE25'!K213+'DOE25'!K231</f>
        <v>622</v>
      </c>
      <c r="H7" s="260"/>
    </row>
    <row r="8" spans="1:9" x14ac:dyDescent="0.2">
      <c r="A8" s="32">
        <v>2300</v>
      </c>
      <c r="B8" t="s">
        <v>836</v>
      </c>
      <c r="C8" s="246">
        <f t="shared" si="0"/>
        <v>692541.42999999993</v>
      </c>
      <c r="D8" s="244"/>
      <c r="E8" s="20">
        <f>'DOE25'!L196+'DOE25'!L214+'DOE25'!L232-F8-G8-D9-D11</f>
        <v>669737.94999999995</v>
      </c>
      <c r="F8" s="256">
        <f>'DOE25'!J196+'DOE25'!J214+'DOE25'!J232</f>
        <v>10000</v>
      </c>
      <c r="G8" s="53">
        <f>'DOE25'!K196+'DOE25'!K214+'DOE25'!K232</f>
        <v>12803.48</v>
      </c>
      <c r="H8" s="260"/>
    </row>
    <row r="9" spans="1:9" x14ac:dyDescent="0.2">
      <c r="A9" s="32">
        <v>2310</v>
      </c>
      <c r="B9" t="s">
        <v>852</v>
      </c>
      <c r="C9" s="246">
        <f t="shared" si="0"/>
        <v>19544.13</v>
      </c>
      <c r="D9" s="245">
        <v>19544.13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44000</v>
      </c>
      <c r="D10" s="244"/>
      <c r="E10" s="245">
        <v>44000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222854.91</v>
      </c>
      <c r="D11" s="245">
        <f>52464.38+170390.53</f>
        <v>222854.91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3551145.02</v>
      </c>
      <c r="D12" s="20">
        <f>'DOE25'!L197+'DOE25'!L215+'DOE25'!L233-F12-G12</f>
        <v>3533335.34</v>
      </c>
      <c r="E12" s="244"/>
      <c r="F12" s="256">
        <f>'DOE25'!J197+'DOE25'!J215+'DOE25'!J233</f>
        <v>2269.7399999999998</v>
      </c>
      <c r="G12" s="53">
        <f>'DOE25'!K197+'DOE25'!K215+'DOE25'!K233</f>
        <v>15539.94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605862.77</v>
      </c>
      <c r="D13" s="244"/>
      <c r="E13" s="20">
        <f>'DOE25'!L198+'DOE25'!L216+'DOE25'!L234-F13-G13</f>
        <v>603701.51</v>
      </c>
      <c r="F13" s="256">
        <f>'DOE25'!J198+'DOE25'!J216+'DOE25'!J234</f>
        <v>0</v>
      </c>
      <c r="G13" s="53">
        <f>'DOE25'!K198+'DOE25'!K216+'DOE25'!K234</f>
        <v>2161.2600000000002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6230224.3200000003</v>
      </c>
      <c r="D14" s="20">
        <f>'DOE25'!L199+'DOE25'!L217+'DOE25'!L235-F14-G14</f>
        <v>6147474.3000000007</v>
      </c>
      <c r="E14" s="244"/>
      <c r="F14" s="256">
        <f>'DOE25'!J199+'DOE25'!J217+'DOE25'!J235</f>
        <v>81990.02</v>
      </c>
      <c r="G14" s="53">
        <f>'DOE25'!K199+'DOE25'!K217+'DOE25'!K235</f>
        <v>760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2489916.2999999998</v>
      </c>
      <c r="D15" s="20">
        <f>'DOE25'!L200+'DOE25'!L218+'DOE25'!L236-F15-G15</f>
        <v>2290449.8299999996</v>
      </c>
      <c r="E15" s="244"/>
      <c r="F15" s="256">
        <f>'DOE25'!J200+'DOE25'!J218+'DOE25'!J236</f>
        <v>197947.77000000002</v>
      </c>
      <c r="G15" s="53">
        <f>'DOE25'!K200+'DOE25'!K218+'DOE25'!K236</f>
        <v>1518.6999999999998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426771.83999999997</v>
      </c>
      <c r="D16" s="244"/>
      <c r="E16" s="20">
        <f>'DOE25'!L201+'DOE25'!L219+'DOE25'!L237-F16-G16</f>
        <v>426501.82999999996</v>
      </c>
      <c r="F16" s="256">
        <f>'DOE25'!J201+'DOE25'!J219+'DOE25'!J237</f>
        <v>0</v>
      </c>
      <c r="G16" s="53">
        <f>'DOE25'!K201+'DOE25'!K219+'DOE25'!K237</f>
        <v>270.01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579908.34999999986</v>
      </c>
      <c r="D17" s="20">
        <f>'DOE25'!L243-F17-G17</f>
        <v>568480.8899999999</v>
      </c>
      <c r="E17" s="244"/>
      <c r="F17" s="256">
        <f>'DOE25'!J243</f>
        <v>791.97</v>
      </c>
      <c r="G17" s="53">
        <f>'DOE25'!K243</f>
        <v>10635.49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478548.18</v>
      </c>
      <c r="D22" s="244"/>
      <c r="E22" s="244"/>
      <c r="F22" s="256">
        <f>'DOE25'!L247+'DOE25'!L328</f>
        <v>478548.18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2219530.19</v>
      </c>
      <c r="D25" s="244"/>
      <c r="E25" s="244"/>
      <c r="F25" s="259"/>
      <c r="G25" s="257"/>
      <c r="H25" s="258">
        <f>'DOE25'!L252+'DOE25'!L253+'DOE25'!L333+'DOE25'!L334</f>
        <v>2219530.19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874139.19000000018</v>
      </c>
      <c r="D29" s="20">
        <f>'DOE25'!L350+'DOE25'!L351+'DOE25'!L352-'DOE25'!I359-F29-G29</f>
        <v>858538.15000000014</v>
      </c>
      <c r="E29" s="244"/>
      <c r="F29" s="256">
        <f>'DOE25'!J350+'DOE25'!J351+'DOE25'!J352</f>
        <v>14637.599999999999</v>
      </c>
      <c r="G29" s="53">
        <f>'DOE25'!K350+'DOE25'!K351+'DOE25'!K352</f>
        <v>963.44000000000233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4770136.22</v>
      </c>
      <c r="D31" s="20">
        <f>'DOE25'!L282+'DOE25'!L301+'DOE25'!L320+'DOE25'!L325+'DOE25'!L326+'DOE25'!L327-F31-G31</f>
        <v>4568658.0799999991</v>
      </c>
      <c r="E31" s="244"/>
      <c r="F31" s="256">
        <f>'DOE25'!J282+'DOE25'!J301+'DOE25'!J320+'DOE25'!J325+'DOE25'!J326+'DOE25'!J327</f>
        <v>189935.82</v>
      </c>
      <c r="G31" s="53">
        <f>'DOE25'!K282+'DOE25'!K301+'DOE25'!K320+'DOE25'!K325+'DOE25'!K326+'DOE25'!K327</f>
        <v>11542.32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62749093.29999999</v>
      </c>
      <c r="E33" s="247">
        <f>SUM(E5:E31)</f>
        <v>1743941.29</v>
      </c>
      <c r="F33" s="247">
        <f>SUM(F5:F31)</f>
        <v>1205950.04</v>
      </c>
      <c r="G33" s="247">
        <f>SUM(G5:G31)</f>
        <v>79890.63</v>
      </c>
      <c r="H33" s="247">
        <f>SUM(H5:H31)</f>
        <v>2219530.19</v>
      </c>
    </row>
    <row r="35" spans="2:8" ht="12" thickBot="1" x14ac:dyDescent="0.25">
      <c r="B35" s="254" t="s">
        <v>881</v>
      </c>
      <c r="D35" s="255">
        <f>E33</f>
        <v>1743941.29</v>
      </c>
      <c r="E35" s="250"/>
    </row>
    <row r="36" spans="2:8" ht="12" thickTop="1" x14ac:dyDescent="0.2">
      <c r="B36" t="s">
        <v>849</v>
      </c>
      <c r="D36" s="20">
        <f>D33</f>
        <v>62749093.29999999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A6B0-B2D8-4C32-80A5-80B014E6C707}">
  <sheetPr transitionEvaluation="1" codeName="Sheet2">
    <tabColor indexed="10"/>
  </sheetPr>
  <dimension ref="A1:I156"/>
  <sheetViews>
    <sheetView zoomScale="75" workbookViewId="0">
      <pane ySplit="2" topLeftCell="A141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CONCORD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125960.89</v>
      </c>
      <c r="D9" s="95">
        <f>'DOE25'!G9</f>
        <v>207736</v>
      </c>
      <c r="E9" s="95">
        <f>'DOE25'!H9</f>
        <v>-209321.71</v>
      </c>
      <c r="F9" s="95">
        <f>'DOE25'!I9</f>
        <v>191166.04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8455466.620000001</v>
      </c>
      <c r="G10" s="95">
        <f>'DOE25'!J10</f>
        <v>7393000.8699999992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9723805.6999999993</v>
      </c>
      <c r="D12" s="95">
        <f>'DOE25'!G12</f>
        <v>547505.78</v>
      </c>
      <c r="E12" s="95">
        <f>'DOE25'!H12</f>
        <v>3989219.41</v>
      </c>
      <c r="F12" s="95">
        <f>'DOE25'!I12</f>
        <v>2089263.21</v>
      </c>
      <c r="G12" s="95">
        <f>'DOE25'!J12</f>
        <v>18250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0.3</v>
      </c>
      <c r="F13" s="95">
        <f>'DOE25'!I13</f>
        <v>0</v>
      </c>
      <c r="G13" s="95">
        <f>'DOE25'!J13</f>
        <v>295654.5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479599.83999999997</v>
      </c>
      <c r="D14" s="95">
        <f>'DOE25'!G14</f>
        <v>50969.59</v>
      </c>
      <c r="E14" s="95">
        <f>'DOE25'!H14</f>
        <v>1300597.8400000001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166534.53</v>
      </c>
      <c r="D16" s="95">
        <f>'DOE25'!G16</f>
        <v>23571.98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93300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10589200.959999999</v>
      </c>
      <c r="D19" s="41">
        <f>SUM(D9:D18)</f>
        <v>829783.35</v>
      </c>
      <c r="E19" s="41">
        <f>SUM(E9:E18)</f>
        <v>5080495.84</v>
      </c>
      <c r="F19" s="41">
        <f>SUM(F9:F18)</f>
        <v>10735895.870000001</v>
      </c>
      <c r="G19" s="41">
        <f>SUM(G9:G18)</f>
        <v>7706905.3699999992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6931239.5999999996</v>
      </c>
      <c r="D22" s="95">
        <f>'DOE25'!G23</f>
        <v>585492.56999999995</v>
      </c>
      <c r="E22" s="95">
        <f>'DOE25'!H23</f>
        <v>4855561.9400000004</v>
      </c>
      <c r="F22" s="95">
        <f>'DOE25'!I23</f>
        <v>4272592.74</v>
      </c>
      <c r="G22" s="95">
        <f>'DOE25'!J23</f>
        <v>18250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204951.77000000002</v>
      </c>
      <c r="D24" s="95">
        <f>'DOE25'!G25</f>
        <v>5626.2</v>
      </c>
      <c r="E24" s="95">
        <f>'DOE25'!H25</f>
        <v>49368.55</v>
      </c>
      <c r="F24" s="95">
        <f>'DOE25'!I25</f>
        <v>41623.269999999997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119991.85</v>
      </c>
      <c r="D28" s="95">
        <f>'DOE25'!G29</f>
        <v>4118.05</v>
      </c>
      <c r="E28" s="95">
        <f>'DOE25'!H29</f>
        <v>26508.29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240617.41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55311.61</v>
      </c>
      <c r="D30" s="95">
        <f>'DOE25'!G31</f>
        <v>22390.83</v>
      </c>
      <c r="E30" s="95">
        <f>'DOE25'!H31</f>
        <v>31796.37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25</v>
      </c>
      <c r="E31" s="95">
        <f>'DOE25'!H32</f>
        <v>5236.22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7552112.2399999993</v>
      </c>
      <c r="D32" s="41">
        <f>SUM(D22:D31)</f>
        <v>617652.64999999991</v>
      </c>
      <c r="E32" s="41">
        <f>SUM(E22:E31)</f>
        <v>4968471.37</v>
      </c>
      <c r="F32" s="41">
        <f>SUM(F22:F31)</f>
        <v>4314216.01</v>
      </c>
      <c r="G32" s="41">
        <f>SUM(G22:G31)</f>
        <v>18250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810465.57</v>
      </c>
      <c r="D36" s="95">
        <f>'DOE25'!G37</f>
        <v>84748.32</v>
      </c>
      <c r="E36" s="95">
        <f>'DOE25'!H37</f>
        <v>212829.01</v>
      </c>
      <c r="F36" s="95">
        <f>'DOE25'!I37</f>
        <v>5738415.7699999996</v>
      </c>
      <c r="G36" s="95">
        <f>'DOE25'!J37</f>
        <v>4750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166534.53</v>
      </c>
      <c r="D40" s="95">
        <f>'DOE25'!G41</f>
        <v>127382.38</v>
      </c>
      <c r="E40" s="95">
        <f>'DOE25'!H41</f>
        <v>-100804.54000000001</v>
      </c>
      <c r="F40" s="95">
        <f>'DOE25'!I41</f>
        <v>683264.09000000043</v>
      </c>
      <c r="G40" s="95">
        <f>'DOE25'!J41</f>
        <v>7683905.3699999992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2060088.6199999996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3037088.7199999997</v>
      </c>
      <c r="D42" s="41">
        <f>SUM(D34:D41)</f>
        <v>212130.7</v>
      </c>
      <c r="E42" s="41">
        <f>SUM(E34:E41)</f>
        <v>112024.47</v>
      </c>
      <c r="F42" s="41">
        <f>SUM(F34:F41)</f>
        <v>6421679.8600000003</v>
      </c>
      <c r="G42" s="41">
        <f>SUM(G34:G41)</f>
        <v>7688655.3699999992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10589200.959999999</v>
      </c>
      <c r="D43" s="41">
        <f>D42+D32</f>
        <v>829783.34999999986</v>
      </c>
      <c r="E43" s="41">
        <f>E42+E32</f>
        <v>5080495.84</v>
      </c>
      <c r="F43" s="41">
        <f>F42+F32</f>
        <v>10735895.870000001</v>
      </c>
      <c r="G43" s="41">
        <f>G42+G32</f>
        <v>7706905.3699999992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33446849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4148039.5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81134.109999999986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25348.11</v>
      </c>
      <c r="D51" s="95">
        <f>'DOE25'!G88</f>
        <v>360.73</v>
      </c>
      <c r="E51" s="95">
        <f>'DOE25'!H88</f>
        <v>0</v>
      </c>
      <c r="F51" s="95">
        <f>'DOE25'!I88</f>
        <v>-19881.559999999998</v>
      </c>
      <c r="G51" s="95">
        <f>'DOE25'!J88</f>
        <v>22047.97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741913.35000000009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311533.14</v>
      </c>
      <c r="D53" s="95">
        <f>SUM('DOE25'!G90:G102)</f>
        <v>13349.189999999999</v>
      </c>
      <c r="E53" s="95">
        <f>SUM('DOE25'!H90:H102)</f>
        <v>78381.13</v>
      </c>
      <c r="F53" s="95">
        <f>SUM('DOE25'!I90:I102)</f>
        <v>0</v>
      </c>
      <c r="G53" s="95">
        <f>SUM('DOE25'!J90:J102)</f>
        <v>7251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4566054.8600000003</v>
      </c>
      <c r="D54" s="130">
        <f>SUM(D49:D53)</f>
        <v>755623.27</v>
      </c>
      <c r="E54" s="130">
        <f>SUM(E49:E53)</f>
        <v>78381.13</v>
      </c>
      <c r="F54" s="130">
        <f>SUM(F49:F53)</f>
        <v>-19881.559999999998</v>
      </c>
      <c r="G54" s="130">
        <f>SUM(G49:G53)</f>
        <v>29298.97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38012903.859999999</v>
      </c>
      <c r="D55" s="22">
        <f>D48+D54</f>
        <v>755623.27</v>
      </c>
      <c r="E55" s="22">
        <f>E48+E54</f>
        <v>78381.13</v>
      </c>
      <c r="F55" s="22">
        <f>F48+F54</f>
        <v>-19881.559999999998</v>
      </c>
      <c r="G55" s="22">
        <f>G48+G54</f>
        <v>29298.97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9506622.3399999999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8410188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3647394.66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41300.07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21605505.07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500888.02</v>
      </c>
      <c r="D64" s="24" t="s">
        <v>312</v>
      </c>
      <c r="E64" s="24" t="s">
        <v>312</v>
      </c>
      <c r="F64" s="95">
        <f>'DOE25'!I115</f>
        <v>3799.34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511772.71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681814.75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32550</v>
      </c>
      <c r="D69" s="95">
        <f>SUM('DOE25'!G123:G127)</f>
        <v>45716.5</v>
      </c>
      <c r="E69" s="95">
        <f>SUM('DOE25'!H123:H127)</f>
        <v>369271.02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1727025.48</v>
      </c>
      <c r="D70" s="130">
        <f>SUM(D64:D69)</f>
        <v>45716.5</v>
      </c>
      <c r="E70" s="130">
        <f>SUM(E64:E69)</f>
        <v>369271.02</v>
      </c>
      <c r="F70" s="130">
        <f>SUM(F64:F69)</f>
        <v>3799.34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23332530.550000001</v>
      </c>
      <c r="D73" s="130">
        <f>SUM(D71:D72)+D70+D62</f>
        <v>45716.5</v>
      </c>
      <c r="E73" s="130">
        <f>SUM(E71:E72)+E70+E62</f>
        <v>369271.02</v>
      </c>
      <c r="F73" s="130">
        <f>SUM(F71:F72)+F70+F62</f>
        <v>3799.34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1056672.82</v>
      </c>
      <c r="D80" s="95">
        <f>SUM('DOE25'!G145:G153)</f>
        <v>764141.89</v>
      </c>
      <c r="E80" s="95">
        <f>SUM('DOE25'!H145:H153)</f>
        <v>4480204.2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1056672.82</v>
      </c>
      <c r="D83" s="131">
        <f>SUM(D77:D82)</f>
        <v>764141.89</v>
      </c>
      <c r="E83" s="131">
        <f>SUM(E77:E82)</f>
        <v>4480204.2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10147234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6846.99</v>
      </c>
      <c r="E88" s="95">
        <f>'DOE25'!H171</f>
        <v>0</v>
      </c>
      <c r="F88" s="95">
        <f>'DOE25'!I171</f>
        <v>0</v>
      </c>
      <c r="G88" s="95">
        <f>'DOE25'!J171</f>
        <v>1865718</v>
      </c>
    </row>
    <row r="89" spans="1:7" x14ac:dyDescent="0.2">
      <c r="A89" t="s">
        <v>790</v>
      </c>
      <c r="B89" s="32" t="s">
        <v>211</v>
      </c>
      <c r="C89" s="95">
        <f>SUM('DOE25'!F172:F173)</f>
        <v>113033.5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90921.98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627359.5</v>
      </c>
      <c r="D92" s="95">
        <f>SUM('DOE25'!G178:G179)</f>
        <v>0</v>
      </c>
      <c r="E92" s="95">
        <f>SUM('DOE25'!H178:H179)</f>
        <v>0</v>
      </c>
      <c r="F92" s="95">
        <f>SUM('DOE25'!I178:I179)</f>
        <v>389993.2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350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831664.98</v>
      </c>
      <c r="D95" s="86">
        <f>SUM(D85:D94)</f>
        <v>6846.99</v>
      </c>
      <c r="E95" s="86">
        <f>SUM(E85:E94)</f>
        <v>0</v>
      </c>
      <c r="F95" s="86">
        <f>SUM(F85:F94)</f>
        <v>10537227.199999999</v>
      </c>
      <c r="G95" s="86">
        <f>SUM(G85:G94)</f>
        <v>1865718</v>
      </c>
    </row>
    <row r="96" spans="1:7" ht="12.75" thickTop="1" thickBot="1" x14ac:dyDescent="0.25">
      <c r="A96" s="33" t="s">
        <v>797</v>
      </c>
      <c r="C96" s="86">
        <f>C55+C73+C83+C95</f>
        <v>63233772.209999993</v>
      </c>
      <c r="D96" s="86">
        <f>D55+D73+D83+D95</f>
        <v>1572328.6500000001</v>
      </c>
      <c r="E96" s="86">
        <f>E55+E73+E83+E95</f>
        <v>4927856.3500000006</v>
      </c>
      <c r="F96" s="86">
        <f>F55+F73+F83+F95</f>
        <v>10521144.979999999</v>
      </c>
      <c r="G96" s="86">
        <f>G55+G73+G95</f>
        <v>1895016.97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25670783.75</v>
      </c>
      <c r="D101" s="24" t="s">
        <v>312</v>
      </c>
      <c r="E101" s="95">
        <f>('DOE25'!L268)+('DOE25'!L287)+('DOE25'!L306)</f>
        <v>181602.66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10303796.65</v>
      </c>
      <c r="D102" s="24" t="s">
        <v>312</v>
      </c>
      <c r="E102" s="95">
        <f>('DOE25'!L269)+('DOE25'!L288)+('DOE25'!L307)</f>
        <v>2568559.7399999998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1038619.26</v>
      </c>
      <c r="D103" s="24" t="s">
        <v>312</v>
      </c>
      <c r="E103" s="95">
        <f>('DOE25'!L270)+('DOE25'!L289)+('DOE25'!L308)</f>
        <v>264207.02999999997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838265.30999999994</v>
      </c>
      <c r="D104" s="24" t="s">
        <v>312</v>
      </c>
      <c r="E104" s="95">
        <f>+('DOE25'!L271)+('DOE25'!L290)+('DOE25'!L309)</f>
        <v>231273.97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579908.34999999986</v>
      </c>
      <c r="D106" s="24" t="s">
        <v>312</v>
      </c>
      <c r="E106" s="95">
        <f>+ SUM('DOE25'!L325:L327)</f>
        <v>319566.90000000002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38431373.32</v>
      </c>
      <c r="D107" s="86">
        <f>SUM(D101:D106)</f>
        <v>0</v>
      </c>
      <c r="E107" s="86">
        <f>SUM(E101:E106)</f>
        <v>3565210.3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4645661.82</v>
      </c>
      <c r="D110" s="24" t="s">
        <v>312</v>
      </c>
      <c r="E110" s="95">
        <f>+('DOE25'!L273)+('DOE25'!L292)+('DOE25'!L311)</f>
        <v>535708.05000000005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2296155.81</v>
      </c>
      <c r="D111" s="24" t="s">
        <v>312</v>
      </c>
      <c r="E111" s="95">
        <f>+('DOE25'!L274)+('DOE25'!L293)+('DOE25'!L312)</f>
        <v>530377.41999999993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934940.47</v>
      </c>
      <c r="D112" s="24" t="s">
        <v>312</v>
      </c>
      <c r="E112" s="95">
        <f>+('DOE25'!L275)+('DOE25'!L294)+('DOE25'!L313)</f>
        <v>91759.920000000013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3551145.02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605862.77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6230224.3200000003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2489916.2999999998</v>
      </c>
      <c r="D116" s="24" t="s">
        <v>312</v>
      </c>
      <c r="E116" s="95">
        <f>+('DOE25'!L279)+('DOE25'!L298)+('DOE25'!L317)</f>
        <v>34143.94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426771.83999999997</v>
      </c>
      <c r="D117" s="24" t="s">
        <v>312</v>
      </c>
      <c r="E117" s="95">
        <f>+('DOE25'!L280)+('DOE25'!L299)+('DOE25'!L318)</f>
        <v>12936.59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1597745.1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21180678.350000001</v>
      </c>
      <c r="D120" s="86">
        <f>SUM(D110:D119)</f>
        <v>1597745.1</v>
      </c>
      <c r="E120" s="86">
        <f>SUM(E110:E119)</f>
        <v>1204925.92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392688.72</v>
      </c>
      <c r="D122" s="24" t="s">
        <v>312</v>
      </c>
      <c r="E122" s="129">
        <f>'DOE25'!L328</f>
        <v>85859.46</v>
      </c>
      <c r="F122" s="129">
        <f>SUM('DOE25'!L366:'DOE25'!L372)</f>
        <v>4460547.8499999996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1789601.64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429928.55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39949.410000000003</v>
      </c>
      <c r="E126" s="95">
        <f>'DOE25'!L336</f>
        <v>73084.09</v>
      </c>
      <c r="F126" s="95">
        <f>'DOE25'!K373</f>
        <v>90921.98</v>
      </c>
      <c r="G126" s="95">
        <f>'DOE25'!K426</f>
        <v>1017352.7</v>
      </c>
    </row>
    <row r="127" spans="1:7" x14ac:dyDescent="0.2">
      <c r="A127" t="s">
        <v>256</v>
      </c>
      <c r="B127" s="32" t="s">
        <v>257</v>
      </c>
      <c r="C127" s="95">
        <f>'DOE25'!L255</f>
        <v>6846.99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1895016.97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-29298.969999999972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4484783.9000000004</v>
      </c>
      <c r="D136" s="141">
        <f>SUM(D122:D135)</f>
        <v>39949.410000000003</v>
      </c>
      <c r="E136" s="141">
        <f>SUM(E122:E135)</f>
        <v>158943.54999999999</v>
      </c>
      <c r="F136" s="141">
        <f>SUM(F122:F135)</f>
        <v>4551469.83</v>
      </c>
      <c r="G136" s="141">
        <f>SUM(G122:G135)</f>
        <v>1017352.7</v>
      </c>
    </row>
    <row r="137" spans="1:9" ht="12.75" thickTop="1" thickBot="1" x14ac:dyDescent="0.25">
      <c r="A137" s="33" t="s">
        <v>267</v>
      </c>
      <c r="C137" s="86">
        <f>(C107+C120+C136)</f>
        <v>64096835.57</v>
      </c>
      <c r="D137" s="86">
        <f>(D107+D120+D136)</f>
        <v>1637694.51</v>
      </c>
      <c r="E137" s="86">
        <f>(E107+E120+E136)</f>
        <v>4929079.7699999996</v>
      </c>
      <c r="F137" s="86">
        <f>(F107+F120+F136)</f>
        <v>4551469.83</v>
      </c>
      <c r="G137" s="86">
        <f>(G107+G120+G136)</f>
        <v>1017352.7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11/91 - 07/09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04/20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33198041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 t="str">
        <f>'DOE25'!F484</f>
        <v>See Attached Page for Details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11116396.609999999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11116396.609999999</v>
      </c>
    </row>
    <row r="149" spans="1:7" x14ac:dyDescent="0.2">
      <c r="A149" s="22" t="s">
        <v>33</v>
      </c>
      <c r="B149" s="137">
        <f>'DOE25'!F486</f>
        <v>587100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587100</v>
      </c>
    </row>
    <row r="150" spans="1:7" x14ac:dyDescent="0.2">
      <c r="A150" s="22" t="s">
        <v>34</v>
      </c>
      <c r="B150" s="137">
        <f>'DOE25'!F487</f>
        <v>1789601.64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1789601.64</v>
      </c>
    </row>
    <row r="151" spans="1:7" x14ac:dyDescent="0.2">
      <c r="A151" s="22" t="s">
        <v>35</v>
      </c>
      <c r="B151" s="137">
        <f>'DOE25'!F488</f>
        <v>9913894.9699999988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9913894.9699999988</v>
      </c>
    </row>
    <row r="152" spans="1:7" x14ac:dyDescent="0.2">
      <c r="A152" s="22" t="s">
        <v>36</v>
      </c>
      <c r="B152" s="137">
        <f>'DOE25'!F489</f>
        <v>1167996.52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1167996.52</v>
      </c>
    </row>
    <row r="153" spans="1:7" x14ac:dyDescent="0.2">
      <c r="A153" s="22" t="s">
        <v>37</v>
      </c>
      <c r="B153" s="137">
        <f>'DOE25'!F490</f>
        <v>11081891.489999998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11081891.489999998</v>
      </c>
    </row>
    <row r="154" spans="1:7" x14ac:dyDescent="0.2">
      <c r="A154" s="22" t="s">
        <v>38</v>
      </c>
      <c r="B154" s="137">
        <f>'DOE25'!F491</f>
        <v>1752399.99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1752399.99</v>
      </c>
    </row>
    <row r="155" spans="1:7" x14ac:dyDescent="0.2">
      <c r="A155" s="22" t="s">
        <v>39</v>
      </c>
      <c r="B155" s="137">
        <f>'DOE25'!F492</f>
        <v>365896.87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365896.87</v>
      </c>
    </row>
    <row r="156" spans="1:7" x14ac:dyDescent="0.2">
      <c r="A156" s="22" t="s">
        <v>269</v>
      </c>
      <c r="B156" s="137">
        <f>'DOE25'!F493</f>
        <v>2118296.86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2118296.86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9C4E9-B15F-44B7-8CD5-71116046884D}">
  <sheetPr codeName="Sheet3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CONCORD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13244</v>
      </c>
    </row>
    <row r="5" spans="1:4" x14ac:dyDescent="0.2">
      <c r="B5" t="s">
        <v>735</v>
      </c>
      <c r="C5" s="179">
        <f>IF('DOE25'!G655+'DOE25'!G660=0,0,ROUND('DOE25'!G662,0))</f>
        <v>11563</v>
      </c>
    </row>
    <row r="6" spans="1:4" x14ac:dyDescent="0.2">
      <c r="B6" t="s">
        <v>62</v>
      </c>
      <c r="C6" s="179">
        <f>IF('DOE25'!H655+'DOE25'!H660=0,0,ROUND('DOE25'!H662,0))</f>
        <v>10774</v>
      </c>
    </row>
    <row r="7" spans="1:4" x14ac:dyDescent="0.2">
      <c r="B7" t="s">
        <v>736</v>
      </c>
      <c r="C7" s="179">
        <f>IF('DOE25'!I655+'DOE25'!I660=0,0,ROUND('DOE25'!I662,0))</f>
        <v>11923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25852386</v>
      </c>
      <c r="D10" s="182">
        <f>ROUND((C10/$C$28)*100,1)</f>
        <v>39.4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12872356</v>
      </c>
      <c r="D11" s="182">
        <f>ROUND((C11/$C$28)*100,1)</f>
        <v>19.600000000000001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1302826</v>
      </c>
      <c r="D12" s="182">
        <f>ROUND((C12/$C$28)*100,1)</f>
        <v>2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1069539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5181370</v>
      </c>
      <c r="D15" s="182">
        <f t="shared" ref="D15:D27" si="0">ROUND((C15/$C$28)*100,1)</f>
        <v>7.9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2826533</v>
      </c>
      <c r="D16" s="182">
        <f t="shared" si="0"/>
        <v>4.3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1466409</v>
      </c>
      <c r="D17" s="182">
        <f t="shared" si="0"/>
        <v>2.2000000000000002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3551145</v>
      </c>
      <c r="D18" s="182">
        <f t="shared" si="0"/>
        <v>5.4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605863</v>
      </c>
      <c r="D19" s="182">
        <f t="shared" si="0"/>
        <v>0.9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6230224</v>
      </c>
      <c r="D20" s="182">
        <f t="shared" si="0"/>
        <v>9.5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2524060</v>
      </c>
      <c r="D21" s="182">
        <f t="shared" si="0"/>
        <v>3.8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899475</v>
      </c>
      <c r="D24" s="182">
        <f t="shared" si="0"/>
        <v>1.4</v>
      </c>
    </row>
    <row r="25" spans="1:4" x14ac:dyDescent="0.2">
      <c r="A25">
        <v>5120</v>
      </c>
      <c r="B25" t="s">
        <v>751</v>
      </c>
      <c r="C25" s="179">
        <f>ROUND('DOE25'!L253+'DOE25'!L334,0)</f>
        <v>429929</v>
      </c>
      <c r="D25" s="182">
        <f t="shared" si="0"/>
        <v>0.7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842482.46</v>
      </c>
      <c r="D27" s="182">
        <f t="shared" si="0"/>
        <v>1.3</v>
      </c>
    </row>
    <row r="28" spans="1:4" x14ac:dyDescent="0.2">
      <c r="B28" s="187" t="s">
        <v>754</v>
      </c>
      <c r="C28" s="180">
        <f>SUM(C10:C27)</f>
        <v>65654597.460000001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4939096</v>
      </c>
    </row>
    <row r="30" spans="1:4" x14ac:dyDescent="0.2">
      <c r="B30" s="187" t="s">
        <v>760</v>
      </c>
      <c r="C30" s="180">
        <f>SUM(C28:C29)</f>
        <v>70593693.460000008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1789602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33446849</v>
      </c>
      <c r="D35" s="182">
        <f t="shared" ref="D35:D40" si="1">ROUND((C35/$C$41)*100,1)</f>
        <v>49.1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4654214.1300000027</v>
      </c>
      <c r="D36" s="182">
        <f t="shared" si="1"/>
        <v>6.8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17916810</v>
      </c>
      <c r="D37" s="182">
        <f t="shared" si="1"/>
        <v>26.3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5834507</v>
      </c>
      <c r="D38" s="182">
        <f t="shared" si="1"/>
        <v>8.6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6301019</v>
      </c>
      <c r="D39" s="182">
        <f t="shared" si="1"/>
        <v>9.1999999999999993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350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68153749.129999995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10147234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5503-022E-4A10-AD32-7F7D96FF91A6}">
  <sheetPr>
    <tabColor indexed="17"/>
  </sheetPr>
  <dimension ref="A1:IV90"/>
  <sheetViews>
    <sheetView workbookViewId="0">
      <pane ySplit="3" topLeftCell="A4" activePane="bottomLeft" state="frozen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CONCORD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19</v>
      </c>
      <c r="B4" s="220">
        <v>6</v>
      </c>
      <c r="C4" s="280" t="s">
        <v>898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2010-10-28T15:26:10Z</cp:lastPrinted>
  <dcterms:created xsi:type="dcterms:W3CDTF">1997-12-04T19:04:30Z</dcterms:created>
  <dcterms:modified xsi:type="dcterms:W3CDTF">2025-01-02T14:22:59Z</dcterms:modified>
</cp:coreProperties>
</file>