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9756AD56-7545-4FD2-AF6F-6DF6E72F1F70}" xr6:coauthVersionLast="47" xr6:coauthVersionMax="47" xr10:uidLastSave="{00000000-0000-0000-0000-000000000000}"/>
  <workbookProtection workbookPassword="B70A" lockStructure="1"/>
  <bookViews>
    <workbookView xWindow="2895" yWindow="2895" windowWidth="21600" windowHeight="11505" tabRatio="855" xr2:uid="{426802F9-B4C5-4A46-A6E9-35C4C81FB12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9" i="1" l="1"/>
  <c r="F23" i="1"/>
  <c r="F14" i="1"/>
  <c r="F25" i="1"/>
  <c r="F9" i="1"/>
  <c r="G352" i="1"/>
  <c r="G351" i="1"/>
  <c r="G350" i="1"/>
  <c r="G455" i="1"/>
  <c r="G23" i="1"/>
  <c r="D22" i="2" s="1"/>
  <c r="D11" i="13"/>
  <c r="C11" i="13" s="1"/>
  <c r="C19" i="12"/>
  <c r="B19" i="12"/>
  <c r="B21" i="12"/>
  <c r="C21" i="12" s="1"/>
  <c r="B20" i="12"/>
  <c r="C20" i="12" s="1"/>
  <c r="C22" i="12" s="1"/>
  <c r="B22" i="12"/>
  <c r="H655" i="1"/>
  <c r="G655" i="1"/>
  <c r="B12" i="12"/>
  <c r="B11" i="12"/>
  <c r="C11" i="12" s="1"/>
  <c r="C13" i="12" s="1"/>
  <c r="B10" i="12"/>
  <c r="K258" i="1"/>
  <c r="L258" i="1"/>
  <c r="J171" i="1"/>
  <c r="G88" i="2" s="1"/>
  <c r="G95" i="2" s="1"/>
  <c r="J455" i="1"/>
  <c r="G432" i="1"/>
  <c r="G438" i="1" s="1"/>
  <c r="G630" i="1" s="1"/>
  <c r="J458" i="1"/>
  <c r="H621" i="1" s="1"/>
  <c r="H389" i="1"/>
  <c r="J88" i="1"/>
  <c r="G491" i="1"/>
  <c r="C154" i="2" s="1"/>
  <c r="G154" i="2" s="1"/>
  <c r="G487" i="1"/>
  <c r="C150" i="2"/>
  <c r="G492" i="1"/>
  <c r="C155" i="2" s="1"/>
  <c r="G155" i="2" s="1"/>
  <c r="G489" i="1"/>
  <c r="G488" i="1"/>
  <c r="F492" i="1"/>
  <c r="F493" i="1" s="1"/>
  <c r="F489" i="1"/>
  <c r="F488" i="1"/>
  <c r="H603" i="1"/>
  <c r="H604" i="1" s="1"/>
  <c r="H602" i="1"/>
  <c r="H601" i="1"/>
  <c r="I603" i="1"/>
  <c r="I602" i="1"/>
  <c r="I601" i="1"/>
  <c r="F603" i="1"/>
  <c r="G603" i="1" s="1"/>
  <c r="F602" i="1"/>
  <c r="G602" i="1" s="1"/>
  <c r="F601" i="1"/>
  <c r="G601" i="1" s="1"/>
  <c r="G604" i="1" s="1"/>
  <c r="I554" i="1"/>
  <c r="I553" i="1"/>
  <c r="I552" i="1"/>
  <c r="I555" i="1" s="1"/>
  <c r="H554" i="1"/>
  <c r="H553" i="1"/>
  <c r="H552" i="1"/>
  <c r="F554" i="1"/>
  <c r="G554" i="1" s="1"/>
  <c r="F553" i="1"/>
  <c r="L553" i="1" s="1"/>
  <c r="G553" i="1"/>
  <c r="F552" i="1"/>
  <c r="G552" i="1"/>
  <c r="G518" i="1"/>
  <c r="J518" i="1"/>
  <c r="J519" i="1" s="1"/>
  <c r="I517" i="1"/>
  <c r="L517" i="1" s="1"/>
  <c r="G540" i="1" s="1"/>
  <c r="I516" i="1"/>
  <c r="I519" i="1" s="1"/>
  <c r="K517" i="1"/>
  <c r="K512" i="1" s="1"/>
  <c r="K514" i="1" s="1"/>
  <c r="K535" i="1" s="1"/>
  <c r="K519" i="1"/>
  <c r="J517" i="1"/>
  <c r="J516" i="1"/>
  <c r="H533" i="1"/>
  <c r="L533" i="1" s="1"/>
  <c r="J541" i="1" s="1"/>
  <c r="H532" i="1"/>
  <c r="H531" i="1"/>
  <c r="L531" i="1" s="1"/>
  <c r="L532" i="1"/>
  <c r="J540" i="1" s="1"/>
  <c r="I523" i="1"/>
  <c r="I524" i="1" s="1"/>
  <c r="I522" i="1"/>
  <c r="I521" i="1"/>
  <c r="H523" i="1"/>
  <c r="H522" i="1"/>
  <c r="H521" i="1"/>
  <c r="F523" i="1"/>
  <c r="G523" i="1"/>
  <c r="F522" i="1"/>
  <c r="F521" i="1"/>
  <c r="G521" i="1" s="1"/>
  <c r="F518" i="1"/>
  <c r="F517" i="1"/>
  <c r="G517" i="1"/>
  <c r="F516" i="1"/>
  <c r="F519" i="1" s="1"/>
  <c r="G516" i="1"/>
  <c r="G519" i="1" s="1"/>
  <c r="G573" i="1"/>
  <c r="F572" i="1"/>
  <c r="H572" i="1"/>
  <c r="H573" i="1"/>
  <c r="G572" i="1"/>
  <c r="F573" i="1"/>
  <c r="G569" i="1"/>
  <c r="H585" i="1"/>
  <c r="H236" i="1"/>
  <c r="J581" i="1"/>
  <c r="J588" i="1" s="1"/>
  <c r="H641" i="1" s="1"/>
  <c r="J582" i="1"/>
  <c r="K582" i="1" s="1"/>
  <c r="I581" i="1"/>
  <c r="H581" i="1"/>
  <c r="H226" i="1"/>
  <c r="H513" i="1" s="1"/>
  <c r="H218" i="1"/>
  <c r="I585" i="1"/>
  <c r="I584" i="1"/>
  <c r="I582" i="1"/>
  <c r="H582" i="1"/>
  <c r="J225" i="1"/>
  <c r="J208" i="1"/>
  <c r="J512" i="1"/>
  <c r="J207" i="1"/>
  <c r="F5" i="13" s="1"/>
  <c r="J189" i="1"/>
  <c r="J226" i="1"/>
  <c r="J190" i="1"/>
  <c r="J511" i="1" s="1"/>
  <c r="H189" i="1"/>
  <c r="H231" i="1"/>
  <c r="H213" i="1"/>
  <c r="H195" i="1"/>
  <c r="H228" i="1"/>
  <c r="H239" i="1" s="1"/>
  <c r="H210" i="1"/>
  <c r="H225" i="1"/>
  <c r="H207" i="1"/>
  <c r="F207" i="1"/>
  <c r="F225" i="1"/>
  <c r="F189" i="1"/>
  <c r="F190" i="1"/>
  <c r="F226" i="1"/>
  <c r="F513" i="1"/>
  <c r="F208" i="1"/>
  <c r="J209" i="1"/>
  <c r="J210" i="1"/>
  <c r="J235" i="1"/>
  <c r="J217" i="1"/>
  <c r="J199" i="1"/>
  <c r="I189" i="1"/>
  <c r="I207" i="1"/>
  <c r="I225" i="1"/>
  <c r="I236" i="1"/>
  <c r="L236" i="1" s="1"/>
  <c r="I218" i="1"/>
  <c r="I200" i="1"/>
  <c r="I232" i="1"/>
  <c r="I214" i="1"/>
  <c r="I196" i="1"/>
  <c r="I226" i="1"/>
  <c r="I513" i="1"/>
  <c r="I208" i="1"/>
  <c r="I190" i="1"/>
  <c r="I511" i="1"/>
  <c r="H190" i="1"/>
  <c r="H511" i="1"/>
  <c r="H208" i="1"/>
  <c r="H512" i="1" s="1"/>
  <c r="H200" i="1"/>
  <c r="L200" i="1" s="1"/>
  <c r="H217" i="1"/>
  <c r="H235" i="1"/>
  <c r="H199" i="1"/>
  <c r="H232" i="1"/>
  <c r="H214" i="1"/>
  <c r="H196" i="1"/>
  <c r="H212" i="1"/>
  <c r="H221" i="1" s="1"/>
  <c r="I235" i="1"/>
  <c r="I217" i="1"/>
  <c r="I199" i="1"/>
  <c r="H230" i="1"/>
  <c r="H194" i="1"/>
  <c r="F227" i="1"/>
  <c r="F232" i="1"/>
  <c r="F231" i="1"/>
  <c r="F213" i="1"/>
  <c r="F195" i="1"/>
  <c r="F230" i="1"/>
  <c r="F212" i="1"/>
  <c r="F194" i="1"/>
  <c r="K232" i="1"/>
  <c r="K214" i="1"/>
  <c r="K196" i="1"/>
  <c r="K226" i="1"/>
  <c r="K513" i="1"/>
  <c r="K208" i="1"/>
  <c r="K190" i="1"/>
  <c r="K511" i="1"/>
  <c r="K225" i="1"/>
  <c r="K207" i="1"/>
  <c r="K189" i="1"/>
  <c r="K233" i="1"/>
  <c r="G12" i="13" s="1"/>
  <c r="K230" i="1"/>
  <c r="K228" i="1"/>
  <c r="K215" i="1"/>
  <c r="K209" i="1"/>
  <c r="K197" i="1"/>
  <c r="J231" i="1"/>
  <c r="J230" i="1"/>
  <c r="J228" i="1"/>
  <c r="J239" i="1" s="1"/>
  <c r="J594" i="1" s="1"/>
  <c r="J595" i="1" s="1"/>
  <c r="J212" i="1"/>
  <c r="F6" i="13" s="1"/>
  <c r="I233" i="1"/>
  <c r="I231" i="1"/>
  <c r="I230" i="1"/>
  <c r="I228" i="1"/>
  <c r="I227" i="1"/>
  <c r="I215" i="1"/>
  <c r="I213" i="1"/>
  <c r="I212" i="1"/>
  <c r="I210" i="1"/>
  <c r="I209" i="1"/>
  <c r="I197" i="1"/>
  <c r="I195" i="1"/>
  <c r="I194" i="1"/>
  <c r="I192" i="1"/>
  <c r="H233" i="1"/>
  <c r="H227" i="1"/>
  <c r="H215" i="1"/>
  <c r="H209" i="1"/>
  <c r="H197" i="1"/>
  <c r="H237" i="1"/>
  <c r="H192" i="1"/>
  <c r="F235" i="1"/>
  <c r="F217" i="1"/>
  <c r="F199" i="1"/>
  <c r="F214" i="1"/>
  <c r="F196" i="1"/>
  <c r="F233" i="1"/>
  <c r="F228" i="1"/>
  <c r="B39" i="12" s="1"/>
  <c r="B40" i="12" s="1"/>
  <c r="F215" i="1"/>
  <c r="F210" i="1"/>
  <c r="G210" i="1" s="1"/>
  <c r="F209" i="1"/>
  <c r="F197" i="1"/>
  <c r="F192" i="1"/>
  <c r="G192" i="1"/>
  <c r="F88" i="1"/>
  <c r="F55" i="1"/>
  <c r="F118" i="1"/>
  <c r="F90" i="1"/>
  <c r="F62" i="1"/>
  <c r="F61" i="1"/>
  <c r="F49" i="1"/>
  <c r="F52" i="1"/>
  <c r="F455" i="1"/>
  <c r="C22" i="2"/>
  <c r="C9" i="2"/>
  <c r="C36" i="2"/>
  <c r="F38" i="1"/>
  <c r="C37" i="2"/>
  <c r="C14" i="2"/>
  <c r="C24" i="2"/>
  <c r="F17" i="1"/>
  <c r="C17" i="2"/>
  <c r="H147" i="1"/>
  <c r="F268" i="1"/>
  <c r="L268" i="1" s="1"/>
  <c r="J308" i="1"/>
  <c r="J320" i="1" s="1"/>
  <c r="K308" i="1"/>
  <c r="K306" i="1"/>
  <c r="K325" i="1"/>
  <c r="K269" i="1"/>
  <c r="K268" i="1"/>
  <c r="K276" i="1"/>
  <c r="J288" i="1"/>
  <c r="J301" i="1" s="1"/>
  <c r="J269" i="1"/>
  <c r="J307" i="1"/>
  <c r="J268" i="1"/>
  <c r="I325" i="1"/>
  <c r="I329" i="1" s="1"/>
  <c r="L329" i="1" s="1"/>
  <c r="I308" i="1"/>
  <c r="I320" i="1" s="1"/>
  <c r="I288" i="1"/>
  <c r="I268" i="1"/>
  <c r="I306" i="1"/>
  <c r="I276" i="1"/>
  <c r="I269" i="1"/>
  <c r="H269" i="1"/>
  <c r="H308" i="1"/>
  <c r="H268" i="1"/>
  <c r="H307" i="1"/>
  <c r="H325" i="1"/>
  <c r="H288" i="1"/>
  <c r="H287" i="1"/>
  <c r="H306" i="1"/>
  <c r="H320" i="1" s="1"/>
  <c r="G276" i="1"/>
  <c r="G325" i="1"/>
  <c r="G308" i="1"/>
  <c r="L308" i="1" s="1"/>
  <c r="E103" i="2" s="1"/>
  <c r="G307" i="1"/>
  <c r="G269" i="1"/>
  <c r="G268" i="1"/>
  <c r="G306" i="1"/>
  <c r="G275" i="1"/>
  <c r="F308" i="1"/>
  <c r="F307" i="1"/>
  <c r="F320" i="1" s="1"/>
  <c r="F288" i="1"/>
  <c r="F269" i="1"/>
  <c r="F306" i="1"/>
  <c r="F275" i="1"/>
  <c r="F276" i="1"/>
  <c r="H149" i="1"/>
  <c r="H148" i="1"/>
  <c r="H151" i="1"/>
  <c r="H146" i="1"/>
  <c r="H23" i="1"/>
  <c r="F12" i="1" s="1"/>
  <c r="H25" i="1"/>
  <c r="H13" i="1"/>
  <c r="K255" i="1"/>
  <c r="G171" i="1"/>
  <c r="G9" i="1"/>
  <c r="H360" i="1"/>
  <c r="I352" i="1"/>
  <c r="G360" i="1"/>
  <c r="F360" i="1"/>
  <c r="H359" i="1"/>
  <c r="G359" i="1"/>
  <c r="G361" i="1" s="1"/>
  <c r="F359" i="1"/>
  <c r="K352" i="1"/>
  <c r="K351" i="1"/>
  <c r="K350" i="1"/>
  <c r="I351" i="1"/>
  <c r="I350" i="1"/>
  <c r="H352" i="1"/>
  <c r="H351" i="1"/>
  <c r="J352" i="1"/>
  <c r="J351" i="1"/>
  <c r="J350" i="1"/>
  <c r="H350" i="1"/>
  <c r="F351" i="1"/>
  <c r="F352" i="1"/>
  <c r="L352" i="1" s="1"/>
  <c r="F350" i="1"/>
  <c r="L350" i="1" s="1"/>
  <c r="G89" i="1"/>
  <c r="G150" i="1"/>
  <c r="G16" i="1"/>
  <c r="G13" i="1"/>
  <c r="C60" i="2"/>
  <c r="B2" i="13"/>
  <c r="F8" i="13"/>
  <c r="G8" i="13"/>
  <c r="D39" i="13"/>
  <c r="F13" i="13"/>
  <c r="G13" i="13"/>
  <c r="L198" i="1"/>
  <c r="L216" i="1"/>
  <c r="L234" i="1"/>
  <c r="F16" i="13"/>
  <c r="G16" i="13"/>
  <c r="L201" i="1"/>
  <c r="L219" i="1"/>
  <c r="L237" i="1"/>
  <c r="C117" i="2"/>
  <c r="L191" i="1"/>
  <c r="G6" i="13"/>
  <c r="F7" i="13"/>
  <c r="G7" i="13"/>
  <c r="F12" i="13"/>
  <c r="F14" i="13"/>
  <c r="G14" i="13"/>
  <c r="F15" i="13"/>
  <c r="G15" i="13"/>
  <c r="F17" i="13"/>
  <c r="G17" i="13"/>
  <c r="L243" i="1"/>
  <c r="F18" i="13"/>
  <c r="G18" i="13"/>
  <c r="L244" i="1"/>
  <c r="F19" i="13"/>
  <c r="D19" i="13" s="1"/>
  <c r="C19" i="13" s="1"/>
  <c r="G19" i="13"/>
  <c r="L245" i="1"/>
  <c r="F29" i="13"/>
  <c r="J282" i="1"/>
  <c r="K282" i="1"/>
  <c r="G31" i="13" s="1"/>
  <c r="K301" i="1"/>
  <c r="K320" i="1"/>
  <c r="L270" i="1"/>
  <c r="L271" i="1"/>
  <c r="L273" i="1"/>
  <c r="L274" i="1"/>
  <c r="L275" i="1"/>
  <c r="L276" i="1"/>
  <c r="E113" i="2" s="1"/>
  <c r="L277" i="1"/>
  <c r="L278" i="1"/>
  <c r="L279" i="1"/>
  <c r="L280" i="1"/>
  <c r="L289" i="1"/>
  <c r="L290" i="1"/>
  <c r="L292" i="1"/>
  <c r="E110" i="2" s="1"/>
  <c r="L293" i="1"/>
  <c r="E111" i="2" s="1"/>
  <c r="L294" i="1"/>
  <c r="E112" i="2" s="1"/>
  <c r="L295" i="1"/>
  <c r="L296" i="1"/>
  <c r="L297" i="1"/>
  <c r="L298" i="1"/>
  <c r="L299" i="1"/>
  <c r="L309" i="1"/>
  <c r="L311" i="1"/>
  <c r="L312" i="1"/>
  <c r="L313" i="1"/>
  <c r="L314" i="1"/>
  <c r="L315" i="1"/>
  <c r="L316" i="1"/>
  <c r="L317" i="1"/>
  <c r="L318" i="1"/>
  <c r="L326" i="1"/>
  <c r="L327" i="1"/>
  <c r="L252" i="1"/>
  <c r="H25" i="13" s="1"/>
  <c r="C123" i="2"/>
  <c r="L253" i="1"/>
  <c r="L333" i="1"/>
  <c r="E123" i="2" s="1"/>
  <c r="L334" i="1"/>
  <c r="L247" i="1"/>
  <c r="F22" i="13" s="1"/>
  <c r="L328" i="1"/>
  <c r="C10" i="13"/>
  <c r="C9" i="13"/>
  <c r="L353" i="1"/>
  <c r="B4" i="12"/>
  <c r="B36" i="12"/>
  <c r="B13" i="12"/>
  <c r="B1" i="12"/>
  <c r="L379" i="1"/>
  <c r="L380" i="1"/>
  <c r="L385" i="1"/>
  <c r="C130" i="2" s="1"/>
  <c r="L381" i="1"/>
  <c r="L382" i="1"/>
  <c r="L383" i="1"/>
  <c r="L384" i="1"/>
  <c r="L387" i="1"/>
  <c r="L388" i="1"/>
  <c r="L389" i="1"/>
  <c r="L390" i="1"/>
  <c r="L391" i="1"/>
  <c r="L392" i="1"/>
  <c r="L393" i="1"/>
  <c r="C131" i="2"/>
  <c r="L395" i="1"/>
  <c r="L399" i="1" s="1"/>
  <c r="C132" i="2" s="1"/>
  <c r="L396" i="1"/>
  <c r="L397" i="1"/>
  <c r="L398" i="1"/>
  <c r="J52" i="1"/>
  <c r="G48" i="2" s="1"/>
  <c r="G55" i="2" s="1"/>
  <c r="G51" i="2"/>
  <c r="G53" i="2"/>
  <c r="F2" i="11"/>
  <c r="C40" i="10"/>
  <c r="G52" i="1"/>
  <c r="G104" i="1" s="1"/>
  <c r="G185" i="1" s="1"/>
  <c r="H52" i="1"/>
  <c r="I52" i="1"/>
  <c r="I104" i="1" s="1"/>
  <c r="F71" i="1"/>
  <c r="F86" i="1"/>
  <c r="C50" i="2"/>
  <c r="F103" i="1"/>
  <c r="G103" i="1"/>
  <c r="H71" i="1"/>
  <c r="E49" i="2" s="1"/>
  <c r="H86" i="1"/>
  <c r="H103" i="1"/>
  <c r="I103" i="1"/>
  <c r="J103" i="1"/>
  <c r="C37" i="10"/>
  <c r="F113" i="1"/>
  <c r="F128" i="1"/>
  <c r="F132" i="1"/>
  <c r="C38" i="10" s="1"/>
  <c r="G113" i="1"/>
  <c r="G132" i="1" s="1"/>
  <c r="G128" i="1"/>
  <c r="H113" i="1"/>
  <c r="H132" i="1" s="1"/>
  <c r="H128" i="1"/>
  <c r="I113" i="1"/>
  <c r="I128" i="1"/>
  <c r="I132" i="1"/>
  <c r="J113" i="1"/>
  <c r="J128" i="1"/>
  <c r="J132" i="1"/>
  <c r="F139" i="1"/>
  <c r="F154" i="1"/>
  <c r="F161" i="1"/>
  <c r="G139" i="1"/>
  <c r="G161" i="1" s="1"/>
  <c r="G154" i="1"/>
  <c r="H139" i="1"/>
  <c r="E77" i="2"/>
  <c r="H154" i="1"/>
  <c r="H161" i="1"/>
  <c r="I139" i="1"/>
  <c r="I154" i="1"/>
  <c r="C19" i="10"/>
  <c r="L242" i="1"/>
  <c r="C23" i="10" s="1"/>
  <c r="L324" i="1"/>
  <c r="L246" i="1"/>
  <c r="L260" i="1"/>
  <c r="C134" i="2"/>
  <c r="L261" i="1"/>
  <c r="C135" i="2" s="1"/>
  <c r="L341" i="1"/>
  <c r="L342" i="1"/>
  <c r="E135" i="2" s="1"/>
  <c r="I660" i="1"/>
  <c r="I659" i="1"/>
  <c r="C42" i="10"/>
  <c r="L366" i="1"/>
  <c r="L367" i="1"/>
  <c r="L368" i="1"/>
  <c r="F122" i="2" s="1"/>
  <c r="F136" i="2" s="1"/>
  <c r="F137" i="2" s="1"/>
  <c r="L369" i="1"/>
  <c r="L370" i="1"/>
  <c r="L371" i="1"/>
  <c r="L372" i="1"/>
  <c r="B2" i="10"/>
  <c r="L336" i="1"/>
  <c r="E126" i="2"/>
  <c r="L337" i="1"/>
  <c r="L338" i="1"/>
  <c r="L339" i="1"/>
  <c r="K343" i="1"/>
  <c r="L526" i="1"/>
  <c r="L527" i="1"/>
  <c r="I540" i="1"/>
  <c r="L528" i="1"/>
  <c r="I541" i="1" s="1"/>
  <c r="E124" i="2"/>
  <c r="K262" i="1"/>
  <c r="J262" i="1"/>
  <c r="I262" i="1"/>
  <c r="H262" i="1"/>
  <c r="G262" i="1"/>
  <c r="F262" i="1"/>
  <c r="A1" i="2"/>
  <c r="A2" i="2"/>
  <c r="D9" i="2"/>
  <c r="E9" i="2"/>
  <c r="F9" i="2"/>
  <c r="C10" i="2"/>
  <c r="D10" i="2"/>
  <c r="D19" i="2" s="1"/>
  <c r="D12" i="2"/>
  <c r="D13" i="2"/>
  <c r="D14" i="2"/>
  <c r="D16" i="2"/>
  <c r="D17" i="2"/>
  <c r="D18" i="2"/>
  <c r="E10" i="2"/>
  <c r="F10" i="2"/>
  <c r="C11" i="2"/>
  <c r="E12" i="2"/>
  <c r="F12" i="2"/>
  <c r="I433" i="1"/>
  <c r="J12" i="1"/>
  <c r="G12" i="2"/>
  <c r="C13" i="2"/>
  <c r="E13" i="2"/>
  <c r="F13" i="2"/>
  <c r="F14" i="2"/>
  <c r="F15" i="2"/>
  <c r="F16" i="2"/>
  <c r="F19" i="2" s="1"/>
  <c r="F17" i="2"/>
  <c r="F18" i="2"/>
  <c r="I434" i="1"/>
  <c r="J13" i="1" s="1"/>
  <c r="G13" i="2" s="1"/>
  <c r="E14" i="2"/>
  <c r="I435" i="1"/>
  <c r="J14" i="1"/>
  <c r="G14" i="2" s="1"/>
  <c r="C16" i="2"/>
  <c r="E16" i="2"/>
  <c r="E17" i="2"/>
  <c r="E18" i="2"/>
  <c r="I436" i="1"/>
  <c r="J17" i="1" s="1"/>
  <c r="G17" i="2" s="1"/>
  <c r="C18" i="2"/>
  <c r="I437" i="1"/>
  <c r="J18" i="1" s="1"/>
  <c r="G18" i="2" s="1"/>
  <c r="D23" i="2"/>
  <c r="D24" i="2"/>
  <c r="D25" i="2"/>
  <c r="D28" i="2"/>
  <c r="D29" i="2"/>
  <c r="D30" i="2"/>
  <c r="D31" i="2"/>
  <c r="E22" i="2"/>
  <c r="F22" i="2"/>
  <c r="I440" i="1"/>
  <c r="J23" i="1"/>
  <c r="C23" i="2"/>
  <c r="C25" i="2"/>
  <c r="C26" i="2"/>
  <c r="C27" i="2"/>
  <c r="C28" i="2"/>
  <c r="C29" i="2"/>
  <c r="C30" i="2"/>
  <c r="C31" i="2"/>
  <c r="E23" i="2"/>
  <c r="F23" i="2"/>
  <c r="I441" i="1"/>
  <c r="J24" i="1"/>
  <c r="G23" i="2" s="1"/>
  <c r="F24" i="2"/>
  <c r="F25" i="2"/>
  <c r="F26" i="2"/>
  <c r="F27" i="2"/>
  <c r="F28" i="2"/>
  <c r="F29" i="2"/>
  <c r="F30" i="2"/>
  <c r="F31" i="2"/>
  <c r="I442" i="1"/>
  <c r="J25" i="1"/>
  <c r="G24" i="2" s="1"/>
  <c r="E25" i="2"/>
  <c r="E28" i="2"/>
  <c r="E29" i="2"/>
  <c r="E30" i="2"/>
  <c r="E31" i="2"/>
  <c r="I443" i="1"/>
  <c r="J32" i="1" s="1"/>
  <c r="G31" i="2" s="1"/>
  <c r="C34" i="2"/>
  <c r="D34" i="2"/>
  <c r="E34" i="2"/>
  <c r="F34" i="2"/>
  <c r="F35" i="2"/>
  <c r="F36" i="2"/>
  <c r="F37" i="2"/>
  <c r="F42" i="2" s="1"/>
  <c r="F38" i="2"/>
  <c r="F40" i="2"/>
  <c r="F41" i="2"/>
  <c r="C35" i="2"/>
  <c r="D35" i="2"/>
  <c r="E35" i="2"/>
  <c r="D36" i="2"/>
  <c r="E36" i="2"/>
  <c r="I446" i="1"/>
  <c r="J37" i="1"/>
  <c r="D37" i="2"/>
  <c r="E37" i="2"/>
  <c r="I447" i="1"/>
  <c r="J38" i="1" s="1"/>
  <c r="C38" i="2"/>
  <c r="D38" i="2"/>
  <c r="E38" i="2"/>
  <c r="I448" i="1"/>
  <c r="J40" i="1"/>
  <c r="G39" i="2" s="1"/>
  <c r="C40" i="2"/>
  <c r="D41" i="2"/>
  <c r="E41" i="2"/>
  <c r="E48" i="2"/>
  <c r="F48" i="2"/>
  <c r="F51" i="2"/>
  <c r="F53" i="2"/>
  <c r="C49" i="2"/>
  <c r="C51" i="2"/>
  <c r="C53" i="2"/>
  <c r="E51" i="2"/>
  <c r="E53" i="2"/>
  <c r="D51" i="2"/>
  <c r="D52" i="2"/>
  <c r="D53" i="2"/>
  <c r="C58" i="2"/>
  <c r="C59" i="2"/>
  <c r="C61" i="2"/>
  <c r="D61" i="2"/>
  <c r="D62" i="2"/>
  <c r="E61" i="2"/>
  <c r="E62" i="2"/>
  <c r="F61" i="2"/>
  <c r="F62" i="2"/>
  <c r="F73" i="2" s="1"/>
  <c r="G61" i="2"/>
  <c r="G62" i="2"/>
  <c r="G73" i="2" s="1"/>
  <c r="C64" i="2"/>
  <c r="F64" i="2"/>
  <c r="C65" i="2"/>
  <c r="F65" i="2"/>
  <c r="C66" i="2"/>
  <c r="C67" i="2"/>
  <c r="C68" i="2"/>
  <c r="C69" i="2"/>
  <c r="E68" i="2"/>
  <c r="E69" i="2"/>
  <c r="E70" i="2" s="1"/>
  <c r="E73" i="2" s="1"/>
  <c r="E71" i="2"/>
  <c r="E72" i="2"/>
  <c r="F68" i="2"/>
  <c r="F69" i="2"/>
  <c r="D69" i="2"/>
  <c r="D70" i="2"/>
  <c r="D73" i="2" s="1"/>
  <c r="D71" i="2"/>
  <c r="G69" i="2"/>
  <c r="G70" i="2"/>
  <c r="C71" i="2"/>
  <c r="C72" i="2"/>
  <c r="C77" i="2"/>
  <c r="C83" i="2" s="1"/>
  <c r="C79" i="2"/>
  <c r="C80" i="2"/>
  <c r="C81" i="2"/>
  <c r="C82" i="2"/>
  <c r="D77" i="2"/>
  <c r="E79" i="2"/>
  <c r="E80" i="2"/>
  <c r="E81" i="2"/>
  <c r="F79" i="2"/>
  <c r="D80" i="2"/>
  <c r="D83" i="2" s="1"/>
  <c r="F80" i="2"/>
  <c r="F81" i="2"/>
  <c r="D81" i="2"/>
  <c r="C85" i="2"/>
  <c r="C86" i="2"/>
  <c r="C89" i="2"/>
  <c r="C90" i="2"/>
  <c r="C91" i="2"/>
  <c r="C92" i="2"/>
  <c r="C93" i="2"/>
  <c r="C94" i="2"/>
  <c r="F85" i="2"/>
  <c r="F86" i="2"/>
  <c r="D88" i="2"/>
  <c r="E88" i="2"/>
  <c r="F88" i="2"/>
  <c r="D89" i="2"/>
  <c r="E89" i="2"/>
  <c r="F89" i="2"/>
  <c r="G89" i="2"/>
  <c r="D90" i="2"/>
  <c r="D91" i="2"/>
  <c r="D92" i="2"/>
  <c r="D93" i="2"/>
  <c r="D94" i="2"/>
  <c r="E90" i="2"/>
  <c r="G90" i="2"/>
  <c r="E91" i="2"/>
  <c r="F91" i="2"/>
  <c r="E92" i="2"/>
  <c r="F92" i="2"/>
  <c r="E93" i="2"/>
  <c r="F93" i="2"/>
  <c r="E94" i="2"/>
  <c r="F94" i="2"/>
  <c r="E104" i="2"/>
  <c r="E105" i="2"/>
  <c r="C105" i="2"/>
  <c r="D107" i="2"/>
  <c r="F107" i="2"/>
  <c r="G107" i="2"/>
  <c r="C114" i="2"/>
  <c r="E114" i="2"/>
  <c r="E115" i="2"/>
  <c r="E116" i="2"/>
  <c r="E117" i="2"/>
  <c r="F120" i="2"/>
  <c r="G120" i="2"/>
  <c r="C122" i="2"/>
  <c r="E122" i="2"/>
  <c r="E127" i="2"/>
  <c r="E129" i="2"/>
  <c r="F126" i="2"/>
  <c r="D126" i="2"/>
  <c r="D136" i="2"/>
  <c r="K411" i="1"/>
  <c r="K426" i="1" s="1"/>
  <c r="G126" i="2" s="1"/>
  <c r="G136" i="2" s="1"/>
  <c r="G137" i="2" s="1"/>
  <c r="K419" i="1"/>
  <c r="K425" i="1"/>
  <c r="L255" i="1"/>
  <c r="C127" i="2"/>
  <c r="L256" i="1"/>
  <c r="C128" i="2" s="1"/>
  <c r="L257" i="1"/>
  <c r="C129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G149" i="2" s="1"/>
  <c r="C149" i="2"/>
  <c r="D149" i="2"/>
  <c r="E149" i="2"/>
  <c r="F149" i="2"/>
  <c r="B150" i="2"/>
  <c r="D150" i="2"/>
  <c r="E150" i="2"/>
  <c r="F150" i="2"/>
  <c r="B151" i="2"/>
  <c r="D151" i="2"/>
  <c r="E151" i="2"/>
  <c r="F151" i="2"/>
  <c r="B152" i="2"/>
  <c r="D152" i="2"/>
  <c r="E152" i="2"/>
  <c r="F152" i="2"/>
  <c r="F490" i="1"/>
  <c r="B153" i="2" s="1"/>
  <c r="H490" i="1"/>
  <c r="D153" i="2"/>
  <c r="I490" i="1"/>
  <c r="E153" i="2"/>
  <c r="J490" i="1"/>
  <c r="F153" i="2" s="1"/>
  <c r="B154" i="2"/>
  <c r="D154" i="2"/>
  <c r="E154" i="2"/>
  <c r="F154" i="2"/>
  <c r="B155" i="2"/>
  <c r="D155" i="2"/>
  <c r="E155" i="2"/>
  <c r="F155" i="2"/>
  <c r="G493" i="1"/>
  <c r="C156" i="2"/>
  <c r="H493" i="1"/>
  <c r="D156" i="2" s="1"/>
  <c r="I493" i="1"/>
  <c r="E156" i="2"/>
  <c r="J493" i="1"/>
  <c r="F156" i="2"/>
  <c r="G19" i="1"/>
  <c r="H19" i="1"/>
  <c r="G609" i="1"/>
  <c r="I19" i="1"/>
  <c r="G33" i="1"/>
  <c r="G41" i="1" s="1"/>
  <c r="I33" i="1"/>
  <c r="I43" i="1"/>
  <c r="I44" i="1" s="1"/>
  <c r="H610" i="1" s="1"/>
  <c r="F169" i="1"/>
  <c r="I169" i="1"/>
  <c r="F175" i="1"/>
  <c r="F184" i="1" s="1"/>
  <c r="G175" i="1"/>
  <c r="G184" i="1"/>
  <c r="H175" i="1"/>
  <c r="H184" i="1" s="1"/>
  <c r="I175" i="1"/>
  <c r="F180" i="1"/>
  <c r="G180" i="1"/>
  <c r="H180" i="1"/>
  <c r="I180" i="1"/>
  <c r="I184" i="1"/>
  <c r="J203" i="1"/>
  <c r="K203" i="1"/>
  <c r="K239" i="1"/>
  <c r="F248" i="1"/>
  <c r="L248" i="1" s="1"/>
  <c r="G248" i="1"/>
  <c r="H248" i="1"/>
  <c r="I248" i="1"/>
  <c r="J248" i="1"/>
  <c r="K248" i="1"/>
  <c r="G282" i="1"/>
  <c r="H282" i="1"/>
  <c r="I282" i="1"/>
  <c r="G301" i="1"/>
  <c r="G320" i="1"/>
  <c r="F329" i="1"/>
  <c r="G329" i="1"/>
  <c r="H329" i="1"/>
  <c r="J329" i="1"/>
  <c r="K329" i="1"/>
  <c r="G354" i="1"/>
  <c r="H354" i="1"/>
  <c r="I354" i="1"/>
  <c r="G624" i="1" s="1"/>
  <c r="J354" i="1"/>
  <c r="I360" i="1"/>
  <c r="H361" i="1"/>
  <c r="L373" i="1"/>
  <c r="F374" i="1"/>
  <c r="G374" i="1"/>
  <c r="H374" i="1"/>
  <c r="I374" i="1"/>
  <c r="J374" i="1"/>
  <c r="K374" i="1"/>
  <c r="F385" i="1"/>
  <c r="G385" i="1"/>
  <c r="G400" i="1"/>
  <c r="H635" i="1"/>
  <c r="H385" i="1"/>
  <c r="I385" i="1"/>
  <c r="I400" i="1" s="1"/>
  <c r="F393" i="1"/>
  <c r="G393" i="1"/>
  <c r="H393" i="1"/>
  <c r="I393" i="1"/>
  <c r="F399" i="1"/>
  <c r="G399" i="1"/>
  <c r="H399" i="1"/>
  <c r="I399" i="1"/>
  <c r="F400" i="1"/>
  <c r="H633" i="1"/>
  <c r="H400" i="1"/>
  <c r="H634" i="1" s="1"/>
  <c r="L405" i="1"/>
  <c r="L415" i="1"/>
  <c r="L406" i="1"/>
  <c r="L407" i="1"/>
  <c r="L408" i="1"/>
  <c r="L409" i="1"/>
  <c r="L410" i="1"/>
  <c r="F411" i="1"/>
  <c r="G411" i="1"/>
  <c r="H411" i="1"/>
  <c r="I411" i="1"/>
  <c r="I426" i="1" s="1"/>
  <c r="J411" i="1"/>
  <c r="J426" i="1"/>
  <c r="L413" i="1"/>
  <c r="L414" i="1"/>
  <c r="L416" i="1"/>
  <c r="L417" i="1"/>
  <c r="L418" i="1"/>
  <c r="F419" i="1"/>
  <c r="F426" i="1" s="1"/>
  <c r="G419" i="1"/>
  <c r="G426" i="1" s="1"/>
  <c r="H419" i="1"/>
  <c r="I419" i="1"/>
  <c r="J419" i="1"/>
  <c r="L421" i="1"/>
  <c r="L422" i="1"/>
  <c r="L423" i="1"/>
  <c r="L424" i="1"/>
  <c r="L425" i="1" s="1"/>
  <c r="F425" i="1"/>
  <c r="G425" i="1"/>
  <c r="H425" i="1"/>
  <c r="H426" i="1"/>
  <c r="I425" i="1"/>
  <c r="J425" i="1"/>
  <c r="F438" i="1"/>
  <c r="G629" i="1"/>
  <c r="H438" i="1"/>
  <c r="G631" i="1"/>
  <c r="F444" i="1"/>
  <c r="G444" i="1"/>
  <c r="H444" i="1"/>
  <c r="H451" i="1" s="1"/>
  <c r="H631" i="1" s="1"/>
  <c r="J631" i="1" s="1"/>
  <c r="H450" i="1"/>
  <c r="I460" i="1"/>
  <c r="I466" i="1" s="1"/>
  <c r="H615" i="1" s="1"/>
  <c r="J615" i="1" s="1"/>
  <c r="I464" i="1"/>
  <c r="J464" i="1"/>
  <c r="K485" i="1"/>
  <c r="K486" i="1"/>
  <c r="F507" i="1"/>
  <c r="G507" i="1"/>
  <c r="H507" i="1"/>
  <c r="I507" i="1"/>
  <c r="H519" i="1"/>
  <c r="J524" i="1"/>
  <c r="K524" i="1"/>
  <c r="F529" i="1"/>
  <c r="G529" i="1"/>
  <c r="H529" i="1"/>
  <c r="I529" i="1"/>
  <c r="J529" i="1"/>
  <c r="K529" i="1"/>
  <c r="F534" i="1"/>
  <c r="G534" i="1"/>
  <c r="I534" i="1"/>
  <c r="J534" i="1"/>
  <c r="K534" i="1"/>
  <c r="L547" i="1"/>
  <c r="L550" i="1" s="1"/>
  <c r="L548" i="1"/>
  <c r="L549" i="1"/>
  <c r="F550" i="1"/>
  <c r="G550" i="1"/>
  <c r="H550" i="1"/>
  <c r="I550" i="1"/>
  <c r="J550" i="1"/>
  <c r="K550" i="1"/>
  <c r="K561" i="1" s="1"/>
  <c r="F555" i="1"/>
  <c r="F561" i="1" s="1"/>
  <c r="J555" i="1"/>
  <c r="K555" i="1"/>
  <c r="L557" i="1"/>
  <c r="L560" i="1" s="1"/>
  <c r="L558" i="1"/>
  <c r="L559" i="1"/>
  <c r="F560" i="1"/>
  <c r="G560" i="1"/>
  <c r="H560" i="1"/>
  <c r="I560" i="1"/>
  <c r="J560" i="1"/>
  <c r="J561" i="1" s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3" i="1"/>
  <c r="K584" i="1"/>
  <c r="K585" i="1"/>
  <c r="K586" i="1"/>
  <c r="K587" i="1"/>
  <c r="H588" i="1"/>
  <c r="H639" i="1"/>
  <c r="K592" i="1"/>
  <c r="K593" i="1"/>
  <c r="J604" i="1"/>
  <c r="K604" i="1"/>
  <c r="G608" i="1"/>
  <c r="G610" i="1"/>
  <c r="H620" i="1"/>
  <c r="H626" i="1"/>
  <c r="H628" i="1"/>
  <c r="G633" i="1"/>
  <c r="J633" i="1" s="1"/>
  <c r="G634" i="1"/>
  <c r="G642" i="1"/>
  <c r="H642" i="1"/>
  <c r="J642" i="1"/>
  <c r="G643" i="1"/>
  <c r="J643" i="1" s="1"/>
  <c r="H643" i="1"/>
  <c r="G644" i="1"/>
  <c r="J644" i="1" s="1"/>
  <c r="H644" i="1"/>
  <c r="G330" i="1"/>
  <c r="G344" i="1" s="1"/>
  <c r="F33" i="1"/>
  <c r="F652" i="1"/>
  <c r="G54" i="2"/>
  <c r="B9" i="12"/>
  <c r="K491" i="1"/>
  <c r="K487" i="1"/>
  <c r="K492" i="1"/>
  <c r="F604" i="1"/>
  <c r="H524" i="1"/>
  <c r="I431" i="1"/>
  <c r="J9" i="1"/>
  <c r="G9" i="2"/>
  <c r="H645" i="1"/>
  <c r="J460" i="1"/>
  <c r="L400" i="1"/>
  <c r="H627" i="1"/>
  <c r="G615" i="1"/>
  <c r="C54" i="2"/>
  <c r="C62" i="2"/>
  <c r="F54" i="2"/>
  <c r="F55" i="2" s="1"/>
  <c r="E13" i="13"/>
  <c r="C13" i="13" s="1"/>
  <c r="G150" i="2"/>
  <c r="G36" i="2"/>
  <c r="C48" i="2"/>
  <c r="C55" i="2"/>
  <c r="F104" i="1"/>
  <c r="L192" i="1"/>
  <c r="G22" i="2"/>
  <c r="C22" i="13"/>
  <c r="G555" i="1"/>
  <c r="G561" i="1"/>
  <c r="H514" i="1"/>
  <c r="D17" i="13"/>
  <c r="C17" i="13" s="1"/>
  <c r="E16" i="13"/>
  <c r="C16" i="13"/>
  <c r="E95" i="2"/>
  <c r="C95" i="2"/>
  <c r="D54" i="2"/>
  <c r="D95" i="2"/>
  <c r="E83" i="2"/>
  <c r="C70" i="2"/>
  <c r="C73" i="2" s="1"/>
  <c r="F70" i="2"/>
  <c r="F33" i="13" l="1"/>
  <c r="G43" i="1"/>
  <c r="D40" i="2"/>
  <c r="D42" i="2" s="1"/>
  <c r="G37" i="2"/>
  <c r="E134" i="2"/>
  <c r="E136" i="2" s="1"/>
  <c r="L343" i="1"/>
  <c r="E50" i="2"/>
  <c r="H104" i="1"/>
  <c r="H185" i="1" s="1"/>
  <c r="J610" i="1"/>
  <c r="C19" i="2"/>
  <c r="E54" i="2"/>
  <c r="E55" i="2" s="1"/>
  <c r="E96" i="2" s="1"/>
  <c r="L601" i="1"/>
  <c r="F96" i="2"/>
  <c r="L419" i="1"/>
  <c r="F32" i="2"/>
  <c r="E19" i="2"/>
  <c r="G96" i="2"/>
  <c r="L306" i="1"/>
  <c r="L518" i="1"/>
  <c r="G541" i="1" s="1"/>
  <c r="L602" i="1"/>
  <c r="C152" i="2"/>
  <c r="G152" i="2" s="1"/>
  <c r="K489" i="1"/>
  <c r="D32" i="2"/>
  <c r="F239" i="1"/>
  <c r="F449" i="1"/>
  <c r="C26" i="10"/>
  <c r="F511" i="1"/>
  <c r="L269" i="1"/>
  <c r="I301" i="1"/>
  <c r="I330" i="1" s="1"/>
  <c r="I344" i="1" s="1"/>
  <c r="I512" i="1"/>
  <c r="I514" i="1" s="1"/>
  <c r="I535" i="1" s="1"/>
  <c r="C32" i="2"/>
  <c r="L521" i="1"/>
  <c r="J539" i="1"/>
  <c r="J542" i="1" s="1"/>
  <c r="L534" i="1"/>
  <c r="B156" i="2"/>
  <c r="G156" i="2" s="1"/>
  <c r="K493" i="1"/>
  <c r="C151" i="2"/>
  <c r="G151" i="2" s="1"/>
  <c r="G490" i="1"/>
  <c r="K488" i="1"/>
  <c r="G32" i="2"/>
  <c r="C24" i="10"/>
  <c r="F301" i="1"/>
  <c r="F512" i="1"/>
  <c r="L288" i="1"/>
  <c r="H301" i="1"/>
  <c r="H330" i="1" s="1"/>
  <c r="H344" i="1" s="1"/>
  <c r="L287" i="1"/>
  <c r="F221" i="1"/>
  <c r="B28" i="12"/>
  <c r="B31" i="12" s="1"/>
  <c r="B27" i="12"/>
  <c r="C21" i="10"/>
  <c r="C116" i="2"/>
  <c r="D15" i="13"/>
  <c r="C15" i="13" s="1"/>
  <c r="G639" i="1"/>
  <c r="J639" i="1" s="1"/>
  <c r="H203" i="1"/>
  <c r="H249" i="1" s="1"/>
  <c r="H263" i="1" s="1"/>
  <c r="I604" i="1"/>
  <c r="F43" i="2"/>
  <c r="I539" i="1"/>
  <c r="I542" i="1" s="1"/>
  <c r="L529" i="1"/>
  <c r="C29" i="10"/>
  <c r="L374" i="1"/>
  <c r="G626" i="1" s="1"/>
  <c r="J626" i="1" s="1"/>
  <c r="G29" i="13"/>
  <c r="K354" i="1"/>
  <c r="H33" i="1"/>
  <c r="H41" i="1"/>
  <c r="E24" i="2"/>
  <c r="E32" i="2" s="1"/>
  <c r="L282" i="1"/>
  <c r="C35" i="10"/>
  <c r="L210" i="1"/>
  <c r="F524" i="1"/>
  <c r="G522" i="1"/>
  <c r="G524" i="1" s="1"/>
  <c r="F185" i="1"/>
  <c r="H561" i="1"/>
  <c r="L411" i="1"/>
  <c r="D48" i="2"/>
  <c r="D55" i="2" s="1"/>
  <c r="D96" i="2" s="1"/>
  <c r="E120" i="2"/>
  <c r="L351" i="1"/>
  <c r="F354" i="1"/>
  <c r="I359" i="1"/>
  <c r="I361" i="1" s="1"/>
  <c r="H624" i="1" s="1"/>
  <c r="F361" i="1"/>
  <c r="C96" i="2"/>
  <c r="C133" i="2"/>
  <c r="C12" i="2"/>
  <c r="F19" i="1"/>
  <c r="L218" i="1"/>
  <c r="I221" i="1"/>
  <c r="B18" i="12"/>
  <c r="I655" i="1"/>
  <c r="J634" i="1"/>
  <c r="H652" i="1"/>
  <c r="G641" i="1"/>
  <c r="J641" i="1" s="1"/>
  <c r="H555" i="1"/>
  <c r="G627" i="1"/>
  <c r="J627" i="1" s="1"/>
  <c r="H636" i="1"/>
  <c r="L262" i="1"/>
  <c r="I161" i="1"/>
  <c r="C39" i="10" s="1"/>
  <c r="F77" i="2"/>
  <c r="F83" i="2" s="1"/>
  <c r="G618" i="1"/>
  <c r="G458" i="1"/>
  <c r="C25" i="10"/>
  <c r="C124" i="2"/>
  <c r="C136" i="2" s="1"/>
  <c r="J330" i="1"/>
  <c r="J344" i="1" s="1"/>
  <c r="F31" i="13"/>
  <c r="I239" i="1"/>
  <c r="J513" i="1"/>
  <c r="J514" i="1" s="1"/>
  <c r="J535" i="1" s="1"/>
  <c r="J33" i="1"/>
  <c r="I203" i="1"/>
  <c r="G5" i="13"/>
  <c r="G33" i="13" s="1"/>
  <c r="K221" i="1"/>
  <c r="K249" i="1" s="1"/>
  <c r="K263" i="1" s="1"/>
  <c r="I588" i="1"/>
  <c r="H640" i="1" s="1"/>
  <c r="K581" i="1"/>
  <c r="K588" i="1" s="1"/>
  <c r="G637" i="1" s="1"/>
  <c r="L523" i="1"/>
  <c r="H541" i="1" s="1"/>
  <c r="I561" i="1"/>
  <c r="G449" i="1"/>
  <c r="G450" i="1" s="1"/>
  <c r="G451" i="1" s="1"/>
  <c r="H630" i="1" s="1"/>
  <c r="J630" i="1" s="1"/>
  <c r="I432" i="1"/>
  <c r="J624" i="1"/>
  <c r="H594" i="1"/>
  <c r="G148" i="2"/>
  <c r="F95" i="2"/>
  <c r="C25" i="13"/>
  <c r="H33" i="13"/>
  <c r="F203" i="1"/>
  <c r="F249" i="1" s="1"/>
  <c r="G235" i="1" s="1"/>
  <c r="L235" i="1" s="1"/>
  <c r="J221" i="1"/>
  <c r="I594" i="1" s="1"/>
  <c r="I595" i="1" s="1"/>
  <c r="L516" i="1"/>
  <c r="J466" i="1"/>
  <c r="H616" i="1" s="1"/>
  <c r="L552" i="1"/>
  <c r="L555" i="1" s="1"/>
  <c r="L561" i="1" s="1"/>
  <c r="I444" i="1"/>
  <c r="G645" i="1"/>
  <c r="J645" i="1" s="1"/>
  <c r="H534" i="1"/>
  <c r="H535" i="1" s="1"/>
  <c r="F282" i="1"/>
  <c r="J104" i="1"/>
  <c r="G195" i="1"/>
  <c r="L195" i="1" s="1"/>
  <c r="K330" i="1"/>
  <c r="K344" i="1" s="1"/>
  <c r="L325" i="1"/>
  <c r="E106" i="2" s="1"/>
  <c r="L307" i="1"/>
  <c r="C106" i="2"/>
  <c r="C32" i="10"/>
  <c r="G228" i="1"/>
  <c r="L228" i="1" s="1"/>
  <c r="L554" i="1"/>
  <c r="L603" i="1"/>
  <c r="H653" i="1" s="1"/>
  <c r="D18" i="13"/>
  <c r="C18" i="13" s="1"/>
  <c r="J175" i="1"/>
  <c r="F330" i="1" l="1"/>
  <c r="F344" i="1" s="1"/>
  <c r="G199" i="1"/>
  <c r="L199" i="1" s="1"/>
  <c r="J637" i="1"/>
  <c r="G212" i="1"/>
  <c r="L212" i="1" s="1"/>
  <c r="G640" i="1"/>
  <c r="J640" i="1" s="1"/>
  <c r="G652" i="1"/>
  <c r="I652" i="1" s="1"/>
  <c r="H637" i="1"/>
  <c r="G197" i="1"/>
  <c r="L197" i="1" s="1"/>
  <c r="L604" i="1"/>
  <c r="J185" i="1"/>
  <c r="G607" i="1"/>
  <c r="F42" i="1"/>
  <c r="H43" i="1"/>
  <c r="E40" i="2"/>
  <c r="E42" i="2" s="1"/>
  <c r="E43" i="2" s="1"/>
  <c r="G215" i="1"/>
  <c r="L215" i="1" s="1"/>
  <c r="G232" i="1"/>
  <c r="L232" i="1" s="1"/>
  <c r="G189" i="1"/>
  <c r="G190" i="1"/>
  <c r="G231" i="1"/>
  <c r="L231" i="1" s="1"/>
  <c r="D7" i="13" s="1"/>
  <c r="C7" i="13" s="1"/>
  <c r="G208" i="1"/>
  <c r="G233" i="1"/>
  <c r="L233" i="1" s="1"/>
  <c r="G227" i="1"/>
  <c r="L227" i="1" s="1"/>
  <c r="F263" i="1"/>
  <c r="G194" i="1"/>
  <c r="L194" i="1" s="1"/>
  <c r="G214" i="1"/>
  <c r="L214" i="1" s="1"/>
  <c r="G196" i="1"/>
  <c r="L196" i="1" s="1"/>
  <c r="G213" i="1"/>
  <c r="L213" i="1" s="1"/>
  <c r="C16" i="10" s="1"/>
  <c r="J184" i="1"/>
  <c r="G635" i="1"/>
  <c r="J635" i="1" s="1"/>
  <c r="G225" i="1"/>
  <c r="E101" i="2"/>
  <c r="E107" i="2" s="1"/>
  <c r="E137" i="2" s="1"/>
  <c r="L301" i="1"/>
  <c r="D31" i="13" s="1"/>
  <c r="C31" i="13" s="1"/>
  <c r="K490" i="1"/>
  <c r="C153" i="2"/>
  <c r="G153" i="2" s="1"/>
  <c r="G653" i="1"/>
  <c r="C39" i="12"/>
  <c r="C40" i="12" s="1"/>
  <c r="G651" i="1"/>
  <c r="D29" i="13"/>
  <c r="C29" i="13" s="1"/>
  <c r="L426" i="1"/>
  <c r="G628" i="1" s="1"/>
  <c r="J628" i="1" s="1"/>
  <c r="C36" i="10"/>
  <c r="C41" i="10"/>
  <c r="D35" i="10" s="1"/>
  <c r="I185" i="1"/>
  <c r="G620" i="1" s="1"/>
  <c r="J620" i="1" s="1"/>
  <c r="E102" i="2"/>
  <c r="L320" i="1"/>
  <c r="L522" i="1"/>
  <c r="H540" i="1" s="1"/>
  <c r="J249" i="1"/>
  <c r="H618" i="1"/>
  <c r="J618" i="1" s="1"/>
  <c r="G460" i="1"/>
  <c r="G617" i="1"/>
  <c r="F458" i="1"/>
  <c r="H651" i="1"/>
  <c r="F514" i="1"/>
  <c r="F535" i="1" s="1"/>
  <c r="D43" i="2"/>
  <c r="H539" i="1"/>
  <c r="L524" i="1"/>
  <c r="K594" i="1"/>
  <c r="K595" i="1" s="1"/>
  <c r="G638" i="1" s="1"/>
  <c r="F653" i="1"/>
  <c r="I653" i="1" s="1"/>
  <c r="H595" i="1"/>
  <c r="I249" i="1"/>
  <c r="I263" i="1" s="1"/>
  <c r="G44" i="1"/>
  <c r="H608" i="1" s="1"/>
  <c r="J608" i="1" s="1"/>
  <c r="G613" i="1"/>
  <c r="G539" i="1"/>
  <c r="G542" i="1" s="1"/>
  <c r="L519" i="1"/>
  <c r="L354" i="1"/>
  <c r="G217" i="1"/>
  <c r="L217" i="1" s="1"/>
  <c r="G230" i="1"/>
  <c r="L230" i="1" s="1"/>
  <c r="I438" i="1"/>
  <c r="G632" i="1" s="1"/>
  <c r="J10" i="1"/>
  <c r="C104" i="2"/>
  <c r="C13" i="10"/>
  <c r="F651" i="1"/>
  <c r="G619" i="1"/>
  <c r="H458" i="1"/>
  <c r="G207" i="1"/>
  <c r="G226" i="1"/>
  <c r="C36" i="12"/>
  <c r="A40" i="12" s="1"/>
  <c r="G209" i="1"/>
  <c r="D119" i="2"/>
  <c r="D120" i="2" s="1"/>
  <c r="D137" i="2" s="1"/>
  <c r="I449" i="1"/>
  <c r="F450" i="1"/>
  <c r="F451" i="1" s="1"/>
  <c r="H629" i="1" s="1"/>
  <c r="J629" i="1" s="1"/>
  <c r="G513" i="1" l="1"/>
  <c r="L513" i="1" s="1"/>
  <c r="F541" i="1" s="1"/>
  <c r="K541" i="1" s="1"/>
  <c r="L226" i="1"/>
  <c r="C27" i="10"/>
  <c r="G625" i="1"/>
  <c r="G462" i="1"/>
  <c r="E8" i="13"/>
  <c r="C17" i="10"/>
  <c r="C112" i="2"/>
  <c r="C28" i="12"/>
  <c r="C31" i="12" s="1"/>
  <c r="C27" i="12"/>
  <c r="A31" i="12" s="1"/>
  <c r="L209" i="1"/>
  <c r="J638" i="1"/>
  <c r="L207" i="1"/>
  <c r="L221" i="1" s="1"/>
  <c r="G650" i="1" s="1"/>
  <c r="G654" i="1" s="1"/>
  <c r="G221" i="1"/>
  <c r="H542" i="1"/>
  <c r="H44" i="1"/>
  <c r="H609" i="1" s="1"/>
  <c r="J609" i="1" s="1"/>
  <c r="G614" i="1"/>
  <c r="C113" i="2"/>
  <c r="C18" i="10"/>
  <c r="D12" i="13"/>
  <c r="C12" i="13" s="1"/>
  <c r="H638" i="1"/>
  <c r="J263" i="1"/>
  <c r="H460" i="1"/>
  <c r="H619" i="1"/>
  <c r="J619" i="1" s="1"/>
  <c r="C15" i="10"/>
  <c r="D6" i="13"/>
  <c r="C6" i="13" s="1"/>
  <c r="C110" i="2"/>
  <c r="C120" i="2" s="1"/>
  <c r="C41" i="2"/>
  <c r="C42" i="2" s="1"/>
  <c r="C43" i="2" s="1"/>
  <c r="F43" i="1"/>
  <c r="I651" i="1"/>
  <c r="L330" i="1"/>
  <c r="L344" i="1" s="1"/>
  <c r="D14" i="13"/>
  <c r="C14" i="13" s="1"/>
  <c r="C20" i="10"/>
  <c r="C115" i="2"/>
  <c r="D37" i="10"/>
  <c r="D40" i="10"/>
  <c r="D38" i="10"/>
  <c r="C18" i="12"/>
  <c r="A22" i="12" s="1"/>
  <c r="G512" i="1"/>
  <c r="L512" i="1" s="1"/>
  <c r="F540" i="1" s="1"/>
  <c r="K540" i="1" s="1"/>
  <c r="L208" i="1"/>
  <c r="G621" i="1"/>
  <c r="J621" i="1" s="1"/>
  <c r="G636" i="1"/>
  <c r="J636" i="1" s="1"/>
  <c r="G10" i="2"/>
  <c r="G19" i="2" s="1"/>
  <c r="J19" i="1"/>
  <c r="G611" i="1" s="1"/>
  <c r="F460" i="1"/>
  <c r="H617" i="1"/>
  <c r="J617" i="1" s="1"/>
  <c r="D36" i="10"/>
  <c r="D41" i="10" s="1"/>
  <c r="G239" i="1"/>
  <c r="L225" i="1"/>
  <c r="C111" i="2"/>
  <c r="J41" i="1"/>
  <c r="I450" i="1"/>
  <c r="I451" i="1" s="1"/>
  <c r="H632" i="1" s="1"/>
  <c r="J632" i="1"/>
  <c r="L190" i="1"/>
  <c r="G511" i="1"/>
  <c r="C9" i="12"/>
  <c r="A13" i="12" s="1"/>
  <c r="L189" i="1"/>
  <c r="G203" i="1"/>
  <c r="G249" i="1" s="1"/>
  <c r="G263" i="1" s="1"/>
  <c r="D39" i="10"/>
  <c r="H462" i="1" l="1"/>
  <c r="G623" i="1"/>
  <c r="G40" i="2"/>
  <c r="G42" i="2" s="1"/>
  <c r="G43" i="2" s="1"/>
  <c r="J43" i="1"/>
  <c r="L239" i="1"/>
  <c r="H650" i="1" s="1"/>
  <c r="H654" i="1" s="1"/>
  <c r="E33" i="13"/>
  <c r="D35" i="13" s="1"/>
  <c r="C8" i="13"/>
  <c r="G612" i="1"/>
  <c r="F44" i="1"/>
  <c r="H607" i="1" s="1"/>
  <c r="J607" i="1" s="1"/>
  <c r="H625" i="1"/>
  <c r="G464" i="1"/>
  <c r="G466" i="1" s="1"/>
  <c r="H613" i="1" s="1"/>
  <c r="J613" i="1" s="1"/>
  <c r="J625" i="1"/>
  <c r="G514" i="1"/>
  <c r="G535" i="1" s="1"/>
  <c r="L511" i="1"/>
  <c r="G657" i="1"/>
  <c r="G662" i="1"/>
  <c r="C5" i="10" s="1"/>
  <c r="C102" i="2"/>
  <c r="C11" i="10"/>
  <c r="L203" i="1"/>
  <c r="C101" i="2"/>
  <c r="C107" i="2" s="1"/>
  <c r="C137" i="2" s="1"/>
  <c r="C10" i="10"/>
  <c r="D5" i="13"/>
  <c r="C12" i="10"/>
  <c r="C103" i="2"/>
  <c r="C5" i="13" l="1"/>
  <c r="D33" i="13"/>
  <c r="D36" i="13" s="1"/>
  <c r="H464" i="1"/>
  <c r="H466" i="1" s="1"/>
  <c r="H614" i="1" s="1"/>
  <c r="J614" i="1" s="1"/>
  <c r="H623" i="1"/>
  <c r="D12" i="10"/>
  <c r="H662" i="1"/>
  <c r="C6" i="10" s="1"/>
  <c r="H657" i="1"/>
  <c r="L249" i="1"/>
  <c r="L263" i="1" s="1"/>
  <c r="F650" i="1"/>
  <c r="F539" i="1"/>
  <c r="L514" i="1"/>
  <c r="L535" i="1" s="1"/>
  <c r="C28" i="10"/>
  <c r="D10" i="10" s="1"/>
  <c r="G616" i="1"/>
  <c r="J44" i="1"/>
  <c r="H611" i="1" s="1"/>
  <c r="J611" i="1" s="1"/>
  <c r="J623" i="1"/>
  <c r="F462" i="1" l="1"/>
  <c r="G622" i="1"/>
  <c r="D19" i="10"/>
  <c r="D22" i="10"/>
  <c r="C30" i="10"/>
  <c r="D23" i="10"/>
  <c r="D24" i="10"/>
  <c r="D25" i="10"/>
  <c r="D26" i="10"/>
  <c r="D21" i="10"/>
  <c r="D13" i="10"/>
  <c r="D16" i="10"/>
  <c r="D18" i="10"/>
  <c r="D17" i="10"/>
  <c r="D20" i="10"/>
  <c r="D15" i="10"/>
  <c r="D27" i="10"/>
  <c r="D11" i="10"/>
  <c r="D28" i="10" s="1"/>
  <c r="F654" i="1"/>
  <c r="I650" i="1"/>
  <c r="I654" i="1" s="1"/>
  <c r="J616" i="1"/>
  <c r="K539" i="1"/>
  <c r="K542" i="1" s="1"/>
  <c r="F542" i="1"/>
  <c r="F464" i="1" l="1"/>
  <c r="F466" i="1" s="1"/>
  <c r="H612" i="1" s="1"/>
  <c r="J612" i="1" s="1"/>
  <c r="H622" i="1"/>
  <c r="J622" i="1" s="1"/>
  <c r="I657" i="1"/>
  <c r="I662" i="1"/>
  <c r="C7" i="10" s="1"/>
  <c r="F657" i="1"/>
  <c r="F662" i="1"/>
  <c r="C4" i="10" s="1"/>
  <c r="H6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4AD7FD7-2919-4267-95CC-32D22E61A089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2373CF1-55DE-4F10-B2B4-881902E2287B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4E14949-0E74-4812-ADE8-50820917F790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0B7D3D1-22F3-44A9-99B0-12D9ED090EBA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900C38A1-F9BF-41FB-A953-16F39A454451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17352467-30A4-431E-BD31-4A3C9A36AFA5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AA0240B0-022B-4310-9EC6-7D0E08749CFD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C03D7C0D-B678-4817-AD47-BAC320F59B06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1832E5A2-D1E1-4688-8744-DC9ABB2F9536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E3327878-F72F-4820-90ED-EEBD021C446E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D91BD842-D8D7-4A2D-A008-E9AD8A9F478A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CB875A3-80A5-455C-9CEB-6A488207C6B1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<sst xmlns="http://schemas.openxmlformats.org/spreadsheetml/2006/main" count="3864" uniqueCount="901">
  <si>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</si>
  <si>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</si>
  <si>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</si>
  <si>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</si>
  <si>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</si>
  <si>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</si>
  <si>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</si>
  <si>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</si>
  <si>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</si>
  <si>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</si>
  <si>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</si>
  <si>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</si>
  <si>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</si>
  <si>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</si>
  <si>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</si>
  <si>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</si>
  <si>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</si>
  <si>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</si>
  <si>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</si>
  <si>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</si>
  <si>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</si>
  <si>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</si>
  <si>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</si>
  <si>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</si>
  <si>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</si>
  <si>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</si>
  <si>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</si>
  <si>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</si>
  <si>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</si>
  <si>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</si>
  <si>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</si>
  <si>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</si>
  <si>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</si>
  <si>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</si>
  <si>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</si>
  <si>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</si>
  <si>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</si>
  <si>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</si>
  <si>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</si>
  <si>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</si>
  <si>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</si>
  <si>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</si>
  <si>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</si>
  <si>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</si>
  <si>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</si>
  <si>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</si>
  <si>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</si>
  <si>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</si>
  <si>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</si>
  <si>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</si>
  <si>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</si>
  <si>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</si>
  <si>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</si>
  <si>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</si>
  <si>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</si>
  <si>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</si>
  <si>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</si>
  <si>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</si>
  <si>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</si>
  <si>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</si>
  <si>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</si>
  <si>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</si>
  <si>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</si>
  <si>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</si>
  <si>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</si>
  <si>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</si>
  <si>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</si>
  <si>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</si>
  <si>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</si>
  <si>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</si>
  <si>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</si>
  <si>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</si>
  <si>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</si>
  <si>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</si>
  <si>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</si>
  <si>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</si>
  <si>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</si>
  <si>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</si>
  <si>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</si>
  <si>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</si>
  <si>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</si>
  <si>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</si>
  <si>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</si>
  <si>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</si>
  <si>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</si>
  <si>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</si>
  <si>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</si>
  <si>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</si>
  <si>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</si>
  <si>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</si>
  <si>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</si>
  <si>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</si>
  <si>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</si>
  <si>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</si>
  <si>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</si>
  <si>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</si>
  <si>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</si>
  <si>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</si>
  <si>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</si>
  <si>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</si>
  <si>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</si>
  <si>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</si>
  <si>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</si>
  <si>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</si>
  <si>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</si>
  <si>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</si>
  <si>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</si>
  <si>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</si>
  <si>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</si>
  <si>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</si>
  <si>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</si>
  <si>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</si>
  <si>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</si>
  <si>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</si>
  <si>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</si>
  <si>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</si>
  <si>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</si>
  <si>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</si>
  <si>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</si>
  <si>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</si>
  <si>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</si>
  <si>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</si>
  <si>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</si>
  <si>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</si>
  <si>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</si>
  <si>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</si>
  <si>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</si>
  <si>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</si>
  <si>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</si>
  <si>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</si>
  <si>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</si>
  <si>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</si>
  <si>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</si>
  <si>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</si>
  <si>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</si>
  <si>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</si>
  <si>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</si>
  <si>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</si>
  <si>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</si>
  <si>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</si>
  <si>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</si>
  <si>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</si>
  <si>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</si>
  <si>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</si>
  <si>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</si>
  <si>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</si>
  <si>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</si>
  <si>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</si>
  <si>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</si>
  <si>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</si>
  <si>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</si>
  <si>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</si>
  <si>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</si>
  <si>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</si>
  <si>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</si>
  <si>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</si>
  <si>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</si>
  <si>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</si>
  <si>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</si>
  <si>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</si>
  <si>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</si>
  <si>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</si>
  <si>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</si>
  <si>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</si>
  <si>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</si>
  <si>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</si>
  <si>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</si>
  <si>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</si>
  <si>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</si>
  <si>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</si>
  <si>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</si>
  <si>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</si>
  <si>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</si>
  <si>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</si>
  <si>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</si>
  <si>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</si>
  <si>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</si>
  <si>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</si>
  <si>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</si>
  <si>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</si>
  <si>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</si>
  <si>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</si>
  <si>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</si>
  <si>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</si>
  <si>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</si>
  <si>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</si>
  <si>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</si>
  <si>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</si>
  <si>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</si>
  <si>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</si>
  <si>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</si>
  <si>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</si>
  <si>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</si>
  <si>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</si>
  <si>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</si>
  <si>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</si>
  <si>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</si>
  <si>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</si>
  <si>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</si>
  <si>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</si>
  <si>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</si>
  <si>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</si>
  <si>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</si>
  <si>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</si>
  <si>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</si>
  <si>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</si>
  <si>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</si>
  <si>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</si>
  <si>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</si>
  <si>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</si>
  <si>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</si>
  <si>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</si>
  <si>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</si>
  <si>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</si>
  <si>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</si>
  <si>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</si>
  <si>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</si>
  <si>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</si>
  <si>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</si>
  <si>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</si>
  <si>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</si>
  <si>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</si>
  <si>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</si>
  <si>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</si>
  <si>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</si>
  <si>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</si>
  <si>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</si>
  <si>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</si>
  <si>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</si>
  <si>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</si>
  <si>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</si>
  <si>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</si>
  <si>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</si>
  <si>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</si>
  <si>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</si>
  <si>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</si>
  <si>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</si>
  <si>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</si>
  <si>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</si>
  <si>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</si>
  <si>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</si>
  <si>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</si>
  <si>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</si>
  <si>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</si>
  <si>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</si>
  <si>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</si>
  <si>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</si>
  <si>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</si>
  <si>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</si>
  <si>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</si>
  <si>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</si>
  <si>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</si>
  <si>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</si>
  <si>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</si>
  <si>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</si>
  <si>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</si>
  <si>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</si>
  <si>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</si>
  <si>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</si>
  <si>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</si>
  <si>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</si>
  <si>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</si>
  <si>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</si>
  <si>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</si>
  <si>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</si>
  <si>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</si>
  <si>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</si>
  <si>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</si>
  <si>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</si>
  <si>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</si>
  <si>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</si>
  <si>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</si>
  <si>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</si>
  <si>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</si>
  <si>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</si>
  <si>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</si>
  <si>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</si>
  <si>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</si>
  <si>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</si>
  <si>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</si>
  <si>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</si>
  <si>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</si>
  <si>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</si>
  <si>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</si>
  <si>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</si>
  <si>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</si>
  <si>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</si>
  <si>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</si>
  <si>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</si>
  <si>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</si>
  <si>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</si>
  <si>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</si>
  <si>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</si>
  <si>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</si>
  <si>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</si>
  <si>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</si>
  <si>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</si>
  <si>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</si>
  <si>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</si>
  <si>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</si>
  <si>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</si>
  <si>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</si>
  <si>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</si>
  <si>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</si>
  <si>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</si>
  <si>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</si>
  <si>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</si>
  <si>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</si>
  <si>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</si>
  <si>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</si>
  <si>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</si>
  <si>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</si>
  <si>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</si>
  <si>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</si>
  <si>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</si>
  <si>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</si>
  <si>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</si>
  <si>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</si>
  <si>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</si>
  <si>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</si>
  <si>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</si>
  <si>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</si>
  <si>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</si>
  <si>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</si>
  <si>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</si>
  <si>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</si>
  <si>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</si>
  <si>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</si>
  <si>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</si>
  <si>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</si>
  <si>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</si>
  <si>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</si>
  <si>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</si>
  <si>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</si>
  <si>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</si>
  <si>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</si>
  <si>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</si>
  <si>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</si>
  <si>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</si>
  <si>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</si>
  <si>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</si>
  <si>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</si>
  <si>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</si>
  <si>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</si>
  <si>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</si>
  <si>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</si>
  <si>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</si>
  <si>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</si>
  <si>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</si>
  <si>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</si>
  <si>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</si>
  <si>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</si>
  <si>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</si>
  <si>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</si>
  <si>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</si>
  <si>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</si>
  <si>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</si>
  <si>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</si>
  <si>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</si>
  <si>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</si>
  <si>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</si>
  <si>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</si>
  <si>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</si>
  <si>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</si>
  <si>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</si>
  <si>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</si>
  <si>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</si>
  <si>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</si>
  <si>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</si>
  <si>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</si>
  <si>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</si>
  <si>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</si>
  <si>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</si>
  <si>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</si>
  <si>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</si>
  <si>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</si>
  <si>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</si>
  <si>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</si>
  <si>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</si>
  <si>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</si>
  <si>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</si>
  <si>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</si>
  <si>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</si>
  <si>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</si>
  <si>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</si>
  <si>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</si>
  <si>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</si>
  <si>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</si>
  <si>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</si>
  <si>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</si>
  <si>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</si>
  <si>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</si>
  <si>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</si>
  <si>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</si>
  <si>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</si>
  <si>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</si>
  <si>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</si>
  <si>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</si>
  <si>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</si>
  <si>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</si>
  <si>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</si>
  <si>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</si>
  <si>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</si>
  <si>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</si>
  <si>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</si>
  <si>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</si>
  <si>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</si>
  <si>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</si>
  <si>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</si>
  <si>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</si>
  <si>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</si>
  <si>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</si>
  <si>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</si>
  <si>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</si>
  <si>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</si>
  <si>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</si>
  <si>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</si>
  <si>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</si>
  <si>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</si>
  <si>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</si>
  <si>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</si>
  <si>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</si>
  <si>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</si>
  <si>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</si>
  <si>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</si>
  <si>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</si>
  <si>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</si>
  <si>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</si>
  <si>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</si>
  <si>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</si>
  <si>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</si>
  <si>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</si>
  <si>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</si>
  <si>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</si>
  <si>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</si>
  <si>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</si>
  <si>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</si>
  <si>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</si>
  <si>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</si>
  <si>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</si>
  <si>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</si>
  <si>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</si>
  <si>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</si>
  <si>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</si>
  <si>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</si>
  <si>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</si>
  <si>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</si>
  <si>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</si>
  <si>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</si>
  <si>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</si>
  <si>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</si>
  <si>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</si>
  <si>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</si>
  <si>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</si>
  <si>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</si>
  <si>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</si>
  <si>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</si>
  <si>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</si>
  <si>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</si>
  <si>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</si>
  <si>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</si>
  <si>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</si>
  <si>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</si>
  <si>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</si>
  <si>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</si>
  <si>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</si>
  <si>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</si>
  <si>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</si>
  <si>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</si>
  <si>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</si>
  <si>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</si>
  <si>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</si>
  <si>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</si>
  <si>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</si>
  <si>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</si>
  <si>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</si>
  <si>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</si>
  <si>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</si>
  <si>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</si>
  <si>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</si>
  <si>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</si>
  <si>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</si>
  <si>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</si>
  <si>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</si>
  <si>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</si>
  <si>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</si>
  <si>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</si>
  <si>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</si>
  <si>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</si>
  <si>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</si>
  <si>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</si>
  <si>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</si>
  <si>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</si>
  <si>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</si>
  <si>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</si>
  <si>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</si>
  <si>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</si>
  <si>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</si>
  <si>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</si>
  <si>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</si>
  <si>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</si>
  <si>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</si>
  <si>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</si>
  <si>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</si>
  <si>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</si>
  <si>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</si>
  <si>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</si>
  <si>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</si>
  <si>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</si>
  <si>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</si>
  <si>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</si>
  <si>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</si>
  <si>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</si>
  <si>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</si>
  <si>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</si>
  <si>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</si>
  <si>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</si>
  <si>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</si>
  <si>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</si>
  <si>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</si>
  <si>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</si>
  <si>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</si>
  <si>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</si>
  <si>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</si>
  <si>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</si>
  <si>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</si>
  <si>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</si>
  <si>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</si>
  <si>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</si>
  <si>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</si>
  <si>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</si>
  <si>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</si>
  <si>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</si>
  <si>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</si>
  <si>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</si>
  <si>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</si>
  <si>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</si>
  <si>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</si>
  <si>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</si>
  <si>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</si>
  <si>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</si>
  <si>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</si>
  <si>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</si>
  <si>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</si>
  <si>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</si>
  <si>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</si>
  <si>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</si>
  <si>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</si>
  <si>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</si>
  <si>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</si>
  <si>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</si>
  <si>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</si>
  <si>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</si>
  <si>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</si>
  <si>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</si>
  <si>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</si>
  <si>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</si>
  <si>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</si>
  <si>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</si>
  <si>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</si>
  <si>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</si>
  <si>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</si>
  <si>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</si>
  <si>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</si>
  <si>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</si>
  <si>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</si>
  <si>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</si>
  <si>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</si>
  <si>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</si>
  <si>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</si>
  <si>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</si>
  <si>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</si>
  <si>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</si>
  <si>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</si>
  <si>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</si>
  <si>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</si>
  <si>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</si>
  <si>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</si>
  <si>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</si>
  <si>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</si>
  <si>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</si>
  <si>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</si>
  <si>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</si>
  <si>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</si>
  <si>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</si>
  <si>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</si>
  <si>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</si>
  <si>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</si>
  <si>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</si>
  <si>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</si>
  <si>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</si>
  <si>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</si>
  <si>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</si>
  <si>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</si>
  <si>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</si>
  <si>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</si>
  <si>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</si>
  <si>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</si>
  <si>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</si>
  <si>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</si>
  <si>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</si>
  <si>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</si>
  <si>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</si>
  <si>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</si>
  <si>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</si>
  <si>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</si>
  <si>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</si>
  <si>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</si>
  <si>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</si>
  <si>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</si>
  <si>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</si>
  <si>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</si>
  <si>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</si>
  <si>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</si>
  <si>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</si>
  <si>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</si>
  <si>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</si>
  <si>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</si>
  <si>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</si>
  <si>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</si>
  <si>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</si>
  <si>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</si>
  <si>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</si>
  <si>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</si>
  <si>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</si>
  <si>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</si>
  <si>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</si>
  <si>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</si>
  <si>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</si>
  <si>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</si>
  <si>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</si>
  <si>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</si>
  <si>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</si>
  <si>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</si>
  <si>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</si>
  <si>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</si>
  <si>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</si>
  <si>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</si>
  <si>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</si>
  <si>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</si>
  <si>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</si>
  <si>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</si>
  <si>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</si>
  <si>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</si>
  <si>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</si>
  <si>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</si>
  <si>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</si>
  <si>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</si>
  <si>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</si>
  <si>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</si>
  <si>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</si>
  <si>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</si>
  <si>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</si>
  <si>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</si>
  <si>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</si>
  <si>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</si>
  <si>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</si>
  <si>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</si>
  <si>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</si>
  <si>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</si>
  <si>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</si>
  <si>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</si>
  <si>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</si>
  <si>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</si>
  <si>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</si>
  <si>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</si>
  <si>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</si>
  <si>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</si>
  <si>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</si>
  <si>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</si>
  <si>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</si>
  <si>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</si>
  <si>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</si>
  <si>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</si>
  <si>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</si>
  <si>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</si>
  <si>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</si>
  <si>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</si>
  <si>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</si>
  <si>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</si>
  <si>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</si>
  <si>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</si>
  <si>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</si>
  <si>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</si>
  <si>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</si>
  <si>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</si>
  <si>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</si>
  <si>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</si>
  <si>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</si>
  <si>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</si>
  <si>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</si>
  <si>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</si>
  <si>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</si>
  <si>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</si>
  <si>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</si>
  <si>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</si>
  <si>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</si>
  <si>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</si>
  <si>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</si>
  <si>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</si>
  <si>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</si>
  <si>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</si>
  <si>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</si>
  <si>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</si>
  <si>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</si>
  <si>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</si>
  <si>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</si>
  <si>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</si>
  <si>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</si>
  <si>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</si>
  <si>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</si>
  <si>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</si>
  <si>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</si>
  <si>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</si>
  <si>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</si>
  <si>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</si>
  <si>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</si>
  <si>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</si>
  <si>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</si>
  <si>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</si>
  <si>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</si>
  <si>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</si>
  <si>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</si>
  <si>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</si>
  <si>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</si>
  <si>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</si>
  <si>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</si>
  <si>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</si>
  <si>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</si>
  <si>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</si>
  <si>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</si>
  <si>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</si>
  <si>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</si>
  <si>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</si>
  <si>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</si>
  <si>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</si>
  <si>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</si>
  <si>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</si>
  <si>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</si>
  <si>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</si>
  <si>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</si>
  <si>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</si>
  <si>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</si>
  <si>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</si>
  <si>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</si>
  <si>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</si>
  <si>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</si>
  <si>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</si>
  <si>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</si>
  <si>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</si>
  <si>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</si>
  <si>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</si>
  <si>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</si>
  <si>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</si>
  <si>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</si>
  <si>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</si>
  <si>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</si>
  <si>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</si>
  <si>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</si>
  <si>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</si>
  <si>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</si>
  <si>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</si>
  <si>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</si>
  <si>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</si>
  <si>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</si>
  <si>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</si>
  <si>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</si>
  <si>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</si>
  <si>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</si>
  <si>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</si>
  <si>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</si>
  <si>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</si>
  <si>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</si>
  <si>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</si>
  <si>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</si>
  <si>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</si>
  <si>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</si>
  <si>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</si>
  <si>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</si>
  <si>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</si>
  <si>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</si>
  <si>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</si>
  <si>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</si>
  <si>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</si>
  <si>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</si>
  <si>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</si>
  <si>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</si>
  <si>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</si>
  <si>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</si>
  <si>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</si>
  <si>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</si>
  <si>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</si>
  <si>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</si>
  <si>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</si>
  <si>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</si>
  <si>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</si>
  <si>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</si>
  <si>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</si>
  <si>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</si>
  <si>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</si>
  <si>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</si>
  <si>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</si>
  <si>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</si>
  <si>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</si>
  <si>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</si>
  <si>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</si>
  <si>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</si>
  <si>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</si>
  <si>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</si>
  <si>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</si>
  <si>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</si>
  <si>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</si>
  <si>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</si>
  <si>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</si>
  <si>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</si>
  <si>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</si>
  <si>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</si>
  <si>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</si>
  <si>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</si>
  <si>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</si>
  <si>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</si>
  <si>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</si>
  <si>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</si>
  <si>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</si>
  <si>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</si>
  <si>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</si>
  <si>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</si>
  <si>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</si>
  <si>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</si>
  <si>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</si>
  <si>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</si>
  <si>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</si>
  <si>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</si>
  <si>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</si>
  <si>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</si>
  <si>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</si>
  <si>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</si>
  <si>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</si>
  <si>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</si>
  <si>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</si>
  <si>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</si>
  <si>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</si>
  <si>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</si>
  <si>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</si>
  <si>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</si>
  <si>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</si>
  <si>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</si>
  <si>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</si>
  <si>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</si>
  <si>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</si>
  <si>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</si>
  <si>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</si>
  <si>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</si>
  <si>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</si>
  <si>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</si>
  <si>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</si>
  <si>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</si>
  <si>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</si>
  <si>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</si>
  <si>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</si>
  <si>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</si>
  <si>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</si>
  <si>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</si>
  <si>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</si>
  <si>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</si>
  <si>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</si>
  <si>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</si>
  <si>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</si>
  <si>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</si>
  <si>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</si>
  <si>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</si>
  <si>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</si>
  <si>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</si>
  <si>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</si>
  <si>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</si>
  <si>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</si>
  <si>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</si>
  <si>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</si>
  <si>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</si>
  <si>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</si>
  <si>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</si>
  <si>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</si>
  <si>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</si>
  <si>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</si>
  <si>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</si>
  <si>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</si>
  <si>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</si>
  <si>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</si>
  <si>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</si>
  <si>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</si>
  <si>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</si>
  <si>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</si>
  <si>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</si>
  <si>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</si>
  <si>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Food Service - Additional expense from PY</t>
  </si>
  <si>
    <t>Gnneral Fund PY Receivables</t>
  </si>
  <si>
    <t>10/01/1998</t>
  </si>
  <si>
    <t>10/01/12</t>
  </si>
  <si>
    <t>03/02/2002</t>
  </si>
  <si>
    <t>07/02/2012</t>
  </si>
  <si>
    <t>Contoocook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</si>
</sst>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DE26E-99D6-49D6-B524-F9928764ABB2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900</v>
      </c>
      <c r="B2" s="21">
        <v>112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-291389.43+5811.82+6940+94675.2+90381.27+111100</f>
        <v>17518.86000000003</v>
      </c>
      <c r="G9" s="18">
        <f>13503.46+300+713</f>
        <v>14516.46</v>
      </c>
      <c r="H9" s="18">
        <v>0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372923.1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H23+G23-111069.41</f>
        <v>259912.04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190000</v>
      </c>
      <c r="G13" s="18">
        <f>27244.1</f>
        <v>27244.1</v>
      </c>
      <c r="H13" s="18">
        <f>193499.4</f>
        <v>193499.4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11816.64+8085+42665.31+2494.15+4130.5+65167.78+39554.6</f>
        <v>173913.98</v>
      </c>
      <c r="G14" s="18">
        <v>34543.07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f>31663.19</f>
        <v>31663.19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f>272004.75</f>
        <v>272004.75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913349.63</v>
      </c>
      <c r="G19" s="41">
        <f>SUM(G9:G18)</f>
        <v>107966.82</v>
      </c>
      <c r="H19" s="41">
        <f>SUM(H9:H18)</f>
        <v>193499.4</v>
      </c>
      <c r="I19" s="41">
        <f>SUM(I9:I18)</f>
        <v>0</v>
      </c>
      <c r="J19" s="41">
        <f>SUM(J9:J18)</f>
        <v>372923.1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f>127179.77</f>
        <v>127179.77</v>
      </c>
      <c r="G23" s="18">
        <f>260635.43</f>
        <v>260635.43</v>
      </c>
      <c r="H23" s="18">
        <f>113912.64-5424.86+1270.83+587.41</f>
        <v>110346.02</v>
      </c>
      <c r="I23" s="18"/>
      <c r="J23" s="67">
        <f>SUM(I440)</f>
        <v>190000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218986.8+94675.2+90381.27+111100</f>
        <v>515143.27</v>
      </c>
      <c r="G25" s="18">
        <v>3747.05</v>
      </c>
      <c r="H25" s="18">
        <f>83153.38</f>
        <v>83153.38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642323.04</v>
      </c>
      <c r="G33" s="41">
        <f>SUM(G23:G32)</f>
        <v>264382.48</v>
      </c>
      <c r="H33" s="41">
        <f>SUM(H23:H32)</f>
        <v>193499.40000000002</v>
      </c>
      <c r="I33" s="41">
        <f>SUM(I23:I32)</f>
        <v>0</v>
      </c>
      <c r="J33" s="41">
        <f>SUM(J23:J32)</f>
        <v>190000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69319.87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f>150000+50000</f>
        <v>200000</v>
      </c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G19-G33-G35</f>
        <v>-156415.65999999997</v>
      </c>
      <c r="H41" s="18">
        <f>H19-H23-H25-H31</f>
        <v>-1.4551915228366852E-11</v>
      </c>
      <c r="I41" s="18"/>
      <c r="J41" s="13">
        <f>SUM(I449)</f>
        <v>182923.1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F19-F23-F25-F37-F38</f>
        <v>1706.7199999999721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271026.58999999997</v>
      </c>
      <c r="G43" s="41">
        <f>SUM(G35:G42)</f>
        <v>-156415.65999999997</v>
      </c>
      <c r="H43" s="41">
        <f>SUM(H35:H42)</f>
        <v>-1.4551915228366852E-11</v>
      </c>
      <c r="I43" s="41">
        <f>SUM(I35:I42)</f>
        <v>0</v>
      </c>
      <c r="J43" s="41">
        <f>SUM(J35:J42)</f>
        <v>182923.1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913349.63</v>
      </c>
      <c r="G44" s="41">
        <f>G43+G33</f>
        <v>107966.82</v>
      </c>
      <c r="H44" s="41">
        <f>H43+H33</f>
        <v>193499.40000000002</v>
      </c>
      <c r="I44" s="41">
        <f>I43+I33</f>
        <v>0</v>
      </c>
      <c r="J44" s="41">
        <f>J43+J33</f>
        <v>372923.1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29036579-F110</f>
        <v>24023128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24023128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40830.04+35576.46</f>
        <v>76406.5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f>276559.53</f>
        <v>276559.53000000003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f>35813.52</f>
        <v>35813.519999999997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388779.55000000005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f>12290.92+17000</f>
        <v>29290.92</v>
      </c>
      <c r="G88" s="18">
        <v>558.49</v>
      </c>
      <c r="H88" s="18"/>
      <c r="I88" s="18"/>
      <c r="J88" s="18">
        <f>110.44+12.29</f>
        <v>122.72999999999999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762557.49</f>
        <v>762557.49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f>34920</f>
        <v>34920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64210.92</v>
      </c>
      <c r="G103" s="41">
        <f>SUM(G88:G102)</f>
        <v>763115.98</v>
      </c>
      <c r="H103" s="41">
        <f>SUM(H88:H102)</f>
        <v>0</v>
      </c>
      <c r="I103" s="41">
        <f>SUM(I88:I102)</f>
        <v>0</v>
      </c>
      <c r="J103" s="41">
        <f>SUM(J88:J102)</f>
        <v>122.72999999999999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24476118.470000003</v>
      </c>
      <c r="G104" s="41">
        <f>G52+G103</f>
        <v>763115.98</v>
      </c>
      <c r="H104" s="41">
        <f>H52+H71+H86+H103</f>
        <v>0</v>
      </c>
      <c r="I104" s="41">
        <f>I52+I103</f>
        <v>0</v>
      </c>
      <c r="J104" s="41">
        <f>J52+J103</f>
        <v>122.72999999999999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6415091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5013451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2461275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>
        <v>740.49</v>
      </c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13889817</v>
      </c>
      <c r="G113" s="41">
        <f>SUM(G109:G112)</f>
        <v>740.49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1228065.67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f>728792.39</f>
        <v>728792.39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73112.479999999996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10562.24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2029970.54</v>
      </c>
      <c r="G128" s="41">
        <f>SUM(G115:G127)</f>
        <v>10562.24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15919787.539999999</v>
      </c>
      <c r="G132" s="41">
        <f>G113+SUM(G128:G129)</f>
        <v>11302.73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7860.81+13216.92+458566.97+163933.15+10074.53</f>
        <v>653652.38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15184.24+60531.85+13220.67+143915.64+12764.04</f>
        <v>245616.44000000003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f>10758.95+142402.09+111550</f>
        <v>264711.04000000004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f>14792</f>
        <v>14792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19098.34+8837.34+36152.58+7873.59+39538.91+11407.8+50165.21+11012.21+51627.7+25023.35+91406.16</f>
        <v>352143.19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299.64+543871.32+6575.53+182202.69+7626.69</f>
        <v>740575.86999999988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395497.42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395497.42</v>
      </c>
      <c r="G154" s="41">
        <f>SUM(G142:G153)</f>
        <v>352143.19</v>
      </c>
      <c r="H154" s="41">
        <f>SUM(H142:H153)</f>
        <v>1919347.73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395497.42</v>
      </c>
      <c r="G161" s="41">
        <f>G139+G154+SUM(G155:G160)</f>
        <v>352143.19</v>
      </c>
      <c r="H161" s="41">
        <f>H139+H154+SUM(H155:H160)</f>
        <v>1919347.73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f>216134.54+45400.7</f>
        <v>261535.24</v>
      </c>
      <c r="H171" s="18"/>
      <c r="I171" s="18"/>
      <c r="J171" s="18">
        <f>50000+50000</f>
        <v>100000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261535.24</v>
      </c>
      <c r="H175" s="41">
        <f>SUM(H171:H174)</f>
        <v>0</v>
      </c>
      <c r="I175" s="41">
        <f>SUM(I171:I174)</f>
        <v>0</v>
      </c>
      <c r="J175" s="41">
        <f>SUM(J171:J174)</f>
        <v>100000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190000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190000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190000</v>
      </c>
      <c r="G184" s="41">
        <f>G175+SUM(G180:G183)</f>
        <v>261535.24</v>
      </c>
      <c r="H184" s="41">
        <f>+H175+SUM(H180:H183)</f>
        <v>0</v>
      </c>
      <c r="I184" s="41">
        <f>I169+I175+SUM(I180:I183)</f>
        <v>0</v>
      </c>
      <c r="J184" s="41">
        <f>J175</f>
        <v>100000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40981403.430000007</v>
      </c>
      <c r="G185" s="47">
        <f>G104+G132+G161+G184</f>
        <v>1388097.14</v>
      </c>
      <c r="H185" s="47">
        <f>H104+H132+H161+H184</f>
        <v>1919347.73</v>
      </c>
      <c r="I185" s="47">
        <f>I104+I132+I161+I184</f>
        <v>0</v>
      </c>
      <c r="J185" s="47">
        <f>J104+J132+J184</f>
        <v>100122.73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110944.59+74114+40735.25+65000+41072.77+40813.17+350026.2+196383.8+37487.94+149177.04+23498.7+112030+43697.92+155642.6+18676.73+124919.3+24209.56+33902.62+45393+19287.77+774620+40209+145866+26639.75+24050.81+(769229.71*0.3)+138549</f>
        <v>3087716.4330000002</v>
      </c>
      <c r="G189" s="18">
        <f>522759.19+(F189*7.65%)+(238955.86+44927.6+52544.32)*0.3+(35198.75*0.3)+(F189*8.71%)+(F189/F249)*2221007.23</f>
        <v>1472469.8355500596</v>
      </c>
      <c r="H189" s="18">
        <f>4590+1746.7+405+1000+1491.1+1531+17746+(49960.98*0.3)+968.33</f>
        <v>44466.423999999999</v>
      </c>
      <c r="I189" s="18">
        <f>3111.96+755.32+78.8+991.84+486.72+607.15+18990.25+1037.77+184.8+62.48+10809.62+682.67+158.95+9878.87+168.12+121.89+5340.38+186.23+5996.36+143.9+7647.04+336.88+3534.66+384.61+618.11+66148.26+1048.33+877.86+10575.26+406.37+1210.84+(211683.53+1178.5)+(11241.08*0.3)</f>
        <v>368816.65399999998</v>
      </c>
      <c r="J189" s="18">
        <f>2123.4+5756.22+224.98+447.87+661.82+66.59+719.3+990+7803.49+291.48+(26546.12*0.3)+159.64+3563.53+990</f>
        <v>31762.155999999995</v>
      </c>
      <c r="K189" s="18">
        <f>(120+1116.56)*0.3</f>
        <v>370.96799999999996</v>
      </c>
      <c r="L189" s="19">
        <f>SUM(F189:K189)</f>
        <v>5005602.4705500603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68380.23+78958.62+86630.08+50019+94070.14+63012+58962+19595.66+35347+46380.42+41024+23498.7+48870+60537.6+195113+97016.69+56465+24209.56+(843999.21*0.3)+(75014.04*0.3)</f>
        <v>1423793.675</v>
      </c>
      <c r="G190" s="4">
        <f>282856.32+(F190*0.0765)+(F190*0.0871)+(F190/F249*2221007.23)</f>
        <v>669373.73027654225</v>
      </c>
      <c r="H190" s="18">
        <f>(132828.61*0.3)+(24727.73*0.33)+64980.79+106728.9+9511.2+19500+1050+(61645.43*0.3)</f>
        <v>268273.25290000002</v>
      </c>
      <c r="I190" s="18">
        <f>749.75+1920.23+389.46+3974.29+(17965.15*0.3)</f>
        <v>12423.275</v>
      </c>
      <c r="J190" s="18">
        <f>617.92+2461.99+632.25+1585.5+119+927.2</f>
        <v>6343.86</v>
      </c>
      <c r="K190" s="18">
        <f>(4376.72+4585+531)*0.3</f>
        <v>2847.8160000000003</v>
      </c>
      <c r="L190" s="19">
        <f>SUM(F190:K190)</f>
        <v>2383055.6091765421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28000</f>
        <v>28000</v>
      </c>
      <c r="G192" s="18">
        <f>F192*0.0765</f>
        <v>2142</v>
      </c>
      <c r="H192" s="18">
        <f>3489</f>
        <v>3489</v>
      </c>
      <c r="I192" s="18">
        <f>177.85</f>
        <v>177.85</v>
      </c>
      <c r="J192" s="18"/>
      <c r="K192" s="18"/>
      <c r="L192" s="19">
        <f>SUM(F192:K192)</f>
        <v>33808.85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82913+45393+45393+31217+40788+(86952.66*0.3)</f>
        <v>271789.79800000001</v>
      </c>
      <c r="G194" s="18">
        <f>24677.96+(F194*0.0765)+(F194*0.0871)+(F194/F249*2221007.23)</f>
        <v>98460.763440635114</v>
      </c>
      <c r="H194" s="18">
        <f>257.4+(34847.5+19275.72+66771.24)*0.3</f>
        <v>36525.738000000005</v>
      </c>
      <c r="I194" s="18">
        <f>2975.14+795.19+755.56+1067.88</f>
        <v>5593.7699999999995</v>
      </c>
      <c r="J194" s="18"/>
      <c r="K194" s="18"/>
      <c r="L194" s="19">
        <f t="shared" ref="L194:L200" si="0">SUM(F194:K194)</f>
        <v>412370.06944063515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50825+31840.8+34584.75+(95729.3*0.3)</f>
        <v>145969.34</v>
      </c>
      <c r="G195" s="18">
        <f>21478.93+(F195*0.0765)+(F195*0.0871)+(F195/F249*2221007.23)</f>
        <v>61105.241218566196</v>
      </c>
      <c r="H195" s="18">
        <f>(129928.39*0.3)+(2708.74*0.3)+66771.24*0.3</f>
        <v>59822.510999999999</v>
      </c>
      <c r="I195" s="18">
        <f>104.04+3656.67+3183.16+2708.58+2264.05+1234.09+1834.21+5218.56+2004.44</f>
        <v>22207.8</v>
      </c>
      <c r="J195" s="18"/>
      <c r="K195" s="18"/>
      <c r="L195" s="19">
        <f t="shared" si="0"/>
        <v>289104.89221856621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(330549.52+430596.51+83256.28+161604.51)*0.3</f>
        <v>301802.04600000003</v>
      </c>
      <c r="G196" s="18">
        <f>(73636.21+31325.87)*0.3+(F196*0.0765)+(F196*0.0916)+(F196/F249*2221007.23)</f>
        <v>114776.96459117993</v>
      </c>
      <c r="H196" s="18">
        <f>(42669.26+62474.5)*0.3+(20778*0.3)+(56127.98*0.3)</f>
        <v>54614.921999999999</v>
      </c>
      <c r="I196" s="18">
        <f>(124116.93*0.3)</f>
        <v>37235.078999999998</v>
      </c>
      <c r="J196" s="18"/>
      <c r="K196" s="18">
        <f>345+(6807.15+189.68+13254.8)*0.3</f>
        <v>6420.4889999999987</v>
      </c>
      <c r="L196" s="19">
        <f t="shared" si="0"/>
        <v>514849.50059118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36778.02+24405.2+25464.32+28333.76+26311.04+28287+48221+61301.46+58121.44+52061.55+64573.98+48932.8+97631.73+24899.84+78785.69</f>
        <v>704108.82999999984</v>
      </c>
      <c r="G197" s="18">
        <f>120457.79+(F197*0.0765)+(76357.4*0.3)+(F197*0.0871)+(F197/F249*2221007.23)</f>
        <v>334509.50396921649</v>
      </c>
      <c r="H197" s="18">
        <f>2820.34+775+503.5+453.65+4549.66+359.6+114.66+4599.63+278.66+3676.71+104.28+3536.08+90.78+3505.45+105.51+189.54+6069.53+511.62+1334.98+3855.5+170.11+387.86</f>
        <v>37992.649999999994</v>
      </c>
      <c r="I197" s="18">
        <f>760.92+65.2+9.89+1452.03+264.4</f>
        <v>2552.44</v>
      </c>
      <c r="J197" s="18"/>
      <c r="K197" s="18">
        <f>1794.53+2293.24+1337.92+1130.18+899+2958+3296.04+306</f>
        <v>14014.91</v>
      </c>
      <c r="L197" s="19">
        <f t="shared" si="0"/>
        <v>1093178.3339692161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59237.18+27248.34+38046+26048.05+22755.78+35689.68+96957.1+1372.5+20773.73+(80000+28584.4+229257.8)*0.3</f>
        <v>429481.01999999996</v>
      </c>
      <c r="G199" s="18">
        <f>80408.96+(F199*0.0765)+(F199*0.0916)+(F199/F249*2221007.23)</f>
        <v>198932.87971924324</v>
      </c>
      <c r="H199" s="18">
        <f>3917.4+5502.24+7056.38+7091.45+5608.64+5372.49+8542.49+3770.72+1480.1+2966.05-125.36+595.13+881.73+2529.35+1847.36+4750.93+2155.25+181.62+966.9+2019.66+103+590.07+3186.4+1037.06+1246.2+5470+1952.03+1925.44+443.94+113.35+1585.05+988.77+289.16+2492.5+414.07+1929.26+245.15+1149.3+1769.68+338.6+2051.78+5380+1969.07-694+530+1929.26+56.36+709.2+1543.9+8.59+388.8+4808+3614.07+1929.26+65.68+491.28+4317.57+5931.86+531.82+5200+3297.42+3900.61+5508.79+2740.13+1741.85+5753.06+1309.26+3257.4+9608+2312.05+621.99+2058.13+27.29+5519.43+1517.43+5023.25+936.28+4050+9284.45+(17805.33*0.3)+(247797*0.3)</f>
        <v>283289.57899999997</v>
      </c>
      <c r="I199" s="18">
        <f>43343.55+34021.08+32849.76+24768.36+399.5+27782.79+25024.35+93999.76+27916.43</f>
        <v>310105.58</v>
      </c>
      <c r="J199" s="18">
        <f>21500.02*0.3</f>
        <v>6450.0060000000003</v>
      </c>
      <c r="K199" s="18"/>
      <c r="L199" s="19">
        <f t="shared" si="0"/>
        <v>1228259.0647192432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5633.88+1863.71+1442.06+594.69+744.13+146.3+3249.34+2000+(2019863.19*0.36)</f>
        <v>742824.85839999991</v>
      </c>
      <c r="I200" s="18">
        <f>(275000+16196.91+52586.44)*0.36</f>
        <v>123762.00599999999</v>
      </c>
      <c r="J200" s="18"/>
      <c r="K200" s="18"/>
      <c r="L200" s="19">
        <f t="shared" si="0"/>
        <v>866586.86439999985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6392661.142</v>
      </c>
      <c r="G203" s="41">
        <f t="shared" si="1"/>
        <v>2951770.9187654434</v>
      </c>
      <c r="H203" s="41">
        <f t="shared" si="1"/>
        <v>1531298.9353</v>
      </c>
      <c r="I203" s="41">
        <f t="shared" si="1"/>
        <v>882874.45399999991</v>
      </c>
      <c r="J203" s="41">
        <f t="shared" si="1"/>
        <v>44556.021999999997</v>
      </c>
      <c r="K203" s="41">
        <f t="shared" si="1"/>
        <v>23654.182999999997</v>
      </c>
      <c r="L203" s="41">
        <f t="shared" si="1"/>
        <v>11826815.655065443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43822+35673+61219.83+107266+867756.67+55125.78+31821+34483+79498+98130+61753+106136+87362+1269413.24+24209.56+34786+45062+99873+(769229.71*0.34)-56036.26</f>
        <v>3348891.9214000003</v>
      </c>
      <c r="G207" s="18">
        <f>556828.34+(F207*0.0765)+(238955.86+44927.6+52544.32)*0.34+35198.75*0.34+(F207*0.0871)+(F207/F249*2221007.93)-4573.75</f>
        <v>1587731.7463645376</v>
      </c>
      <c r="H207" s="18">
        <f>4543.5+5000+1797.78+5956.84+8474+625.9+3360+60+3360+3360+3524+3360+15314.5+3445+3534.34+(49960.98*0.34)</f>
        <v>82702.593200000003</v>
      </c>
      <c r="I207" s="18">
        <f>6486.23+742.37+2216.38+1816.08+19186.66+3404.25+3540.04+13567.18+6312.43+607.52+4169.24+50147.96+3572.58+6613.31+11145.06+(11241.08*0.34)</f>
        <v>137349.25720000002</v>
      </c>
      <c r="J207" s="18">
        <f>1967.33+4767.52+3366.03+500+5800+1509.33+2395.74+4755.29+2858.88+4603.61+1258.05+27833.99+(26546.16*0.34)+1179.43+1598+753.47+1179.43+4595.08</f>
        <v>79946.874399999986</v>
      </c>
      <c r="K207" s="18">
        <f>165+11807+6700+(120+1116.56)*0.34</f>
        <v>19092.430400000001</v>
      </c>
      <c r="L207" s="19">
        <f>SUM(F207:K207)</f>
        <v>5255714.8229645379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27289.56+53870.6+35958.96+161341+144528.66+254038.97+148006.93+42866.64+(184886+302694.5)*0.5+(843999.21*0.34)+(75014.04*0.34)</f>
        <v>1424156.0749999997</v>
      </c>
      <c r="G208" s="18">
        <f>240308.96+(F208*0.0765)+(F208*0.0871)+(F208/F249*2221007.93)</f>
        <v>626924.79945850093</v>
      </c>
      <c r="H208" s="18">
        <f>(132828.61*0.34)+840.27+53.88+303.21+123.34+(24727.73*0.34)+129233.61+35195.01+1595.77+789.84+35195.01+60596.87+139073.95+(61645.43*0.34)</f>
        <v>477529.36180000001</v>
      </c>
      <c r="I208" s="18">
        <f>9696.74+640+(17965.15*0.34)</f>
        <v>16444.891</v>
      </c>
      <c r="J208" s="18">
        <f>630.31+98.98</f>
        <v>729.29</v>
      </c>
      <c r="K208" s="18">
        <f>(4376.72+4585+531)*0.34</f>
        <v>3227.5248000000006</v>
      </c>
      <c r="L208" s="19">
        <f>SUM(F208:K208)</f>
        <v>2549011.9420585004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f>61873+63012+46163+45062</f>
        <v>216110</v>
      </c>
      <c r="G209" s="18">
        <f>F209*0.0765+(F209*0.0871)+(F209/F249*2221007.93)</f>
        <v>58667.410498092118</v>
      </c>
      <c r="H209" s="18">
        <f>500+25.74+172.57</f>
        <v>698.31</v>
      </c>
      <c r="I209" s="18">
        <f>3996.66+3934.6+1522.83+3509.76</f>
        <v>12963.85</v>
      </c>
      <c r="J209" s="18">
        <f>922.5+355+615.1</f>
        <v>1892.6</v>
      </c>
      <c r="K209" s="18">
        <f>3400+6024+2576+484.9</f>
        <v>12484.9</v>
      </c>
      <c r="L209" s="19">
        <f>SUM(F209:K209)</f>
        <v>302817.0704980921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14038.56+43710.98+18267.71+37054.34</f>
        <v>113071.59</v>
      </c>
      <c r="G210" s="18">
        <f>F210*0.0765</f>
        <v>8649.9766349999991</v>
      </c>
      <c r="H210" s="18">
        <f>270+3775+8240+2473.29</f>
        <v>14758.29</v>
      </c>
      <c r="I210" s="18">
        <f>3206.1+3354.68+6042.16</f>
        <v>12602.939999999999</v>
      </c>
      <c r="J210" s="18">
        <f>1678.2+922.5</f>
        <v>2600.6999999999998</v>
      </c>
      <c r="K210" s="18"/>
      <c r="L210" s="19">
        <f>SUM(F210:K210)</f>
        <v>151683.49663500002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58535+61873+112727+46419+(86952.66*0.34)</f>
        <v>309117.9044</v>
      </c>
      <c r="G212" s="18">
        <f>20468.71+18279.9+(F212*0.0765)+(F212*0.0871)+(F212/F249*2221007.93)</f>
        <v>122664.8886994808</v>
      </c>
      <c r="H212" s="18">
        <f>200+(34847.5+19275.72+66771.24)*0.34+1910.01</f>
        <v>43214.126400000008</v>
      </c>
      <c r="I212" s="18">
        <f>593.57+2009.37+771.83</f>
        <v>3374.77</v>
      </c>
      <c r="J212" s="18">
        <f>1111.75</f>
        <v>1111.75</v>
      </c>
      <c r="K212" s="18"/>
      <c r="L212" s="19">
        <f t="shared" ref="L212:L218" si="2">SUM(F212:K212)</f>
        <v>479483.43949948082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63012+40698.45+(95729.3*0.34)</f>
        <v>136258.41200000001</v>
      </c>
      <c r="G213" s="18">
        <f>21478.93+(F213*0.0765)+(F213*0.0871)+(F213/F249*2221007.93)</f>
        <v>58469.019262977934</v>
      </c>
      <c r="H213" s="18">
        <f>1900+685.43+600+600+600+600+600+600+600+139.22+(129928.39*0.34)+(2708.74*0.34)+(66771.24*0.34)</f>
        <v>74723.495800000004</v>
      </c>
      <c r="I213" s="18">
        <f>17291.39+11398.13</f>
        <v>28689.519999999997</v>
      </c>
      <c r="J213" s="18"/>
      <c r="K213" s="18"/>
      <c r="L213" s="19">
        <f t="shared" si="2"/>
        <v>298140.44706297794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(330549.52+430596.51+83256.28+161604.51)*0.34</f>
        <v>342042.31880000007</v>
      </c>
      <c r="G214" s="18">
        <f>(73636.21+31325.87)*0.34+(F214*0.0765)+(F214*0.0916)+(F214/F249*2221007.93)</f>
        <v>130080.57149864562</v>
      </c>
      <c r="H214" s="18">
        <f>(42669.26+62474.5)*0.34+((20778*0.34))+(56127.98*0.34)</f>
        <v>61896.911600000007</v>
      </c>
      <c r="I214" s="18">
        <f>(124116.93*0.34)</f>
        <v>42199.756200000003</v>
      </c>
      <c r="J214" s="18"/>
      <c r="K214" s="18">
        <f>(6807.15+189.68+13254.8)*0.34</f>
        <v>6885.5541999999996</v>
      </c>
      <c r="L214" s="19">
        <f t="shared" si="2"/>
        <v>583105.11229864566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59585.6+161554+1918.5+55538.4+171109.8+10311.8</f>
        <v>460018.1</v>
      </c>
      <c r="G215" s="18">
        <f>80192.87+(F215*0.0765)+(76357.4*0.34)+(F215*0.0871)+(F215/F249*2221007.93)</f>
        <v>231035.56090746558</v>
      </c>
      <c r="H215" s="18">
        <f>24.97+4402.19+3075.28+307.13+5197.05+2081.92+418+456.3</f>
        <v>15962.84</v>
      </c>
      <c r="I215" s="18">
        <f>3156.41+400</f>
        <v>3556.41</v>
      </c>
      <c r="J215" s="18"/>
      <c r="K215" s="18">
        <f>937+761.86+3286+4920.96</f>
        <v>9905.82</v>
      </c>
      <c r="L215" s="19">
        <f t="shared" si="2"/>
        <v>720478.73090746545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105722.16+2442+128902.18+1281.13+(80000+28581.1+229257.8)*0.34</f>
        <v>353212.696</v>
      </c>
      <c r="G217" s="18">
        <f>45058.7+(F217*0.0765)+(F217*0.0916)+(F217/F249*2221007.93)</f>
        <v>142534.85478305648</v>
      </c>
      <c r="H217" s="18">
        <f>9332.04+19096.33+3423.86+5166.84+3986.24+9893.42+4255.42+4241.5+30059.56+7784.57+2717.77+7711.63+10503.12+5864.33+5813.32+5197.34+1928.07+18305.58+12195+7594.83+(17805.33*0.34)+(247797*0.34)</f>
        <v>265375.56220000004</v>
      </c>
      <c r="I217" s="18">
        <f>106946.14+150221.63</f>
        <v>257167.77000000002</v>
      </c>
      <c r="J217" s="18">
        <f>21500.02*0.34</f>
        <v>7310.006800000001</v>
      </c>
      <c r="K217" s="18"/>
      <c r="L217" s="19">
        <f t="shared" si="2"/>
        <v>1025600.8897830566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7473.08+1500+14009.75+14095.06+12967.63+2084.11+(2019863.19*0.34)</f>
        <v>738883.11460000009</v>
      </c>
      <c r="I218" s="18">
        <f>(275000+16196.91+52586.44)*0.34</f>
        <v>116886.33900000001</v>
      </c>
      <c r="J218" s="18"/>
      <c r="K218" s="18"/>
      <c r="L218" s="19">
        <f t="shared" si="2"/>
        <v>855769.45360000012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6702879.0176000018</v>
      </c>
      <c r="G221" s="41">
        <f>SUM(G207:G220)</f>
        <v>2966758.8281077566</v>
      </c>
      <c r="H221" s="41">
        <f>SUM(H207:H220)</f>
        <v>1775744.6056000004</v>
      </c>
      <c r="I221" s="41">
        <f>SUM(I207:I220)</f>
        <v>631235.50340000005</v>
      </c>
      <c r="J221" s="41">
        <f>SUM(J207:J220)</f>
        <v>93591.221199999985</v>
      </c>
      <c r="K221" s="41">
        <f t="shared" si="3"/>
        <v>51596.229399999997</v>
      </c>
      <c r="L221" s="41">
        <f t="shared" si="3"/>
        <v>12221805.405307759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137225+425799.36+21527.06+254118.98+24209.56+133587.13+423254+117172+386900.92+388324.74+103140.76+49280+63012+(769229.71*0.36)</f>
        <v>2804474.2056</v>
      </c>
      <c r="G225" s="18">
        <f>438213.58+(F225*0.0765)+(238955.86+44927.8+52544.32)*0.36+(35198.75*0.36)+(F225*0.0871)+(F225/F249*2221007.93)+26147.62</f>
        <v>1359477.809109037</v>
      </c>
      <c r="H225" s="18">
        <f>945+1502.75+6214.33+846+17899.42+2790.34+183+1875+1786.85+2300+697.45+34883.7+(49960.98*0.36)</f>
        <v>89909.792799999996</v>
      </c>
      <c r="I225" s="18">
        <f>8225.58+12079.14+13569.58+399.16+12884.53+5643.67+26700.42+12407.08+12103.7+17523.94+3552.77+(11241.04*0.36)</f>
        <v>129136.3444</v>
      </c>
      <c r="J225" s="18">
        <f>549+4927.84+2345.83+3670+4465+1461.07+1680.79+1285.32+723.12+1289+2280+(26546.16*0.36)+1844.08+159.98+5745.52</f>
        <v>41983.167600000001</v>
      </c>
      <c r="K225" s="18">
        <f>1734+(120+1116.56)*0.36</f>
        <v>2179.1615999999999</v>
      </c>
      <c r="L225" s="19">
        <f>SUM(F225:K225)</f>
        <v>4427160.4811090371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401070+205863.88+22247.52+67634.95+47605.16+94899.97+187989.2+246209.97+(164886+302694.5)*0.5+(843999.21*0.36)+(75014.04*0.36)</f>
        <v>1838155.67</v>
      </c>
      <c r="G226" s="18">
        <f>176193.12+(F226*0.0765)+(F226*0.0871)+(F226/F249*2221007.93)</f>
        <v>675197.48468134529</v>
      </c>
      <c r="H226" s="18">
        <f>837.13+8557.24+(132828.61*0.36)+(24727.73*0.36)+11671.5+35195.01+35195.01+13306.1+42583+309634.61+36801+316390.78+122326.83+5182.87+41266+56431.2+(61645.43*0.36)+1644.72</f>
        <v>1115935.6372</v>
      </c>
      <c r="I226" s="18">
        <f>5421.86+1689+(17965.15*0.36)</f>
        <v>13578.314</v>
      </c>
      <c r="J226" s="18">
        <f>665.99</f>
        <v>665.99</v>
      </c>
      <c r="K226" s="18">
        <f>(4376.72+4585+531)*0.36</f>
        <v>3417.3792000000003</v>
      </c>
      <c r="L226" s="19">
        <f>SUM(F226:K226)</f>
        <v>3646950.4750813451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f>66366.01+53068+149062+58535+48647+45393+54810+48647+58962</f>
        <v>583490.01</v>
      </c>
      <c r="G227" s="18">
        <f>8143.78+(F227*0.0765)+(F227*0.0871)+(F227/F249*2221007.93)</f>
        <v>166543.89076861722</v>
      </c>
      <c r="H227" s="18">
        <f>299.5+2268.26+1933.75+51.88+5688.52+1803.55</f>
        <v>12045.46</v>
      </c>
      <c r="I227" s="18">
        <f>2205.13+6198+9698.69+5701.3+397.84+408.21+501.69+6109.63+3174.26+3446.94</f>
        <v>37841.69</v>
      </c>
      <c r="J227" s="18"/>
      <c r="K227" s="18"/>
      <c r="L227" s="19">
        <f>SUM(F227:K227)</f>
        <v>799921.05076861707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57464.21+18798.22+67991.09+128885.12+21299.98</f>
        <v>294438.62</v>
      </c>
      <c r="G228" s="18">
        <f>19121.03+(F228*0.0765)</f>
        <v>41645.584430000003</v>
      </c>
      <c r="H228" s="18">
        <f>64000.58+4533.08+5688.52+1803.55</f>
        <v>76025.73000000001</v>
      </c>
      <c r="I228" s="18">
        <f>2452.12+15395.53</f>
        <v>17847.650000000001</v>
      </c>
      <c r="J228" s="18">
        <f>14895.73+4574</f>
        <v>19469.73</v>
      </c>
      <c r="K228" s="18">
        <f>10029.31+51842.39+5924.11</f>
        <v>67795.81</v>
      </c>
      <c r="L228" s="19">
        <f>SUM(F228:K228)</f>
        <v>517223.12443000003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255398.48+56004.84+79739.41+20618.03+45393+24209.56+(86952.66*0.36)</f>
        <v>512666.27760000003</v>
      </c>
      <c r="G230" s="18">
        <f>89231.83+24677.96+(F230*0.0765)+(F230*0.0871)+(F230/F249*2221007.93)</f>
        <v>253083.37269625673</v>
      </c>
      <c r="H230" s="18">
        <f>361.53+3000+(34847.5+19275.72+66771.24)*0.36</f>
        <v>46883.535600000003</v>
      </c>
      <c r="I230" s="18">
        <f>732.29+2455.57</f>
        <v>3187.86</v>
      </c>
      <c r="J230" s="18">
        <f>212.14</f>
        <v>212.14</v>
      </c>
      <c r="K230" s="18">
        <f>5896.9</f>
        <v>5896.9</v>
      </c>
      <c r="L230" s="19">
        <f t="shared" ref="L230:L236" si="4">SUM(F230:K230)</f>
        <v>821930.08589625673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44554.66+18978.69+(95729.3*0.36)</f>
        <v>97995.898000000016</v>
      </c>
      <c r="G231" s="18">
        <f>F231*0.0765+(F231*0.0871)+(F231/F249*2221007.93)</f>
        <v>26602.959488663946</v>
      </c>
      <c r="H231" s="18">
        <f>1259+2246.29+(129928.39*0.36)+(2708.74*0.36)+(66721.24*0.36)</f>
        <v>75274.303199999995</v>
      </c>
      <c r="I231" s="18">
        <f>28671.07</f>
        <v>28671.07</v>
      </c>
      <c r="J231" s="18">
        <f>2845.68</f>
        <v>2845.68</v>
      </c>
      <c r="K231" s="18"/>
      <c r="L231" s="19">
        <f t="shared" si="4"/>
        <v>231389.91068866395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(330549.52+430596.51+83256.28+161604.51)*0.36+5327.11</f>
        <v>367489.56520000001</v>
      </c>
      <c r="G232" s="18">
        <f>(73636.21+31325.87)*0.36+(F232*0.0765)+(F232*0.0916)+(F232/F249*221007.93)</f>
        <v>103505.95383349026</v>
      </c>
      <c r="H232" s="18">
        <f>(42669.26+62474.5)*0.36+(20778*0.36)+(56127.98*0.36)</f>
        <v>65537.906400000007</v>
      </c>
      <c r="I232" s="18">
        <f>(124116.93*0.36)</f>
        <v>44682.094799999999</v>
      </c>
      <c r="J232" s="18"/>
      <c r="K232" s="18">
        <f>(6807.15+189.68+13254.8)*0.36</f>
        <v>7290.5867999999991</v>
      </c>
      <c r="L232" s="19">
        <f t="shared" si="4"/>
        <v>588506.10703349032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38896.25+65333.76+251172.82+24868.07+20349.12+73272.78+85690</f>
        <v>559582.80000000005</v>
      </c>
      <c r="G233" s="18">
        <f>30111.93+19121.03+(F233*0.0765)+(76357.4*0.36)+(F233*0.0871)+(F233/F249*2221007.93)</f>
        <v>228631.6412841228</v>
      </c>
      <c r="H233" s="18">
        <f>5940+800+22819.6+6488.58+237.51+27096.93+1024.49</f>
        <v>64407.11</v>
      </c>
      <c r="I233" s="18">
        <f>4020.37+243.74</f>
        <v>4264.1099999999997</v>
      </c>
      <c r="J233" s="18"/>
      <c r="K233" s="18">
        <f>7215.94+18052.36+170.95</f>
        <v>25439.25</v>
      </c>
      <c r="L233" s="19">
        <f t="shared" si="4"/>
        <v>882324.91128412285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205322.13+26352.13+82516.12+(80000+28584.1+229257.8)*0.36</f>
        <v>435813.46400000004</v>
      </c>
      <c r="G235" s="18">
        <f>35286.11+(F235*0.0765)+(F235*0.0916)+(F235/F249*2221007.93)</f>
        <v>155557.60973511718</v>
      </c>
      <c r="H235" s="18">
        <f>18708.37+19141.68+24073.43+100878.53+15033.52+8688.28+18444.61+44191.4+954.55+17555+31989.76+961.54+6710.03+(17805.33*0.36)+(247797*0.36)</f>
        <v>402947.53879999998</v>
      </c>
      <c r="I235" s="18">
        <f>290027.29+278.5+2166.67</f>
        <v>292472.45999999996</v>
      </c>
      <c r="J235" s="18">
        <f>21500.02*0.36</f>
        <v>7740.0072</v>
      </c>
      <c r="K235" s="18"/>
      <c r="L235" s="19">
        <f t="shared" si="4"/>
        <v>1294531.0797351173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70322.57+988.21+360.76+3012+105.35+3462.58+(2019863.19*0.3)</f>
        <v>684210.42699999991</v>
      </c>
      <c r="I236" s="18">
        <f>(275000+16196.91+52586.44)*0.3</f>
        <v>103135.00499999999</v>
      </c>
      <c r="J236" s="18"/>
      <c r="K236" s="18"/>
      <c r="L236" s="19">
        <f t="shared" si="4"/>
        <v>787345.43199999991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>
        <f>12468.79</f>
        <v>12468.79</v>
      </c>
      <c r="I237" s="18"/>
      <c r="J237" s="18"/>
      <c r="K237" s="18"/>
      <c r="L237" s="19">
        <f>SUM(F237:K237)</f>
        <v>12468.79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7494106.5103999991</v>
      </c>
      <c r="G239" s="41">
        <f t="shared" si="5"/>
        <v>3010246.3060266501</v>
      </c>
      <c r="H239" s="41">
        <f t="shared" si="5"/>
        <v>2645646.2309999997</v>
      </c>
      <c r="I239" s="41">
        <f t="shared" si="5"/>
        <v>674816.59820000001</v>
      </c>
      <c r="J239" s="41">
        <f t="shared" si="5"/>
        <v>72916.714800000002</v>
      </c>
      <c r="K239" s="41">
        <f t="shared" si="5"/>
        <v>112019.0876</v>
      </c>
      <c r="L239" s="41">
        <f t="shared" si="5"/>
        <v>14009751.448026652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20589646.670000002</v>
      </c>
      <c r="G249" s="41">
        <f t="shared" si="8"/>
        <v>8928776.0528998505</v>
      </c>
      <c r="H249" s="41">
        <f t="shared" si="8"/>
        <v>5952689.7719000001</v>
      </c>
      <c r="I249" s="41">
        <f t="shared" si="8"/>
        <v>2188926.5556000001</v>
      </c>
      <c r="J249" s="41">
        <f t="shared" si="8"/>
        <v>211063.95799999998</v>
      </c>
      <c r="K249" s="41">
        <f t="shared" si="8"/>
        <v>187269.5</v>
      </c>
      <c r="L249" s="41">
        <f t="shared" si="8"/>
        <v>38058372.508399852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2032664.08</v>
      </c>
      <c r="L252" s="19">
        <f>SUM(F252:K252)</f>
        <v>2032664.08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626054.07999999996</v>
      </c>
      <c r="L253" s="19">
        <f>SUM(F253:K253)</f>
        <v>626054.07999999996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f>216134.54+45400.7</f>
        <v>261535.24</v>
      </c>
      <c r="L255" s="19">
        <f>SUM(F255:K255)</f>
        <v>261535.24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f>50000+50000</f>
        <v>100000</v>
      </c>
      <c r="L258" s="19">
        <f t="shared" si="9"/>
        <v>100000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3020253.4000000004</v>
      </c>
      <c r="L262" s="41">
        <f t="shared" si="9"/>
        <v>3020253.4000000004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20589646.670000002</v>
      </c>
      <c r="G263" s="42">
        <f t="shared" si="11"/>
        <v>8928776.0528998505</v>
      </c>
      <c r="H263" s="42">
        <f t="shared" si="11"/>
        <v>5952689.7719000001</v>
      </c>
      <c r="I263" s="42">
        <f t="shared" si="11"/>
        <v>2188926.5556000001</v>
      </c>
      <c r="J263" s="42">
        <f t="shared" si="11"/>
        <v>211063.95799999998</v>
      </c>
      <c r="K263" s="42">
        <f t="shared" si="11"/>
        <v>3207522.9000000004</v>
      </c>
      <c r="L263" s="42">
        <f t="shared" si="11"/>
        <v>41078625.90839985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314435.75+26000+18157.2+8340+46959+5040+11130+61500+2896.25+966.62+10500</f>
        <v>505924.82</v>
      </c>
      <c r="G268" s="18">
        <f>5395.92+65259.94+8182.74+6546.19+969.81+16365.48+516.72+2348.69+206.69+82.68+516.72+87+34.8+13.92+87+169.13+49.93+22.93+28.88+129.14+177.19+4704.75+16.58+24173.42+215.29+1870.16+1369.02+637.83+803.25+3592.36+385.56+851.45+5633.4+0.01+24723.55+216.87+1947.1+3399.94+670.38+775.53+3517.23+364.64+814.9</f>
        <v>187874.72</v>
      </c>
      <c r="H268" s="18">
        <f>56874.1+32081.3+49.95+1703.61+13388.71+10673.21+1500+207.33+480.41</f>
        <v>116958.61999999998</v>
      </c>
      <c r="I268" s="18">
        <f>267.36+45.89+100+73.6+27.7+1700+413.74+1151.57+1593+477.61+95.97+200+167.9+1946.76+166.47</f>
        <v>8427.5699999999979</v>
      </c>
      <c r="J268" s="18">
        <f>6510</f>
        <v>6510</v>
      </c>
      <c r="K268" s="18">
        <f>583.13+158.88+12+105+3373.02+12601.82+995.91+244.7+244.7+215.68+10992.39+3824.12+236.12+58.24+146.38</f>
        <v>33792.089999999997</v>
      </c>
      <c r="L268" s="19">
        <f>SUM(F268:K268)</f>
        <v>859487.82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230438.48+6421.42+3952.2+28362.91+937.32+0.33*20000</f>
        <v>276712.33</v>
      </c>
      <c r="G269" s="18">
        <f>76917.76+3978.74+699.9+2974.37+19899.49+315.43+2973.31+85.86+14672.07+296.03</f>
        <v>122812.95999999999</v>
      </c>
      <c r="H269" s="18">
        <f>15087.52+3005.9+23740.2-293.81+4275+1000</f>
        <v>46814.810000000005</v>
      </c>
      <c r="I269" s="18">
        <f>15496.44+240.15+317.17</f>
        <v>16053.76</v>
      </c>
      <c r="J269" s="18">
        <f>20064+0.32*58106+3185.22</f>
        <v>41843.14</v>
      </c>
      <c r="K269" s="18">
        <f>14340+154.11</f>
        <v>14494.11</v>
      </c>
      <c r="L269" s="19">
        <f>SUM(F269:K269)</f>
        <v>518731.11000000004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f>2000</f>
        <v>2000</v>
      </c>
      <c r="G275" s="18">
        <f>19.25</f>
        <v>19.25</v>
      </c>
      <c r="H275" s="18"/>
      <c r="I275" s="18"/>
      <c r="J275" s="18"/>
      <c r="K275" s="18"/>
      <c r="L275" s="19">
        <f t="shared" si="12"/>
        <v>2019.25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f>5000+241.95</f>
        <v>5241.95</v>
      </c>
      <c r="G276" s="18">
        <f>535.5+0.02+17.38+183.06-0.06+374.51+18.12</f>
        <v>1128.53</v>
      </c>
      <c r="H276" s="18"/>
      <c r="I276" s="18">
        <f>225.78+166.9</f>
        <v>392.68</v>
      </c>
      <c r="J276" s="18"/>
      <c r="K276" s="18">
        <f>1143.71+112.5</f>
        <v>1256.21</v>
      </c>
      <c r="L276" s="19">
        <f t="shared" si="12"/>
        <v>8019.37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789879.1</v>
      </c>
      <c r="G282" s="42">
        <f t="shared" si="13"/>
        <v>311835.46000000002</v>
      </c>
      <c r="H282" s="42">
        <f t="shared" si="13"/>
        <v>163773.43</v>
      </c>
      <c r="I282" s="42">
        <f t="shared" si="13"/>
        <v>24874.01</v>
      </c>
      <c r="J282" s="42">
        <f t="shared" si="13"/>
        <v>48353.14</v>
      </c>
      <c r="K282" s="42">
        <f t="shared" si="13"/>
        <v>49542.409999999996</v>
      </c>
      <c r="L282" s="41">
        <f t="shared" si="13"/>
        <v>1388257.55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>
        <f>5661+6578.5+1600</f>
        <v>13839.5</v>
      </c>
      <c r="I287" s="18"/>
      <c r="J287" s="18"/>
      <c r="K287" s="18"/>
      <c r="L287" s="19">
        <f>SUM(F287:K287)</f>
        <v>13839.5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0.35*20000</f>
        <v>7000</v>
      </c>
      <c r="G288" s="18"/>
      <c r="H288" s="18">
        <f>4500+5875+6113.5</f>
        <v>16488.5</v>
      </c>
      <c r="I288" s="18">
        <f>1000+7915</f>
        <v>8915</v>
      </c>
      <c r="J288" s="18">
        <f>0.33*58106+2412.91</f>
        <v>21587.89</v>
      </c>
      <c r="K288" s="18"/>
      <c r="L288" s="19">
        <f>SUM(F288:K288)</f>
        <v>53991.39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7000</v>
      </c>
      <c r="G301" s="42">
        <f t="shared" si="15"/>
        <v>0</v>
      </c>
      <c r="H301" s="42">
        <f t="shared" si="15"/>
        <v>30328</v>
      </c>
      <c r="I301" s="42">
        <f t="shared" si="15"/>
        <v>8915</v>
      </c>
      <c r="J301" s="42">
        <f t="shared" si="15"/>
        <v>21587.89</v>
      </c>
      <c r="K301" s="42">
        <f t="shared" si="15"/>
        <v>0</v>
      </c>
      <c r="L301" s="41">
        <f t="shared" si="15"/>
        <v>67830.89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8016.61</f>
        <v>8016.61</v>
      </c>
      <c r="G306" s="18">
        <f>17.39+613.27+600.44</f>
        <v>1231.0999999999999</v>
      </c>
      <c r="H306" s="18">
        <f>12975.97+1000</f>
        <v>13975.97</v>
      </c>
      <c r="I306" s="18">
        <f>1942.26+274.91</f>
        <v>2217.17</v>
      </c>
      <c r="J306" s="18"/>
      <c r="K306" s="18">
        <f>299.16</f>
        <v>299.16000000000003</v>
      </c>
      <c r="L306" s="19">
        <f>SUM(F306:K306)</f>
        <v>25740.01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31498.18+26483.83+0.32*20000</f>
        <v>64382.01</v>
      </c>
      <c r="G307" s="18">
        <f>9091.89+9546.53+387.54+358.7+65.25+50.758662+72.83+2409.61+2026.01+2626.98+1983.66</f>
        <v>28619.758662</v>
      </c>
      <c r="H307" s="18">
        <f>43193.74+1263.6</f>
        <v>44457.34</v>
      </c>
      <c r="I307" s="18"/>
      <c r="J307" s="18">
        <f>0.35*58106.9</f>
        <v>20337.415000000001</v>
      </c>
      <c r="K307" s="18"/>
      <c r="L307" s="19">
        <f>SUM(F307:K307)</f>
        <v>157796.52366199999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f>14436+21000+1290.4</f>
        <v>36726.400000000001</v>
      </c>
      <c r="G308" s="18">
        <f>3.55+98.72+29.55+72.48</f>
        <v>204.3</v>
      </c>
      <c r="H308" s="18">
        <f>5113.8+3200+94500+1520.48+400+235.63+1163.97+665.94</f>
        <v>106799.82</v>
      </c>
      <c r="I308" s="18">
        <f>166.95+950.14+5141.25+4456.19+2767.6+1185+3440+699+1387.97+395</f>
        <v>20589.099999999999</v>
      </c>
      <c r="J308" s="18">
        <f>84271.54+1135+1358.86-143.72</f>
        <v>86621.68</v>
      </c>
      <c r="K308" s="18">
        <f>400+6565.22+455+3333.76+2614+269.21</f>
        <v>13637.189999999999</v>
      </c>
      <c r="L308" s="19">
        <f>SUM(F308:K308)</f>
        <v>264578.49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109125.01999999999</v>
      </c>
      <c r="G320" s="42">
        <f t="shared" si="17"/>
        <v>30055.158661999998</v>
      </c>
      <c r="H320" s="42">
        <f t="shared" si="17"/>
        <v>165233.13</v>
      </c>
      <c r="I320" s="42">
        <f t="shared" si="17"/>
        <v>22806.269999999997</v>
      </c>
      <c r="J320" s="42">
        <f t="shared" si="17"/>
        <v>106959.095</v>
      </c>
      <c r="K320" s="42">
        <f t="shared" si="17"/>
        <v>13936.349999999999</v>
      </c>
      <c r="L320" s="41">
        <f t="shared" si="17"/>
        <v>448115.02366199996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10600</v>
      </c>
      <c r="G325" s="18">
        <f>25.3+864.35+689</f>
        <v>1578.65</v>
      </c>
      <c r="H325" s="18">
        <f>700</f>
        <v>700</v>
      </c>
      <c r="I325" s="18">
        <f>1566.58</f>
        <v>1566.58</v>
      </c>
      <c r="J325" s="18"/>
      <c r="K325" s="18">
        <f>346.69</f>
        <v>346.69</v>
      </c>
      <c r="L325" s="19">
        <f t="shared" si="18"/>
        <v>14791.92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10600</v>
      </c>
      <c r="G329" s="41">
        <f t="shared" si="19"/>
        <v>1578.65</v>
      </c>
      <c r="H329" s="41">
        <f t="shared" si="19"/>
        <v>700</v>
      </c>
      <c r="I329" s="41">
        <f t="shared" si="19"/>
        <v>1566.58</v>
      </c>
      <c r="J329" s="41">
        <f t="shared" si="19"/>
        <v>0</v>
      </c>
      <c r="K329" s="41">
        <f t="shared" si="19"/>
        <v>346.69</v>
      </c>
      <c r="L329" s="41">
        <f t="shared" si="18"/>
        <v>14791.92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916604.12</v>
      </c>
      <c r="G330" s="41">
        <f t="shared" si="20"/>
        <v>343469.26866200002</v>
      </c>
      <c r="H330" s="41">
        <f t="shared" si="20"/>
        <v>360034.56</v>
      </c>
      <c r="I330" s="41">
        <f t="shared" si="20"/>
        <v>58161.859999999993</v>
      </c>
      <c r="J330" s="41">
        <f t="shared" si="20"/>
        <v>176900.125</v>
      </c>
      <c r="K330" s="41">
        <f t="shared" si="20"/>
        <v>63825.45</v>
      </c>
      <c r="L330" s="41">
        <f t="shared" si="20"/>
        <v>1918995.3836619998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916604.12</v>
      </c>
      <c r="G344" s="41">
        <f>G330</f>
        <v>343469.26866200002</v>
      </c>
      <c r="H344" s="41">
        <f>H330</f>
        <v>360034.56</v>
      </c>
      <c r="I344" s="41">
        <f>I330</f>
        <v>58161.859999999993</v>
      </c>
      <c r="J344" s="41">
        <f>J330</f>
        <v>176900.125</v>
      </c>
      <c r="K344" s="47">
        <f>K330+K343</f>
        <v>63825.45</v>
      </c>
      <c r="L344" s="41">
        <f>L330+L343</f>
        <v>1918995.3836619998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77134+0.33*114139.01</f>
        <v>114799.87330000001</v>
      </c>
      <c r="G350" s="18">
        <f>3356.33+5113.99+0.33*12833.52+0.33*216134.54</f>
        <v>84029.779800000018</v>
      </c>
      <c r="H350" s="18">
        <f>593.96+2809.29+247+0.33*6139.41+0.33*2919.76</f>
        <v>6639.7761</v>
      </c>
      <c r="I350" s="18">
        <f>95529.42+15644.22+0.33*11642.35+1472.4</f>
        <v>116488.01549999999</v>
      </c>
      <c r="J350" s="18">
        <f>0.33*5924</f>
        <v>1954.92</v>
      </c>
      <c r="K350" s="18">
        <f>0.33*4463.2</f>
        <v>1472.856</v>
      </c>
      <c r="L350" s="13">
        <f>SUM(F350:K350)</f>
        <v>325385.22070000001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74571.68+75264.41+0.33*114139.01-216.18</f>
        <v>187285.78330000001</v>
      </c>
      <c r="G351" s="18">
        <f>955.47+5347.3+5150.82+0.33*12833.52+0.33*216134.54</f>
        <v>87013.049800000008</v>
      </c>
      <c r="H351" s="18">
        <f>667.9+1889.27+683.42+39.89+1843+0.33*6139.41+0.33*2919.76</f>
        <v>8113.0060999999996</v>
      </c>
      <c r="I351" s="18">
        <f>6348.72+63889.96+13366.08+1903.23+3371.55+11277.1+50440.35+18043.18+3487.7+241.81+3957.38-371.58-305.9+0.33*11642.35+338.53</f>
        <v>179830.08550000002</v>
      </c>
      <c r="J351" s="18">
        <f>0.33*5924</f>
        <v>1954.92</v>
      </c>
      <c r="K351" s="18">
        <f>0.33*4463.2+350+350</f>
        <v>2172.8559999999998</v>
      </c>
      <c r="L351" s="19">
        <f>SUM(F351:K351)</f>
        <v>466369.70070000004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158826.12+0.34*114139.01</f>
        <v>197633.38339999999</v>
      </c>
      <c r="G352" s="18">
        <f>12261.62+10836.64+0.34*12833.52+0.34*216134.54</f>
        <v>100947.40040000001</v>
      </c>
      <c r="H352" s="18">
        <f>649.71+2092.93+0.34*6139.41+0.34*2919.76</f>
        <v>5822.7577999999994</v>
      </c>
      <c r="I352" s="18">
        <f>17822.48+209749.54+35616.52+3012.14+1401.72+2994.92+0.34*11642.35-93.51</f>
        <v>274462.20899999997</v>
      </c>
      <c r="J352" s="18">
        <f>0.34*5924</f>
        <v>2014.16</v>
      </c>
      <c r="K352" s="18">
        <f>0.34*4463.2+487.6</f>
        <v>2005.0880000000002</v>
      </c>
      <c r="L352" s="19">
        <f>SUM(F352:K352)</f>
        <v>582884.99859999993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499719.04</v>
      </c>
      <c r="G354" s="47">
        <f t="shared" si="22"/>
        <v>271990.23000000004</v>
      </c>
      <c r="H354" s="47">
        <f t="shared" si="22"/>
        <v>20575.54</v>
      </c>
      <c r="I354" s="47">
        <f t="shared" si="22"/>
        <v>570780.31000000006</v>
      </c>
      <c r="J354" s="47">
        <f t="shared" si="22"/>
        <v>5924</v>
      </c>
      <c r="K354" s="47">
        <f t="shared" si="22"/>
        <v>5650.7999999999993</v>
      </c>
      <c r="L354" s="47">
        <f t="shared" si="22"/>
        <v>1374639.92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95529.42+15644.22</f>
        <v>111173.64</v>
      </c>
      <c r="G359" s="18">
        <f>63889.96+13366.08+1903.23+50440.35+18043.18+3487.7</f>
        <v>151130.5</v>
      </c>
      <c r="H359" s="18">
        <f>209749.54+35616.52+3012.14+1401.72</f>
        <v>249779.92</v>
      </c>
      <c r="I359" s="56">
        <f>SUM(F359:H359)</f>
        <v>512084.06000000006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1472.4+0.33*11642.35</f>
        <v>5314.3755000000001</v>
      </c>
      <c r="G360" s="63">
        <f>3371.55+338.53+6348.72+11277.1+3957.38+220.87+0.33*11642.35-656.54</f>
        <v>28699.585500000001</v>
      </c>
      <c r="H360" s="63">
        <f>0.34*11642.35+17822.48+2994.92-93.51</f>
        <v>24682.289000000001</v>
      </c>
      <c r="I360" s="56">
        <f>SUM(F360:H360)</f>
        <v>58696.25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116488.01549999999</v>
      </c>
      <c r="G361" s="47">
        <f>SUM(G359:G360)</f>
        <v>179830.08549999999</v>
      </c>
      <c r="H361" s="47">
        <f>SUM(H359:H360)</f>
        <v>274462.20900000003</v>
      </c>
      <c r="I361" s="47">
        <f>SUM(I359:I360)</f>
        <v>570780.31000000006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50000</v>
      </c>
      <c r="H381" s="18"/>
      <c r="I381" s="18"/>
      <c r="J381" s="24" t="s">
        <v>312</v>
      </c>
      <c r="K381" s="24" t="s">
        <v>312</v>
      </c>
      <c r="L381" s="56">
        <f t="shared" si="25"/>
        <v>50000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50000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50000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50000</v>
      </c>
      <c r="H389" s="18">
        <f>110.44+12.29</f>
        <v>122.72999999999999</v>
      </c>
      <c r="I389" s="18"/>
      <c r="J389" s="24" t="s">
        <v>312</v>
      </c>
      <c r="K389" s="24" t="s">
        <v>312</v>
      </c>
      <c r="L389" s="56">
        <f t="shared" si="26"/>
        <v>50122.73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122.72999999999999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50122.73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100000</v>
      </c>
      <c r="H400" s="47">
        <f>H385+H393+H399</f>
        <v>122.72999999999999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100122.73000000001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>
        <v>190000</v>
      </c>
      <c r="L415" s="56">
        <f t="shared" si="29"/>
        <v>190000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190000</v>
      </c>
      <c r="L419" s="47">
        <f t="shared" si="30"/>
        <v>190000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190000</v>
      </c>
      <c r="L426" s="47">
        <f t="shared" si="32"/>
        <v>190000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146100.84</v>
      </c>
      <c r="G432" s="18">
        <f>226822.26</f>
        <v>226822.26</v>
      </c>
      <c r="H432" s="18"/>
      <c r="I432" s="56">
        <f t="shared" si="33"/>
        <v>372923.1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146100.84</v>
      </c>
      <c r="G438" s="13">
        <f>SUM(G431:G437)</f>
        <v>226822.26</v>
      </c>
      <c r="H438" s="13">
        <f>SUM(H431:H437)</f>
        <v>0</v>
      </c>
      <c r="I438" s="13">
        <f>SUM(I431:I437)</f>
        <v>372923.1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190000</v>
      </c>
      <c r="H440" s="18"/>
      <c r="I440" s="56">
        <f>SUM(F440:H440)</f>
        <v>190000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190000</v>
      </c>
      <c r="H444" s="72">
        <f>SUM(H440:H443)</f>
        <v>0</v>
      </c>
      <c r="I444" s="72">
        <f>SUM(I440:I443)</f>
        <v>190000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F432-F444</f>
        <v>146100.84</v>
      </c>
      <c r="G449" s="18">
        <f>G432-G440</f>
        <v>36822.260000000009</v>
      </c>
      <c r="H449" s="18"/>
      <c r="I449" s="56">
        <f>SUM(F449:H449)</f>
        <v>182923.1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146100.84</v>
      </c>
      <c r="G450" s="83">
        <f>SUM(G446:G449)</f>
        <v>36822.260000000009</v>
      </c>
      <c r="H450" s="83">
        <f>SUM(H446:H449)</f>
        <v>0</v>
      </c>
      <c r="I450" s="83">
        <f>SUM(I446:I449)</f>
        <v>182923.1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146100.84</v>
      </c>
      <c r="G451" s="42">
        <f>G444+G450</f>
        <v>226822.26</v>
      </c>
      <c r="H451" s="42">
        <f>H444+H450</f>
        <v>0</v>
      </c>
      <c r="I451" s="42">
        <f>I444+I450</f>
        <v>372923.1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f>317398</f>
        <v>317398</v>
      </c>
      <c r="G455" s="18">
        <f>-169797.52</f>
        <v>-169797.52</v>
      </c>
      <c r="H455" s="18">
        <v>0</v>
      </c>
      <c r="I455" s="18"/>
      <c r="J455" s="18">
        <f>176538.4+96261.97</f>
        <v>272800.37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40981403.430000007</v>
      </c>
      <c r="G458" s="18">
        <f>G185</f>
        <v>1388097.14</v>
      </c>
      <c r="H458" s="18">
        <f>H185</f>
        <v>1919347.73</v>
      </c>
      <c r="I458" s="18"/>
      <c r="J458" s="18">
        <f>50110.44+12.29+50000</f>
        <v>100122.73000000001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f>24357+7743+18751+0.07</f>
        <v>50851.07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41032254.500000007</v>
      </c>
      <c r="G460" s="53">
        <f>SUM(G458:G459)</f>
        <v>1388097.14</v>
      </c>
      <c r="H460" s="53">
        <f>SUM(H458:H459)</f>
        <v>1919347.73</v>
      </c>
      <c r="I460" s="53">
        <f>SUM(I458:I459)</f>
        <v>0</v>
      </c>
      <c r="J460" s="53">
        <f>SUM(J458:J459)</f>
        <v>100122.73000000001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41078625.90839985</v>
      </c>
      <c r="G462" s="18">
        <f>L354</f>
        <v>1374639.92</v>
      </c>
      <c r="H462" s="18">
        <f>L344</f>
        <v>1918995.3836619998</v>
      </c>
      <c r="I462" s="18"/>
      <c r="J462" s="18">
        <v>190000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>
        <v>75.36</v>
      </c>
      <c r="H463" s="18">
        <v>352.35</v>
      </c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41078625.90839985</v>
      </c>
      <c r="G464" s="53">
        <f>SUM(G462:G463)</f>
        <v>1374715.28</v>
      </c>
      <c r="H464" s="53">
        <f>SUM(H462:H463)</f>
        <v>1919347.7336619999</v>
      </c>
      <c r="I464" s="53">
        <f>SUM(I462:I463)</f>
        <v>0</v>
      </c>
      <c r="J464" s="53">
        <f>SUM(J462:J463)</f>
        <v>190000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271026.59160015732</v>
      </c>
      <c r="G466" s="53">
        <f>(G455+G460)- G464</f>
        <v>-156415.66000000015</v>
      </c>
      <c r="H466" s="53">
        <f>(H455+H460)- H464</f>
        <v>-3.6619999445974827E-3</v>
      </c>
      <c r="I466" s="53">
        <f>(I455+I460)- I464</f>
        <v>0</v>
      </c>
      <c r="J466" s="53">
        <f>(J455+J460)- J464</f>
        <v>182923.09999999998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895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894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14</v>
      </c>
      <c r="G480" s="154">
        <v>10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896</v>
      </c>
      <c r="G481" s="155" t="s">
        <v>898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 t="s">
        <v>899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9999937.9800000004</v>
      </c>
      <c r="G483" s="18">
        <v>9000000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4.83</v>
      </c>
      <c r="G484" s="18">
        <v>4.87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1931515.05</v>
      </c>
      <c r="G485" s="18">
        <v>3095066.71</v>
      </c>
      <c r="H485" s="18"/>
      <c r="I485" s="18"/>
      <c r="J485" s="18"/>
      <c r="K485" s="53">
        <f>SUM(F485:J485)</f>
        <v>5026581.76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527025.1</v>
      </c>
      <c r="G487" s="18">
        <f>440895.4+460850.36</f>
        <v>901745.76</v>
      </c>
      <c r="H487" s="18"/>
      <c r="I487" s="18"/>
      <c r="J487" s="18"/>
      <c r="K487" s="53">
        <f t="shared" si="34"/>
        <v>1428770.8599999999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495324.95+467793.3+441371.7</f>
        <v>1404489.95</v>
      </c>
      <c r="G488" s="205">
        <f>G485-G487</f>
        <v>2193320.9500000002</v>
      </c>
      <c r="H488" s="205"/>
      <c r="I488" s="205"/>
      <c r="J488" s="205"/>
      <c r="K488" s="206">
        <f t="shared" si="34"/>
        <v>3597810.9000000004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469675.15+497206.6+523628.3</f>
        <v>1490510.05</v>
      </c>
      <c r="G489" s="18">
        <f>86587.01+75092.11+63317.26+51255.68+38980.41+26244.28+13280.03</f>
        <v>354756.78</v>
      </c>
      <c r="H489" s="18"/>
      <c r="I489" s="18"/>
      <c r="J489" s="18"/>
      <c r="K489" s="53">
        <f t="shared" si="34"/>
        <v>1845266.83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2895000</v>
      </c>
      <c r="G490" s="42">
        <f>SUM(G488:G489)</f>
        <v>2548077.7300000004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5443077.7300000004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495324.85</v>
      </c>
      <c r="G491" s="205">
        <f>472072.06+483567.02</f>
        <v>955639.08000000007</v>
      </c>
      <c r="H491" s="205"/>
      <c r="I491" s="205"/>
      <c r="J491" s="205"/>
      <c r="K491" s="206">
        <f t="shared" si="34"/>
        <v>1450963.9300000002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469675.15</f>
        <v>469675.15</v>
      </c>
      <c r="G492" s="18">
        <f>86587.07+75092.11</f>
        <v>161679.18</v>
      </c>
      <c r="H492" s="18"/>
      <c r="I492" s="18"/>
      <c r="J492" s="18"/>
      <c r="K492" s="53">
        <f t="shared" si="34"/>
        <v>631354.33000000007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965000</v>
      </c>
      <c r="G493" s="42">
        <f>SUM(G491:G492)</f>
        <v>1117318.26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2082318.26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 t="shared" ref="F511:K511" si="35">F190+F269-F516</f>
        <v>1493289.3840000001</v>
      </c>
      <c r="G511" s="18">
        <f t="shared" si="35"/>
        <v>758368.93772934226</v>
      </c>
      <c r="H511" s="18">
        <f t="shared" si="35"/>
        <v>315088.06290000002</v>
      </c>
      <c r="I511" s="18">
        <f t="shared" si="35"/>
        <v>26453.904999999999</v>
      </c>
      <c r="J511" s="18">
        <f t="shared" si="35"/>
        <v>45725.01</v>
      </c>
      <c r="K511" s="18">
        <f t="shared" si="35"/>
        <v>17341.925999999999</v>
      </c>
      <c r="L511" s="88">
        <f>SUM(F511:K511)</f>
        <v>2656267.2256293423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 t="shared" ref="F512:K512" si="36">F208+F288-F517</f>
        <v>1172169.0111999996</v>
      </c>
      <c r="G512" s="18">
        <f t="shared" si="36"/>
        <v>584658.11064634088</v>
      </c>
      <c r="H512" s="18">
        <f t="shared" si="36"/>
        <v>494017.86180000001</v>
      </c>
      <c r="I512" s="18">
        <f t="shared" si="36"/>
        <v>23899.771000000001</v>
      </c>
      <c r="J512" s="18">
        <f t="shared" si="36"/>
        <v>21684.93</v>
      </c>
      <c r="K512" s="18">
        <f t="shared" si="36"/>
        <v>2696.5248000000006</v>
      </c>
      <c r="L512" s="88">
        <f>SUM(F512:K512)</f>
        <v>2299126.2094463408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 t="shared" ref="F513:K513" si="37">F226+F307-F518</f>
        <v>1653949.7348</v>
      </c>
      <c r="G513" s="18">
        <f t="shared" si="37"/>
        <v>663247.69068670529</v>
      </c>
      <c r="H513" s="18">
        <f t="shared" si="37"/>
        <v>1160392.9772000001</v>
      </c>
      <c r="I513" s="18">
        <f t="shared" si="37"/>
        <v>13578.314</v>
      </c>
      <c r="J513" s="18">
        <f t="shared" si="37"/>
        <v>19417.905000000002</v>
      </c>
      <c r="K513" s="18">
        <f t="shared" si="37"/>
        <v>3417.3792000000003</v>
      </c>
      <c r="L513" s="88">
        <f>SUM(F513:K513)</f>
        <v>3514004.0008867048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4319408.13</v>
      </c>
      <c r="G514" s="108">
        <f t="shared" ref="G514:L514" si="38">SUM(G511:G513)</f>
        <v>2006274.7390623884</v>
      </c>
      <c r="H514" s="108">
        <f t="shared" si="38"/>
        <v>1969498.9019000002</v>
      </c>
      <c r="I514" s="108">
        <f t="shared" si="38"/>
        <v>63931.99</v>
      </c>
      <c r="J514" s="108">
        <f t="shared" si="38"/>
        <v>86827.845000000001</v>
      </c>
      <c r="K514" s="108">
        <f t="shared" si="38"/>
        <v>23455.829999999998</v>
      </c>
      <c r="L514" s="89">
        <f t="shared" si="38"/>
        <v>8469397.4359623883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(115175.4+278119+218546.65)*0.3+(78881.02*0.3)</f>
        <v>207216.62100000001</v>
      </c>
      <c r="G516" s="18">
        <f>F516*0.1632</f>
        <v>33817.752547200005</v>
      </c>
      <c r="H516" s="18"/>
      <c r="I516" s="18">
        <f>248.98+1774.15</f>
        <v>2023.13</v>
      </c>
      <c r="J516" s="18">
        <f>2461.99</f>
        <v>2461.9899999999998</v>
      </c>
      <c r="K516" s="18"/>
      <c r="L516" s="88">
        <f>SUM(F516:K516)</f>
        <v>245519.49354720002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(115175.4+278119+218546.65)*0.34+24209.56+(78681.02*0.34)</f>
        <v>258987.06380000003</v>
      </c>
      <c r="G517" s="18">
        <f>F517*0.1632</f>
        <v>42266.688812160006</v>
      </c>
      <c r="H517" s="18"/>
      <c r="I517" s="18">
        <f>132.05+1328.07</f>
        <v>1460.12</v>
      </c>
      <c r="J517" s="18">
        <f>632.25</f>
        <v>632.25</v>
      </c>
      <c r="K517" s="18">
        <f>531</f>
        <v>531</v>
      </c>
      <c r="L517" s="88">
        <f>SUM(F517:K517)</f>
        <v>303877.12261216005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(115175.4+278119+218546.65)*0.36+(78681.02*0.36)</f>
        <v>248587.94520000002</v>
      </c>
      <c r="G518" s="18">
        <f>F518*0.1632</f>
        <v>40569.552656640008</v>
      </c>
      <c r="H518" s="18"/>
      <c r="I518" s="18"/>
      <c r="J518" s="18">
        <f>1585.5</f>
        <v>1585.5</v>
      </c>
      <c r="K518" s="18"/>
      <c r="L518" s="88">
        <f>SUM(F518:K518)</f>
        <v>290742.99785664002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714791.63000000012</v>
      </c>
      <c r="G519" s="89">
        <f t="shared" ref="G519:L519" si="39">SUM(G516:G518)</f>
        <v>116653.99401600001</v>
      </c>
      <c r="H519" s="89">
        <f t="shared" si="39"/>
        <v>0</v>
      </c>
      <c r="I519" s="89">
        <f t="shared" si="39"/>
        <v>3483.25</v>
      </c>
      <c r="J519" s="89">
        <f t="shared" si="39"/>
        <v>4679.74</v>
      </c>
      <c r="K519" s="89">
        <f t="shared" si="39"/>
        <v>531</v>
      </c>
      <c r="L519" s="89">
        <f t="shared" si="39"/>
        <v>840139.61401600007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(83256.28+161604.51)*0.3</f>
        <v>73458.236999999994</v>
      </c>
      <c r="G521" s="18">
        <f>31325.87*0.3+(F521*16%)</f>
        <v>21151.07892</v>
      </c>
      <c r="H521" s="18">
        <f>7978.78*0.3</f>
        <v>2393.634</v>
      </c>
      <c r="I521" s="18">
        <f>(536.6+665)*0.3</f>
        <v>360.47999999999996</v>
      </c>
      <c r="J521" s="18"/>
      <c r="K521" s="18"/>
      <c r="L521" s="88">
        <f>SUM(F521:K521)</f>
        <v>97363.429919999995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(83256.28+161604.51)*0.34</f>
        <v>83252.668600000005</v>
      </c>
      <c r="G522" s="18">
        <f>31325.87*0.3+(F522*16%)</f>
        <v>22718.187976000001</v>
      </c>
      <c r="H522" s="18">
        <f>7978.78*0.34</f>
        <v>2712.7852000000003</v>
      </c>
      <c r="I522" s="18">
        <f>(536.6+665)*0.34</f>
        <v>408.54399999999998</v>
      </c>
      <c r="J522" s="18"/>
      <c r="K522" s="18"/>
      <c r="L522" s="88">
        <f>SUM(F522:K522)</f>
        <v>109092.185776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(83256.28+161604.51)*0.36</f>
        <v>88149.884399999995</v>
      </c>
      <c r="G523" s="18">
        <f>31325.87*0.3+(F523*16%)</f>
        <v>23501.742503999998</v>
      </c>
      <c r="H523" s="18">
        <f>7978.78*0.36</f>
        <v>2872.3607999999999</v>
      </c>
      <c r="I523" s="18">
        <f>(536.6+665)*0.36</f>
        <v>432.57599999999996</v>
      </c>
      <c r="J523" s="18"/>
      <c r="K523" s="18"/>
      <c r="L523" s="88">
        <f>SUM(F523:K523)</f>
        <v>114956.56370399999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244860.78999999998</v>
      </c>
      <c r="G524" s="89">
        <f t="shared" ref="G524:L524" si="40">SUM(G521:G523)</f>
        <v>67371.009399999995</v>
      </c>
      <c r="H524" s="89">
        <f t="shared" si="40"/>
        <v>7978.7800000000007</v>
      </c>
      <c r="I524" s="89">
        <f t="shared" si="40"/>
        <v>1201.5999999999999</v>
      </c>
      <c r="J524" s="89">
        <f t="shared" si="40"/>
        <v>0</v>
      </c>
      <c r="K524" s="89">
        <f t="shared" si="40"/>
        <v>0</v>
      </c>
      <c r="L524" s="89">
        <f t="shared" si="40"/>
        <v>321412.17939999996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41">SUM(G526:G528)</f>
        <v>0</v>
      </c>
      <c r="H529" s="89">
        <f t="shared" si="41"/>
        <v>0</v>
      </c>
      <c r="I529" s="89">
        <f t="shared" si="41"/>
        <v>0</v>
      </c>
      <c r="J529" s="89">
        <f t="shared" si="41"/>
        <v>0</v>
      </c>
      <c r="K529" s="89">
        <f t="shared" si="41"/>
        <v>0</v>
      </c>
      <c r="L529" s="89">
        <f t="shared" si="41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(457747+74162.35)*0.3</f>
        <v>159572.80499999999</v>
      </c>
      <c r="I531" s="18"/>
      <c r="J531" s="18"/>
      <c r="K531" s="18"/>
      <c r="L531" s="88">
        <f>SUM(F531:K531)</f>
        <v>159572.80499999999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f>(457747+74162.35)*0.34</f>
        <v>180849.179</v>
      </c>
      <c r="I532" s="18"/>
      <c r="J532" s="18"/>
      <c r="K532" s="18"/>
      <c r="L532" s="88">
        <f>SUM(F532:K532)</f>
        <v>180849.179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(457747+74162.35)*0.36</f>
        <v>191487.36599999998</v>
      </c>
      <c r="I533" s="18"/>
      <c r="J533" s="18"/>
      <c r="K533" s="18"/>
      <c r="L533" s="88">
        <f>SUM(F533:K533)</f>
        <v>191487.36599999998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42">SUM(G531:G533)</f>
        <v>0</v>
      </c>
      <c r="H534" s="194">
        <f t="shared" si="42"/>
        <v>531909.35</v>
      </c>
      <c r="I534" s="194">
        <f t="shared" si="42"/>
        <v>0</v>
      </c>
      <c r="J534" s="194">
        <f t="shared" si="42"/>
        <v>0</v>
      </c>
      <c r="K534" s="194">
        <f t="shared" si="42"/>
        <v>0</v>
      </c>
      <c r="L534" s="194">
        <f t="shared" si="42"/>
        <v>531909.35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5279060.55</v>
      </c>
      <c r="G535" s="89">
        <f t="shared" ref="G535:L535" si="43">G514+G519+G524+G529+G534</f>
        <v>2190299.7424783884</v>
      </c>
      <c r="H535" s="89">
        <f t="shared" si="43"/>
        <v>2509387.0319000003</v>
      </c>
      <c r="I535" s="89">
        <f t="shared" si="43"/>
        <v>68616.84</v>
      </c>
      <c r="J535" s="89">
        <f t="shared" si="43"/>
        <v>91507.585000000006</v>
      </c>
      <c r="K535" s="89">
        <f t="shared" si="43"/>
        <v>23986.829999999998</v>
      </c>
      <c r="L535" s="89">
        <f t="shared" si="43"/>
        <v>10162858.579378389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2656267.2256293423</v>
      </c>
      <c r="G539" s="87">
        <f>L516</f>
        <v>245519.49354720002</v>
      </c>
      <c r="H539" s="87">
        <f>L521</f>
        <v>97363.429919999995</v>
      </c>
      <c r="I539" s="87">
        <f>L526</f>
        <v>0</v>
      </c>
      <c r="J539" s="87">
        <f>L531</f>
        <v>159572.80499999999</v>
      </c>
      <c r="K539" s="87">
        <f>SUM(F539:J539)</f>
        <v>3158722.9540965427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2299126.2094463408</v>
      </c>
      <c r="G540" s="87">
        <f>L517</f>
        <v>303877.12261216005</v>
      </c>
      <c r="H540" s="87">
        <f>L522</f>
        <v>109092.185776</v>
      </c>
      <c r="I540" s="87">
        <f>L527</f>
        <v>0</v>
      </c>
      <c r="J540" s="87">
        <f>L532</f>
        <v>180849.179</v>
      </c>
      <c r="K540" s="87">
        <f>SUM(F540:J540)</f>
        <v>2892944.6968345009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3514004.0008867048</v>
      </c>
      <c r="G541" s="87">
        <f>L518</f>
        <v>290742.99785664002</v>
      </c>
      <c r="H541" s="87">
        <f>L523</f>
        <v>114956.56370399999</v>
      </c>
      <c r="I541" s="87">
        <f>L528</f>
        <v>0</v>
      </c>
      <c r="J541" s="87">
        <f>L533</f>
        <v>191487.36599999998</v>
      </c>
      <c r="K541" s="87">
        <f>SUM(F541:J541)</f>
        <v>4111190.9284473448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4">SUM(F539:F541)</f>
        <v>8469397.4359623883</v>
      </c>
      <c r="G542" s="89">
        <f t="shared" si="44"/>
        <v>840139.61401600007</v>
      </c>
      <c r="H542" s="89">
        <f t="shared" si="44"/>
        <v>321412.17939999996</v>
      </c>
      <c r="I542" s="89">
        <f t="shared" si="44"/>
        <v>0</v>
      </c>
      <c r="J542" s="89">
        <f t="shared" si="44"/>
        <v>531909.35</v>
      </c>
      <c r="K542" s="89">
        <f t="shared" si="44"/>
        <v>10162858.579378389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5">SUM(F547:F549)</f>
        <v>0</v>
      </c>
      <c r="G550" s="108">
        <f t="shared" si="45"/>
        <v>0</v>
      </c>
      <c r="H550" s="108">
        <f t="shared" si="45"/>
        <v>0</v>
      </c>
      <c r="I550" s="108">
        <f t="shared" si="45"/>
        <v>0</v>
      </c>
      <c r="J550" s="108">
        <f t="shared" si="45"/>
        <v>0</v>
      </c>
      <c r="K550" s="108">
        <f t="shared" si="45"/>
        <v>0</v>
      </c>
      <c r="L550" s="89">
        <f t="shared" si="45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f>63012*0.3</f>
        <v>18903.599999999999</v>
      </c>
      <c r="G552" s="18">
        <f>F552*0.1632</f>
        <v>3085.0675200000001</v>
      </c>
      <c r="H552" s="18">
        <f>3534*0.3</f>
        <v>1060.2</v>
      </c>
      <c r="I552" s="18">
        <f>1210.84*0.3</f>
        <v>363.25199999999995</v>
      </c>
      <c r="J552" s="18"/>
      <c r="K552" s="18"/>
      <c r="L552" s="88">
        <f>SUM(F552:K552)</f>
        <v>23412.11952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f>63012*0.34</f>
        <v>21424.080000000002</v>
      </c>
      <c r="G553" s="18">
        <f>F553*0.1632</f>
        <v>3496.4098560000007</v>
      </c>
      <c r="H553" s="18">
        <f>3534*0.34</f>
        <v>1201.5600000000002</v>
      </c>
      <c r="I553" s="18">
        <f>1210.84*0.34</f>
        <v>411.68560000000002</v>
      </c>
      <c r="J553" s="18"/>
      <c r="K553" s="18"/>
      <c r="L553" s="88">
        <f>SUM(F553:K553)</f>
        <v>26533.735456000006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f>63012*0.36</f>
        <v>22684.32</v>
      </c>
      <c r="G554" s="18">
        <f>F554*0.1632</f>
        <v>3702.0810240000001</v>
      </c>
      <c r="H554" s="18">
        <f>3534*0.36</f>
        <v>1272.24</v>
      </c>
      <c r="I554" s="18">
        <f>1210.84*0.36</f>
        <v>435.90239999999994</v>
      </c>
      <c r="J554" s="18"/>
      <c r="K554" s="18"/>
      <c r="L554" s="88">
        <f>SUM(F554:K554)</f>
        <v>28094.543424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6">SUM(F552:F554)</f>
        <v>63012</v>
      </c>
      <c r="G555" s="89">
        <f t="shared" si="46"/>
        <v>10283.558400000002</v>
      </c>
      <c r="H555" s="89">
        <f t="shared" si="46"/>
        <v>3534</v>
      </c>
      <c r="I555" s="89">
        <f t="shared" si="46"/>
        <v>1210.8399999999999</v>
      </c>
      <c r="J555" s="89">
        <f t="shared" si="46"/>
        <v>0</v>
      </c>
      <c r="K555" s="89">
        <f t="shared" si="46"/>
        <v>0</v>
      </c>
      <c r="L555" s="89">
        <f t="shared" si="46"/>
        <v>78040.398400000005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7">SUM(G557:G559)</f>
        <v>0</v>
      </c>
      <c r="H560" s="194">
        <f t="shared" si="47"/>
        <v>0</v>
      </c>
      <c r="I560" s="194">
        <f t="shared" si="47"/>
        <v>0</v>
      </c>
      <c r="J560" s="194">
        <f t="shared" si="47"/>
        <v>0</v>
      </c>
      <c r="K560" s="194">
        <f t="shared" si="47"/>
        <v>0</v>
      </c>
      <c r="L560" s="194">
        <f t="shared" si="47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63012</v>
      </c>
      <c r="G561" s="89">
        <f t="shared" ref="G561:L561" si="48">G550+G555+G560</f>
        <v>10283.558400000002</v>
      </c>
      <c r="H561" s="89">
        <f t="shared" si="48"/>
        <v>3534</v>
      </c>
      <c r="I561" s="89">
        <f t="shared" si="48"/>
        <v>1210.8399999999999</v>
      </c>
      <c r="J561" s="89">
        <f t="shared" si="48"/>
        <v>0</v>
      </c>
      <c r="K561" s="89">
        <f t="shared" si="48"/>
        <v>0</v>
      </c>
      <c r="L561" s="89">
        <f t="shared" si="48"/>
        <v>78040.398400000005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9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9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9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>
        <f>789.84</f>
        <v>789.84</v>
      </c>
      <c r="H569" s="18"/>
      <c r="I569" s="87">
        <f t="shared" si="49"/>
        <v>789.84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9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9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4">
        <f>19500+1050+64980.79</f>
        <v>85530.790000000008</v>
      </c>
      <c r="G572" s="18">
        <f>129333.61+35195.01</f>
        <v>164528.62</v>
      </c>
      <c r="H572" s="18">
        <f>20413.5+42583+36801+122326.83+41266+139073.95</f>
        <v>402464.28</v>
      </c>
      <c r="I572" s="87">
        <f t="shared" si="49"/>
        <v>652523.69000000006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f>106728.9+9511.2</f>
        <v>116240.09999999999</v>
      </c>
      <c r="G573" s="18">
        <f>35195.01+60596.87+1595.77</f>
        <v>97387.650000000009</v>
      </c>
      <c r="H573" s="18">
        <f>35195.01+35195.01+13306.1+309634.61+316390.78+5182.87</f>
        <v>714904.38</v>
      </c>
      <c r="I573" s="87">
        <f>SUM(F573:H573)</f>
        <v>928532.13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27096.83</v>
      </c>
      <c r="I574" s="87">
        <f t="shared" si="49"/>
        <v>27096.83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9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9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9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(52586.44+1487953.84+275000+16196.91)*0.36+31914.36</f>
        <v>691339.74839999992</v>
      </c>
      <c r="I581" s="18">
        <f>(52586.44+1487953.84+275000+16196.91)*0.34+2084.11</f>
        <v>624874.75459999999</v>
      </c>
      <c r="J581" s="18">
        <f>525535.5</f>
        <v>525535.5</v>
      </c>
      <c r="K581" s="104">
        <f t="shared" ref="K581:K587" si="50">SUM(H581:J581)</f>
        <v>1841750.003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531909.35*0.3</f>
        <v>159572.80499999999</v>
      </c>
      <c r="I582" s="18">
        <f>531909.35*0.34</f>
        <v>180849.179</v>
      </c>
      <c r="J582" s="18">
        <f>531909.35*0.36</f>
        <v>191487.36599999998</v>
      </c>
      <c r="K582" s="104">
        <f t="shared" si="50"/>
        <v>531909.35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50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f>7473.08+14095.06</f>
        <v>21568.14</v>
      </c>
      <c r="J584" s="18">
        <v>70322.570000000007</v>
      </c>
      <c r="K584" s="104">
        <f t="shared" si="50"/>
        <v>91890.71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15674.31</f>
        <v>15674.31</v>
      </c>
      <c r="I585" s="18">
        <f>15509.75+12967.63</f>
        <v>28477.379999999997</v>
      </c>
      <c r="J585" s="18"/>
      <c r="K585" s="104">
        <f t="shared" si="50"/>
        <v>44151.689999999995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50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50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866586.86339999991</v>
      </c>
      <c r="I588" s="108">
        <f>SUM(I581:I587)</f>
        <v>855769.45360000001</v>
      </c>
      <c r="J588" s="108">
        <f>SUM(J581:J587)</f>
        <v>787345.43599999999</v>
      </c>
      <c r="K588" s="108">
        <f>SUM(K581:K587)</f>
        <v>2509701.753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J203+J282</f>
        <v>92909.161999999997</v>
      </c>
      <c r="I594" s="18">
        <f>J221+J301</f>
        <v>115179.11119999998</v>
      </c>
      <c r="J594" s="18">
        <f>J239+J320</f>
        <v>179875.80979999999</v>
      </c>
      <c r="K594" s="104">
        <f>SUM(H594:J594)</f>
        <v>387964.08299999998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92909.161999999997</v>
      </c>
      <c r="I595" s="108">
        <f>SUM(I592:I594)</f>
        <v>115179.11119999998</v>
      </c>
      <c r="J595" s="108">
        <f>SUM(J592:J594)</f>
        <v>179875.80979999999</v>
      </c>
      <c r="K595" s="108">
        <f>SUM(K592:K594)</f>
        <v>387964.08299999998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75014.04*0.3</f>
        <v>22504.211999999996</v>
      </c>
      <c r="G601" s="18">
        <f>F601*0.1632</f>
        <v>3672.6873983999994</v>
      </c>
      <c r="H601" s="18">
        <f>(4410+840.27)*0.3+(74162.35*0.3)</f>
        <v>23823.786</v>
      </c>
      <c r="I601" s="18">
        <f>233.51*0.3</f>
        <v>70.052999999999997</v>
      </c>
      <c r="J601" s="18"/>
      <c r="K601" s="18"/>
      <c r="L601" s="88">
        <f>SUM(F601:K601)</f>
        <v>50070.738398399997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75014.04*0.34</f>
        <v>25504.7736</v>
      </c>
      <c r="G602" s="18">
        <f>F602*0.1632</f>
        <v>4162.3790515200008</v>
      </c>
      <c r="H602" s="18">
        <f>(4410+840.27)*0.34+(74162.35*0.34)</f>
        <v>27000.290800000006</v>
      </c>
      <c r="I602" s="18">
        <f>233.51*0.34</f>
        <v>79.3934</v>
      </c>
      <c r="J602" s="18"/>
      <c r="K602" s="18"/>
      <c r="L602" s="88">
        <f>SUM(F602:K602)</f>
        <v>56746.836851520013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75014.04*0.34</f>
        <v>25504.7736</v>
      </c>
      <c r="G603" s="18">
        <f>F603*0.1632</f>
        <v>4162.3790515200008</v>
      </c>
      <c r="H603" s="18">
        <f>(4410+840.27)*0.36+(74162.35*0.36)</f>
        <v>28588.5432</v>
      </c>
      <c r="I603" s="18">
        <f>233.51*0.36</f>
        <v>84.063599999999994</v>
      </c>
      <c r="J603" s="18"/>
      <c r="K603" s="18"/>
      <c r="L603" s="88">
        <f>SUM(F603:K603)</f>
        <v>58339.759451520003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51">SUM(F601:F603)</f>
        <v>73513.7592</v>
      </c>
      <c r="G604" s="108">
        <f t="shared" si="51"/>
        <v>11997.445501440001</v>
      </c>
      <c r="H604" s="108">
        <f t="shared" si="51"/>
        <v>79412.62000000001</v>
      </c>
      <c r="I604" s="108">
        <f t="shared" si="51"/>
        <v>233.51</v>
      </c>
      <c r="J604" s="108">
        <f t="shared" si="51"/>
        <v>0</v>
      </c>
      <c r="K604" s="108">
        <f t="shared" si="51"/>
        <v>0</v>
      </c>
      <c r="L604" s="89">
        <f t="shared" si="51"/>
        <v>165157.33470144001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913349.63</v>
      </c>
      <c r="H607" s="109">
        <f>SUM(F44)</f>
        <v>913349.63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107966.82</v>
      </c>
      <c r="H608" s="109">
        <f>SUM(G44)</f>
        <v>107966.82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193499.4</v>
      </c>
      <c r="H609" s="109">
        <f>SUM(H44)</f>
        <v>193499.40000000002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372923.1</v>
      </c>
      <c r="H611" s="109">
        <f>SUM(J44)</f>
        <v>372923.1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271026.58999999997</v>
      </c>
      <c r="H612" s="109">
        <f>F466</f>
        <v>271026.59160015732</v>
      </c>
      <c r="I612" s="121" t="s">
        <v>106</v>
      </c>
      <c r="J612" s="109">
        <f t="shared" ref="J612:J645" si="52">G612-H612</f>
        <v>-1.6001573530957103E-3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-156415.65999999997</v>
      </c>
      <c r="H613" s="109">
        <f>G466</f>
        <v>-156415.66000000015</v>
      </c>
      <c r="I613" s="121" t="s">
        <v>108</v>
      </c>
      <c r="J613" s="109">
        <f t="shared" si="52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-1.4551915228366852E-11</v>
      </c>
      <c r="H614" s="109">
        <f>H466</f>
        <v>-3.6619999445974827E-3</v>
      </c>
      <c r="I614" s="121" t="s">
        <v>110</v>
      </c>
      <c r="J614" s="109">
        <f t="shared" si="52"/>
        <v>3.6619999300455675E-3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52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182923.1</v>
      </c>
      <c r="H616" s="109">
        <f>J466</f>
        <v>182923.09999999998</v>
      </c>
      <c r="I616" s="140" t="s">
        <v>114</v>
      </c>
      <c r="J616" s="109">
        <f t="shared" si="52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40981403.430000007</v>
      </c>
      <c r="H617" s="104">
        <f>SUM(F458)</f>
        <v>40981403.430000007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1388097.14</v>
      </c>
      <c r="H618" s="104">
        <f>SUM(G458)</f>
        <v>1388097.14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1919347.73</v>
      </c>
      <c r="H619" s="104">
        <f>SUM(H458)</f>
        <v>1919347.73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100122.73</v>
      </c>
      <c r="H621" s="104">
        <f>SUM(J458)</f>
        <v>100122.73000000001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41078625.90839985</v>
      </c>
      <c r="H622" s="104">
        <f>SUM(F462)</f>
        <v>41078625.90839985</v>
      </c>
      <c r="I622" s="140" t="s">
        <v>120</v>
      </c>
      <c r="J622" s="109">
        <f t="shared" si="52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1918995.3836619998</v>
      </c>
      <c r="H623" s="104">
        <f>SUM(H462)</f>
        <v>1918995.3836619998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570780.31000000006</v>
      </c>
      <c r="H624" s="104">
        <f>I361</f>
        <v>570780.31000000006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1374639.92</v>
      </c>
      <c r="H625" s="104">
        <f>SUM(G462)</f>
        <v>1374639.92</v>
      </c>
      <c r="I625" s="140" t="s">
        <v>123</v>
      </c>
      <c r="J625" s="109">
        <f t="shared" si="52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52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100122.73000000001</v>
      </c>
      <c r="H627" s="164">
        <f>SUM(J458)</f>
        <v>100122.73000000001</v>
      </c>
      <c r="I627" s="165" t="s">
        <v>119</v>
      </c>
      <c r="J627" s="151">
        <f t="shared" si="52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190000</v>
      </c>
      <c r="H628" s="164">
        <f>SUM(J462)</f>
        <v>190000</v>
      </c>
      <c r="I628" s="165" t="s">
        <v>126</v>
      </c>
      <c r="J628" s="151">
        <f t="shared" si="52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146100.84</v>
      </c>
      <c r="H629" s="104">
        <f>SUM(F451)</f>
        <v>146100.84</v>
      </c>
      <c r="I629" s="140" t="s">
        <v>128</v>
      </c>
      <c r="J629" s="109">
        <f t="shared" si="52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226822.26</v>
      </c>
      <c r="H630" s="104">
        <f>SUM(G451)</f>
        <v>226822.26</v>
      </c>
      <c r="I630" s="140" t="s">
        <v>130</v>
      </c>
      <c r="J630" s="109">
        <f t="shared" si="52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52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372923.1</v>
      </c>
      <c r="H632" s="104">
        <f>SUM(I451)</f>
        <v>372923.1</v>
      </c>
      <c r="I632" s="140" t="s">
        <v>134</v>
      </c>
      <c r="J632" s="109">
        <f t="shared" si="52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52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122.72999999999999</v>
      </c>
      <c r="H634" s="104">
        <f>H400</f>
        <v>122.72999999999999</v>
      </c>
      <c r="I634" s="140" t="s">
        <v>504</v>
      </c>
      <c r="J634" s="109">
        <f t="shared" si="52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100000</v>
      </c>
      <c r="H635" s="104">
        <f>G400</f>
        <v>100000</v>
      </c>
      <c r="I635" s="140" t="s">
        <v>505</v>
      </c>
      <c r="J635" s="109">
        <f t="shared" si="52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100122.73</v>
      </c>
      <c r="H636" s="104">
        <f>L400</f>
        <v>100122.73000000001</v>
      </c>
      <c r="I636" s="140" t="s">
        <v>501</v>
      </c>
      <c r="J636" s="109">
        <f t="shared" si="52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2509701.753</v>
      </c>
      <c r="H637" s="104">
        <f>L200+L218+L236</f>
        <v>2509701.75</v>
      </c>
      <c r="I637" s="140" t="s">
        <v>420</v>
      </c>
      <c r="J637" s="109">
        <f t="shared" si="52"/>
        <v>3.0000000260770321E-3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387964.08299999998</v>
      </c>
      <c r="H638" s="104">
        <f>(J249+J330)-(J247+J328)</f>
        <v>387964.08299999998</v>
      </c>
      <c r="I638" s="140" t="s">
        <v>734</v>
      </c>
      <c r="J638" s="109">
        <f t="shared" si="52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866586.86439999985</v>
      </c>
      <c r="H639" s="104">
        <f>H588</f>
        <v>866586.86339999991</v>
      </c>
      <c r="I639" s="140" t="s">
        <v>412</v>
      </c>
      <c r="J639" s="109">
        <f t="shared" si="52"/>
        <v>9.9999993108212948E-4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855769.45360000012</v>
      </c>
      <c r="H640" s="104">
        <f>I588</f>
        <v>855769.45360000001</v>
      </c>
      <c r="I640" s="140" t="s">
        <v>413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787345.43199999991</v>
      </c>
      <c r="H641" s="104">
        <f>J588</f>
        <v>787345.43599999999</v>
      </c>
      <c r="I641" s="140" t="s">
        <v>414</v>
      </c>
      <c r="J641" s="109">
        <f t="shared" si="52"/>
        <v>-4.0000000735744834E-3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261535.24</v>
      </c>
      <c r="H642" s="104">
        <f>K255+K337</f>
        <v>261535.24</v>
      </c>
      <c r="I642" s="140" t="s">
        <v>421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100000</v>
      </c>
      <c r="H645" s="104">
        <f>K258+K339</f>
        <v>100000</v>
      </c>
      <c r="I645" s="140" t="s">
        <v>424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2.0618289709091187E-3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13540458.425765444</v>
      </c>
      <c r="G650" s="19">
        <f>(L221+L301+L351)</f>
        <v>12756005.996007759</v>
      </c>
      <c r="H650" s="19">
        <f>(L239+L320+L352)</f>
        <v>15040751.470288651</v>
      </c>
      <c r="I650" s="19">
        <f>SUM(F650:H650)</f>
        <v>41337215.892061852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180501.76891420994</v>
      </c>
      <c r="G651" s="19">
        <f>(L351/IF(SUM(L350:L352)=0,1,SUM(L350:L352))*(SUM(G89:G102)))</f>
        <v>258710.44715320307</v>
      </c>
      <c r="H651" s="19">
        <f>(L352/IF(SUM(L350:L352)=0,1,SUM(L350:L352))*(SUM(G89:G102)))</f>
        <v>323345.27393258701</v>
      </c>
      <c r="I651" s="19">
        <f>SUM(F651:H651)</f>
        <v>762557.49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866586.86439999985</v>
      </c>
      <c r="G652" s="19">
        <f>(L218+L298)-(J218+J298)</f>
        <v>855769.45360000012</v>
      </c>
      <c r="H652" s="19">
        <f>(L236+L317)-(J236+J317)</f>
        <v>787345.43199999991</v>
      </c>
      <c r="I652" s="19">
        <f>SUM(F652:H652)</f>
        <v>2509701.75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344750.79039840004</v>
      </c>
      <c r="G653" s="200">
        <f>SUM(G565:G577)+SUM(I592:I594)+L602</f>
        <v>434632.05805151997</v>
      </c>
      <c r="H653" s="200">
        <f>SUM(H565:H577)+SUM(J592:J594)+L603</f>
        <v>1382681.0592515201</v>
      </c>
      <c r="I653" s="19">
        <f>SUM(F653:H653)</f>
        <v>2162063.9077014402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12148619.002052834</v>
      </c>
      <c r="G654" s="19">
        <f>G650-SUM(G651:G653)</f>
        <v>11206894.037203036</v>
      </c>
      <c r="H654" s="19">
        <f>H650-SUM(H651:H653)</f>
        <v>12547379.705104545</v>
      </c>
      <c r="I654" s="19">
        <f>I650-SUM(I651:I653)</f>
        <v>35902892.74436041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797.6</v>
      </c>
      <c r="G655" s="249">
        <f>323.61+521.69</f>
        <v>845.30000000000007</v>
      </c>
      <c r="H655" s="249">
        <f>975.69</f>
        <v>975.69</v>
      </c>
      <c r="I655" s="19">
        <f>SUM(F655:H655)</f>
        <v>2618.59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15231.47</v>
      </c>
      <c r="G657" s="19">
        <f>ROUND(G654/G655,2)</f>
        <v>13257.89</v>
      </c>
      <c r="H657" s="19">
        <f>ROUND(H654/H655,2)</f>
        <v>12860.01</v>
      </c>
      <c r="I657" s="19">
        <f>ROUND(I654/I655,2)</f>
        <v>13710.77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7.97</v>
      </c>
      <c r="I660" s="19">
        <f>SUM(F660:H660)</f>
        <v>7.97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15231.47</v>
      </c>
      <c r="G662" s="19">
        <f>ROUND((G654+G659)/(G655+G660),2)</f>
        <v>13257.89</v>
      </c>
      <c r="H662" s="19">
        <f>ROUND((H654+H659)/(H655+H660),2)</f>
        <v>12755.81</v>
      </c>
      <c r="I662" s="19">
        <f>ROUND((I654+I659)/(I655+I660),2)</f>
        <v>13669.17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BE31F-4C99-43D0-AD05-5F59614BE038}">
  <sheetPr>
    <tabColor indexed="20"/>
  </sheetPr>
  <dimension ref="A1:C52"/>
  <sheetViews>
    <sheetView topLeftCell="A2" workbookViewId="0">
      <selection activeCell="A13" sqref="A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Contoocook Valley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9755023.9900000002</v>
      </c>
      <c r="C9" s="230">
        <f>'DOE25'!G189+'DOE25'!G207+'DOE25'!G225+'DOE25'!G268+'DOE25'!G287+'DOE25'!G306</f>
        <v>4608785.2110236334</v>
      </c>
    </row>
    <row r="10" spans="1:3" x14ac:dyDescent="0.2">
      <c r="A10" t="s">
        <v>813</v>
      </c>
      <c r="B10" s="241">
        <f>8787397.09+5040+41072.77+11130</f>
        <v>8844639.8599999994</v>
      </c>
      <c r="C10" s="241">
        <v>4152177.74</v>
      </c>
    </row>
    <row r="11" spans="1:3" x14ac:dyDescent="0.2">
      <c r="A11" t="s">
        <v>814</v>
      </c>
      <c r="B11" s="241">
        <f>299282.59+112191.77</f>
        <v>411474.36000000004</v>
      </c>
      <c r="C11" s="241">
        <f>(B11*16.81%)+'DOE25'!G268</f>
        <v>257043.559916</v>
      </c>
    </row>
    <row r="12" spans="1:3" x14ac:dyDescent="0.2">
      <c r="A12" t="s">
        <v>815</v>
      </c>
      <c r="B12" s="241">
        <f>61500+388809.93+966.62+47633.22</f>
        <v>498909.77</v>
      </c>
      <c r="C12" s="241">
        <v>199563.91</v>
      </c>
    </row>
    <row r="13" spans="1:3" x14ac:dyDescent="0.2">
      <c r="A13" t="str">
        <f>IF(B9=B13,IF(C9=C13,"Check Total OK","Check Total Error"),"Check Total Error")</f>
        <v>Check Total Error</v>
      </c>
      <c r="B13" s="232">
        <f>SUM(B10:B12)</f>
        <v>9755023.9899999984</v>
      </c>
      <c r="C13" s="232">
        <f>SUM(C10:C12)</f>
        <v>4608785.2099160003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5034199.76</v>
      </c>
      <c r="C18" s="230">
        <f>'DOE25'!F190+'DOE25'!G208+'DOE25'!G226+'DOE25'!G269+'DOE25'!G288+'DOE25'!G307</f>
        <v>2877348.6778018461</v>
      </c>
    </row>
    <row r="19" spans="1:3" x14ac:dyDescent="0.2">
      <c r="A19" t="s">
        <v>813</v>
      </c>
      <c r="B19" s="241">
        <f>75014.04+184886+88382.2+115175.4+278119+153431.69+50327+78958.62+50019+63012+58962+35347+41024+48670+195113+56465+53870.6+161341+254038.97+401070+47605.16+187989.2+66366.01</f>
        <v>2745186.8900000006</v>
      </c>
      <c r="C19" s="241">
        <f>(B19*15.67%)+176193.12+282856.32+120154.48+28619.76+669373.73</f>
        <v>1707368.1956630002</v>
      </c>
    </row>
    <row r="20" spans="1:3" x14ac:dyDescent="0.2">
      <c r="A20" t="s">
        <v>814</v>
      </c>
      <c r="B20" s="241">
        <f>302694.5+24209.56+78681.02+18053.23+86830.08+94070.14+19595.66+46380.42+23498.7+60537.6+97016.69+24209.56+27289.56+35958.96+144528.66+148006.93+205863.88+94699.97+246209.97+200702.85</f>
        <v>1979037.94</v>
      </c>
      <c r="C20" s="241">
        <f>(B20*15.67%)+120154.48+122812.96+533465.14</f>
        <v>1086547.8251979998</v>
      </c>
    </row>
    <row r="21" spans="1:3" x14ac:dyDescent="0.2">
      <c r="A21" t="s">
        <v>815</v>
      </c>
      <c r="B21" s="241">
        <f>83256.26+161604.51+42866.64+22247.52</f>
        <v>309974.93000000005</v>
      </c>
      <c r="C21" s="241">
        <f>31325.87+(B21*16.81%)</f>
        <v>83432.655733000007</v>
      </c>
    </row>
    <row r="22" spans="1:3" x14ac:dyDescent="0.2">
      <c r="A22" t="str">
        <f>IF(B18=B22,IF(C18=C22,"Check Total OK","Check Total Error"),"Check Total Error")</f>
        <v>Check Total Error</v>
      </c>
      <c r="B22" s="232">
        <f>SUM(B19:B21)</f>
        <v>5034199.76</v>
      </c>
      <c r="C22" s="232">
        <f>SUM(C19:C21)</f>
        <v>2877348.6765939998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836326.41</v>
      </c>
      <c r="C27" s="235">
        <f>'DOE25'!G191+'DOE25'!G209+'DOE25'!G227+'DOE25'!G270+'DOE25'!G289+'DOE25'!G308</f>
        <v>225415.60126670933</v>
      </c>
    </row>
    <row r="28" spans="1:3" x14ac:dyDescent="0.2">
      <c r="A28" t="s">
        <v>813</v>
      </c>
      <c r="B28" s="241">
        <f>'DOE25'!F209+'DOE25'!F227+'DOE25'!F308</f>
        <v>836326.41</v>
      </c>
      <c r="C28" s="241">
        <f>'DOE25'!G209+'DOE25'!G227+'DOE25'!G308</f>
        <v>225415.60126670933</v>
      </c>
    </row>
    <row r="29" spans="1:3" x14ac:dyDescent="0.2">
      <c r="A29" t="s">
        <v>814</v>
      </c>
      <c r="B29" s="241">
        <v>0</v>
      </c>
      <c r="C29" s="241">
        <v>0</v>
      </c>
    </row>
    <row r="30" spans="1:3" x14ac:dyDescent="0.2">
      <c r="A30" t="s">
        <v>815</v>
      </c>
      <c r="B30" s="241">
        <v>0</v>
      </c>
      <c r="C30" s="241">
        <v>0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836326.41</v>
      </c>
      <c r="C31" s="232">
        <f>SUM(C28:C30)</f>
        <v>225415.60126670933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435510.20999999996</v>
      </c>
      <c r="C36" s="236">
        <f>'DOE25'!G192+'DOE25'!G210+'DOE25'!G228+'DOE25'!G271+'DOE25'!G290+'DOE25'!G309</f>
        <v>52437.561065000002</v>
      </c>
    </row>
    <row r="37" spans="1:3" x14ac:dyDescent="0.2">
      <c r="A37" t="s">
        <v>813</v>
      </c>
      <c r="B37" s="241">
        <v>0</v>
      </c>
      <c r="C37" s="241">
        <v>0</v>
      </c>
    </row>
    <row r="38" spans="1:3" x14ac:dyDescent="0.2">
      <c r="A38" t="s">
        <v>814</v>
      </c>
      <c r="B38" s="241">
        <v>0</v>
      </c>
      <c r="C38" s="241">
        <v>0</v>
      </c>
    </row>
    <row r="39" spans="1:3" x14ac:dyDescent="0.2">
      <c r="A39" t="s">
        <v>815</v>
      </c>
      <c r="B39" s="241">
        <f>'DOE25'!F192+'DOE25'!F210+'DOE25'!F228</f>
        <v>435510.20999999996</v>
      </c>
      <c r="C39" s="241">
        <f>'DOE25'!G192+'DOE25'!G210+'DOE25'!G228</f>
        <v>52437.561065000002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435510.20999999996</v>
      </c>
      <c r="C40" s="232">
        <f>SUM(C37:C39)</f>
        <v>52437.561065000002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EB6C-BBD9-47CD-A657-BBE298BCC086}">
  <sheetPr>
    <tabColor indexed="11"/>
  </sheetPr>
  <dimension ref="A1:I51"/>
  <sheetViews>
    <sheetView workbookViewId="0">
      <pane ySplit="4" topLeftCell="A11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Contoocook Valley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25072949.393271733</v>
      </c>
      <c r="D5" s="20">
        <f>SUM('DOE25'!L189:L192)+SUM('DOE25'!L207:L210)+SUM('DOE25'!L225:L228)-F5-G5</f>
        <v>24776139.035271734</v>
      </c>
      <c r="E5" s="244"/>
      <c r="F5" s="256">
        <f>SUM('DOE25'!J189:J192)+SUM('DOE25'!J207:J210)+SUM('DOE25'!J225:J228)</f>
        <v>185394.36799999996</v>
      </c>
      <c r="G5" s="53">
        <f>SUM('DOE25'!K189:K192)+SUM('DOE25'!K207:K210)+SUM('DOE25'!K225:K228)</f>
        <v>111415.98999999999</v>
      </c>
      <c r="H5" s="260"/>
    </row>
    <row r="6" spans="1:9" x14ac:dyDescent="0.2">
      <c r="A6" s="32">
        <v>2100</v>
      </c>
      <c r="B6" t="s">
        <v>835</v>
      </c>
      <c r="C6" s="246">
        <f t="shared" si="0"/>
        <v>1713783.5948363729</v>
      </c>
      <c r="D6" s="20">
        <f>'DOE25'!L194+'DOE25'!L212+'DOE25'!L230-F6-G6</f>
        <v>1706562.8048363731</v>
      </c>
      <c r="E6" s="244"/>
      <c r="F6" s="256">
        <f>'DOE25'!J194+'DOE25'!J212+'DOE25'!J230</f>
        <v>1323.8899999999999</v>
      </c>
      <c r="G6" s="53">
        <f>'DOE25'!K194+'DOE25'!K212+'DOE25'!K230</f>
        <v>5896.9</v>
      </c>
      <c r="H6" s="260"/>
    </row>
    <row r="7" spans="1:9" x14ac:dyDescent="0.2">
      <c r="A7" s="32">
        <v>2200</v>
      </c>
      <c r="B7" t="s">
        <v>868</v>
      </c>
      <c r="C7" s="246">
        <f t="shared" si="0"/>
        <v>818635.24997020804</v>
      </c>
      <c r="D7" s="20">
        <f>'DOE25'!L195+'DOE25'!L213+'DOE25'!L231-F7-G7</f>
        <v>815789.56997020799</v>
      </c>
      <c r="E7" s="244"/>
      <c r="F7" s="256">
        <f>'DOE25'!J195+'DOE25'!J213+'DOE25'!J231</f>
        <v>2845.68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1257210.7499233161</v>
      </c>
      <c r="D8" s="244"/>
      <c r="E8" s="20">
        <f>'DOE25'!L196+'DOE25'!L214+'DOE25'!L232-F8-G8-D9-D11</f>
        <v>1236614.1199233162</v>
      </c>
      <c r="F8" s="256">
        <f>'DOE25'!J196+'DOE25'!J214+'DOE25'!J232</f>
        <v>0</v>
      </c>
      <c r="G8" s="53">
        <f>'DOE25'!K196+'DOE25'!K214+'DOE25'!K232</f>
        <v>20596.629999999997</v>
      </c>
      <c r="H8" s="260"/>
    </row>
    <row r="9" spans="1:9" x14ac:dyDescent="0.2">
      <c r="A9" s="32">
        <v>2310</v>
      </c>
      <c r="B9" t="s">
        <v>852</v>
      </c>
      <c r="C9" s="246">
        <f t="shared" si="0"/>
        <v>186826.23999999999</v>
      </c>
      <c r="D9" s="245">
        <v>186826.23999999999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13915.5</v>
      </c>
      <c r="D10" s="244"/>
      <c r="E10" s="245">
        <v>13915.5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242423.73</v>
      </c>
      <c r="D11" s="245">
        <f>66068.82+176354.91</f>
        <v>242423.73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2695981.9761608047</v>
      </c>
      <c r="D12" s="20">
        <f>'DOE25'!L197+'DOE25'!L215+'DOE25'!L233-F12-G12</f>
        <v>2646621.9961608048</v>
      </c>
      <c r="E12" s="244"/>
      <c r="F12" s="256">
        <f>'DOE25'!J197+'DOE25'!J215+'DOE25'!J233</f>
        <v>0</v>
      </c>
      <c r="G12" s="53">
        <f>'DOE25'!K197+'DOE25'!K215+'DOE25'!K233</f>
        <v>49359.979999999996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3548391.0342374174</v>
      </c>
      <c r="D14" s="20">
        <f>'DOE25'!L199+'DOE25'!L217+'DOE25'!L235-F14-G14</f>
        <v>3526891.0142374174</v>
      </c>
      <c r="E14" s="244"/>
      <c r="F14" s="256">
        <f>'DOE25'!J199+'DOE25'!J217+'DOE25'!J235</f>
        <v>21500.02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2509701.75</v>
      </c>
      <c r="D15" s="20">
        <f>'DOE25'!L200+'DOE25'!L218+'DOE25'!L236-F15-G15</f>
        <v>2509701.75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12468.79</v>
      </c>
      <c r="D16" s="244"/>
      <c r="E16" s="20">
        <f>'DOE25'!L201+'DOE25'!L219+'DOE25'!L237-F16-G16</f>
        <v>12468.79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2658718.16</v>
      </c>
      <c r="D25" s="244"/>
      <c r="E25" s="244"/>
      <c r="F25" s="259"/>
      <c r="G25" s="257"/>
      <c r="H25" s="258">
        <f>'DOE25'!L252+'DOE25'!L253+'DOE25'!L333+'DOE25'!L334</f>
        <v>2658718.16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862555.85999999987</v>
      </c>
      <c r="D29" s="20">
        <f>'DOE25'!L350+'DOE25'!L351+'DOE25'!L352-'DOE25'!I359-F29-G29</f>
        <v>850981.05999999982</v>
      </c>
      <c r="E29" s="244"/>
      <c r="F29" s="256">
        <f>'DOE25'!J350+'DOE25'!J351+'DOE25'!J352</f>
        <v>5924</v>
      </c>
      <c r="G29" s="53">
        <f>'DOE25'!K350+'DOE25'!K351+'DOE25'!K352</f>
        <v>5650.7999999999993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1918995.3836619998</v>
      </c>
      <c r="D31" s="20">
        <f>'DOE25'!L282+'DOE25'!L301+'DOE25'!L320+'DOE25'!L325+'DOE25'!L326+'DOE25'!L327-F31-G31</f>
        <v>1678269.8086619999</v>
      </c>
      <c r="E31" s="244"/>
      <c r="F31" s="256">
        <f>'DOE25'!J282+'DOE25'!J301+'DOE25'!J320+'DOE25'!J325+'DOE25'!J326+'DOE25'!J327</f>
        <v>176900.125</v>
      </c>
      <c r="G31" s="53">
        <f>'DOE25'!K282+'DOE25'!K301+'DOE25'!K320+'DOE25'!K325+'DOE25'!K326+'DOE25'!K327</f>
        <v>63825.45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38940207.009138539</v>
      </c>
      <c r="E33" s="247">
        <f>SUM(E5:E31)</f>
        <v>1262998.4099233162</v>
      </c>
      <c r="F33" s="247">
        <f>SUM(F5:F31)</f>
        <v>393888.08299999998</v>
      </c>
      <c r="G33" s="247">
        <f>SUM(G5:G31)</f>
        <v>256745.75</v>
      </c>
      <c r="H33" s="247">
        <f>SUM(H5:H31)</f>
        <v>2658718.16</v>
      </c>
    </row>
    <row r="35" spans="2:8" ht="12" thickBot="1" x14ac:dyDescent="0.25">
      <c r="B35" s="254" t="s">
        <v>881</v>
      </c>
      <c r="D35" s="255">
        <f>E33</f>
        <v>1262998.4099233162</v>
      </c>
      <c r="E35" s="250"/>
    </row>
    <row r="36" spans="2:8" ht="12" thickTop="1" x14ac:dyDescent="0.2">
      <c r="B36" t="s">
        <v>849</v>
      </c>
      <c r="D36" s="20">
        <f>D33</f>
        <v>38940207.009138539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B2D9-712D-487E-8CC3-8CC0C8BBE628}">
  <sheetPr transitionEvaluation="1" codeName="Sheet2">
    <tabColor indexed="10"/>
  </sheetPr>
  <dimension ref="A1:I156"/>
  <sheetViews>
    <sheetView zoomScale="75" workbookViewId="0">
      <pane ySplit="2" topLeftCell="A12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Contoocook Valley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17518.86000000003</v>
      </c>
      <c r="D9" s="95">
        <f>'DOE25'!G9</f>
        <v>14516.46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372923.1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259912.04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190000</v>
      </c>
      <c r="D13" s="95">
        <f>'DOE25'!G13</f>
        <v>27244.1</v>
      </c>
      <c r="E13" s="95">
        <f>'DOE25'!H13</f>
        <v>193499.4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173913.98</v>
      </c>
      <c r="D14" s="95">
        <f>'DOE25'!G14</f>
        <v>34543.07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31663.19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272004.75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913349.63</v>
      </c>
      <c r="D19" s="41">
        <f>SUM(D9:D18)</f>
        <v>107966.82</v>
      </c>
      <c r="E19" s="41">
        <f>SUM(E9:E18)</f>
        <v>193499.4</v>
      </c>
      <c r="F19" s="41">
        <f>SUM(F9:F18)</f>
        <v>0</v>
      </c>
      <c r="G19" s="41">
        <f>SUM(G9:G18)</f>
        <v>372923.1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127179.77</v>
      </c>
      <c r="D22" s="95">
        <f>'DOE25'!G23</f>
        <v>260635.43</v>
      </c>
      <c r="E22" s="95">
        <f>'DOE25'!H23</f>
        <v>110346.02</v>
      </c>
      <c r="F22" s="95">
        <f>'DOE25'!I23</f>
        <v>0</v>
      </c>
      <c r="G22" s="95">
        <f>'DOE25'!J23</f>
        <v>190000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515143.27</v>
      </c>
      <c r="D24" s="95">
        <f>'DOE25'!G25</f>
        <v>3747.05</v>
      </c>
      <c r="E24" s="95">
        <f>'DOE25'!H25</f>
        <v>83153.38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642323.04</v>
      </c>
      <c r="D32" s="41">
        <f>SUM(D22:D31)</f>
        <v>264382.48</v>
      </c>
      <c r="E32" s="41">
        <f>SUM(E22:E31)</f>
        <v>193499.40000000002</v>
      </c>
      <c r="F32" s="41">
        <f>SUM(F22:F31)</f>
        <v>0</v>
      </c>
      <c r="G32" s="41">
        <f>SUM(G22:G31)</f>
        <v>190000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69319.87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200000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-156415.65999999997</v>
      </c>
      <c r="E40" s="95">
        <f>'DOE25'!H41</f>
        <v>-1.4551915228366852E-11</v>
      </c>
      <c r="F40" s="95">
        <f>'DOE25'!I41</f>
        <v>0</v>
      </c>
      <c r="G40" s="95">
        <f>'DOE25'!J41</f>
        <v>182923.1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1706.7199999999721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271026.58999999997</v>
      </c>
      <c r="D42" s="41">
        <f>SUM(D34:D41)</f>
        <v>-156415.65999999997</v>
      </c>
      <c r="E42" s="41">
        <f>SUM(E34:E41)</f>
        <v>-1.4551915228366852E-11</v>
      </c>
      <c r="F42" s="41">
        <f>SUM(F34:F41)</f>
        <v>0</v>
      </c>
      <c r="G42" s="41">
        <f>SUM(G34:G41)</f>
        <v>182923.1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913349.63</v>
      </c>
      <c r="D43" s="41">
        <f>D42+D32</f>
        <v>107966.82</v>
      </c>
      <c r="E43" s="41">
        <f>E42+E32</f>
        <v>193499.40000000002</v>
      </c>
      <c r="F43" s="41">
        <f>F42+F32</f>
        <v>0</v>
      </c>
      <c r="G43" s="41">
        <f>G42+G32</f>
        <v>372923.1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24023128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388779.55000000005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29290.92</v>
      </c>
      <c r="D51" s="95">
        <f>'DOE25'!G88</f>
        <v>558.49</v>
      </c>
      <c r="E51" s="95">
        <f>'DOE25'!H88</f>
        <v>0</v>
      </c>
      <c r="F51" s="95">
        <f>'DOE25'!I88</f>
        <v>0</v>
      </c>
      <c r="G51" s="95">
        <f>'DOE25'!J88</f>
        <v>122.72999999999999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762557.49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34920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452990.47000000003</v>
      </c>
      <c r="D54" s="130">
        <f>SUM(D49:D53)</f>
        <v>763115.98</v>
      </c>
      <c r="E54" s="130">
        <f>SUM(E49:E53)</f>
        <v>0</v>
      </c>
      <c r="F54" s="130">
        <f>SUM(F49:F53)</f>
        <v>0</v>
      </c>
      <c r="G54" s="130">
        <f>SUM(G49:G53)</f>
        <v>122.72999999999999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24476118.469999999</v>
      </c>
      <c r="D55" s="22">
        <f>D48+D54</f>
        <v>763115.98</v>
      </c>
      <c r="E55" s="22">
        <f>E48+E54</f>
        <v>0</v>
      </c>
      <c r="F55" s="22">
        <f>F48+F54</f>
        <v>0</v>
      </c>
      <c r="G55" s="22">
        <f>G48+G54</f>
        <v>122.72999999999999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6415091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5013451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2461275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740.49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13889817</v>
      </c>
      <c r="D62" s="139">
        <f>D61</f>
        <v>740.49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1228065.67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728792.39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73112.479999999996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10562.24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2029970.54</v>
      </c>
      <c r="D70" s="130">
        <f>SUM(D64:D69)</f>
        <v>10562.24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15919787.539999999</v>
      </c>
      <c r="D73" s="130">
        <f>SUM(D71:D72)+D70+D62</f>
        <v>11302.73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395497.42</v>
      </c>
      <c r="D80" s="95">
        <f>SUM('DOE25'!G145:G153)</f>
        <v>352143.19</v>
      </c>
      <c r="E80" s="95">
        <f>SUM('DOE25'!H145:H153)</f>
        <v>1919347.73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395497.42</v>
      </c>
      <c r="D83" s="131">
        <f>SUM(D77:D82)</f>
        <v>352143.19</v>
      </c>
      <c r="E83" s="131">
        <f>SUM(E77:E82)</f>
        <v>1919347.73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261535.24</v>
      </c>
      <c r="E88" s="95">
        <f>'DOE25'!H171</f>
        <v>0</v>
      </c>
      <c r="F88" s="95">
        <f>'DOE25'!I171</f>
        <v>0</v>
      </c>
      <c r="G88" s="95">
        <f>'DOE25'!J171</f>
        <v>100000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190000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190000</v>
      </c>
      <c r="D95" s="86">
        <f>SUM(D85:D94)</f>
        <v>261535.24</v>
      </c>
      <c r="E95" s="86">
        <f>SUM(E85:E94)</f>
        <v>0</v>
      </c>
      <c r="F95" s="86">
        <f>SUM(F85:F94)</f>
        <v>0</v>
      </c>
      <c r="G95" s="86">
        <f>SUM(G85:G94)</f>
        <v>100000</v>
      </c>
    </row>
    <row r="96" spans="1:7" ht="12.75" thickTop="1" thickBot="1" x14ac:dyDescent="0.25">
      <c r="A96" s="33" t="s">
        <v>797</v>
      </c>
      <c r="C96" s="86">
        <f>C55+C73+C83+C95</f>
        <v>40981403.43</v>
      </c>
      <c r="D96" s="86">
        <f>D55+D73+D83+D95</f>
        <v>1388097.14</v>
      </c>
      <c r="E96" s="86">
        <f>E55+E73+E83+E95</f>
        <v>1919347.73</v>
      </c>
      <c r="F96" s="86">
        <f>F55+F73+F83+F95</f>
        <v>0</v>
      </c>
      <c r="G96" s="86">
        <f>G55+G73+G95</f>
        <v>100122.73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14688477.774623636</v>
      </c>
      <c r="D101" s="24" t="s">
        <v>312</v>
      </c>
      <c r="E101" s="95">
        <f>('DOE25'!L268)+('DOE25'!L287)+('DOE25'!L306)</f>
        <v>899067.33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8579018.0263163876</v>
      </c>
      <c r="D102" s="24" t="s">
        <v>312</v>
      </c>
      <c r="E102" s="95">
        <f>('DOE25'!L269)+('DOE25'!L288)+('DOE25'!L307)</f>
        <v>730519.02366199996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1102738.1212667092</v>
      </c>
      <c r="D103" s="24" t="s">
        <v>312</v>
      </c>
      <c r="E103" s="95">
        <f>('DOE25'!L270)+('DOE25'!L289)+('DOE25'!L308)</f>
        <v>264578.49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702715.47106500005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14791.92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25072949.393271729</v>
      </c>
      <c r="D107" s="86">
        <f>SUM(D101:D106)</f>
        <v>0</v>
      </c>
      <c r="E107" s="86">
        <f>SUM(E101:E106)</f>
        <v>1908956.763662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1713783.5948363729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818635.24997020804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1686460.719923316</v>
      </c>
      <c r="D112" s="24" t="s">
        <v>312</v>
      </c>
      <c r="E112" s="95">
        <f>+('DOE25'!L275)+('DOE25'!L294)+('DOE25'!L313)</f>
        <v>2019.25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2695981.9761608047</v>
      </c>
      <c r="D113" s="24" t="s">
        <v>312</v>
      </c>
      <c r="E113" s="95">
        <f>+('DOE25'!L276)+('DOE25'!L295)+('DOE25'!L314)</f>
        <v>8019.37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3548391.0342374174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2509701.75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12468.79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1374639.92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12985423.115128119</v>
      </c>
      <c r="D120" s="86">
        <f>SUM(D110:D119)</f>
        <v>1374639.92</v>
      </c>
      <c r="E120" s="86">
        <f>SUM(E110:E119)</f>
        <v>10038.619999999999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2032664.08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626054.07999999996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190000</v>
      </c>
    </row>
    <row r="127" spans="1:7" x14ac:dyDescent="0.2">
      <c r="A127" t="s">
        <v>256</v>
      </c>
      <c r="B127" s="32" t="s">
        <v>257</v>
      </c>
      <c r="C127" s="95">
        <f>'DOE25'!L255</f>
        <v>261535.24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50000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50122.73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-122.73000000001048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3020253.4000000004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190000</v>
      </c>
    </row>
    <row r="137" spans="1:9" ht="12.75" thickTop="1" thickBot="1" x14ac:dyDescent="0.25">
      <c r="A137" s="33" t="s">
        <v>267</v>
      </c>
      <c r="C137" s="86">
        <f>(C107+C120+C136)</f>
        <v>41078625.908399843</v>
      </c>
      <c r="D137" s="86">
        <f>(D107+D120+D136)</f>
        <v>1374639.92</v>
      </c>
      <c r="E137" s="86">
        <f>(E107+E120+E136)</f>
        <v>1918995.3836620001</v>
      </c>
      <c r="F137" s="86">
        <f>(F107+F120+F136)</f>
        <v>0</v>
      </c>
      <c r="G137" s="86">
        <f>(G107+G120+G136)</f>
        <v>190000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14</v>
      </c>
      <c r="C143" s="153">
        <f>'DOE25'!G480</f>
        <v>10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10/01/1998</v>
      </c>
      <c r="C144" s="152" t="str">
        <f>'DOE25'!G481</f>
        <v>03/02/2002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10/01/12</v>
      </c>
      <c r="C145" s="152" t="str">
        <f>'DOE25'!G482</f>
        <v>07/02/2012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9999937.9800000004</v>
      </c>
      <c r="C146" s="137">
        <f>'DOE25'!G483</f>
        <v>9000000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4.83</v>
      </c>
      <c r="C147" s="137">
        <f>'DOE25'!G484</f>
        <v>4.87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1931515.05</v>
      </c>
      <c r="C148" s="137">
        <f>'DOE25'!G485</f>
        <v>3095066.71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5026581.76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527025.1</v>
      </c>
      <c r="C150" s="137">
        <f>'DOE25'!G487</f>
        <v>901745.76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1428770.8599999999</v>
      </c>
    </row>
    <row r="151" spans="1:7" x14ac:dyDescent="0.2">
      <c r="A151" s="22" t="s">
        <v>35</v>
      </c>
      <c r="B151" s="137">
        <f>'DOE25'!F488</f>
        <v>1404489.95</v>
      </c>
      <c r="C151" s="137">
        <f>'DOE25'!G488</f>
        <v>2193320.9500000002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3597810.9000000004</v>
      </c>
    </row>
    <row r="152" spans="1:7" x14ac:dyDescent="0.2">
      <c r="A152" s="22" t="s">
        <v>36</v>
      </c>
      <c r="B152" s="137">
        <f>'DOE25'!F489</f>
        <v>1490510.05</v>
      </c>
      <c r="C152" s="137">
        <f>'DOE25'!G489</f>
        <v>354756.78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1845266.83</v>
      </c>
    </row>
    <row r="153" spans="1:7" x14ac:dyDescent="0.2">
      <c r="A153" s="22" t="s">
        <v>37</v>
      </c>
      <c r="B153" s="137">
        <f>'DOE25'!F490</f>
        <v>2895000</v>
      </c>
      <c r="C153" s="137">
        <f>'DOE25'!G490</f>
        <v>2548077.7300000004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5443077.7300000004</v>
      </c>
    </row>
    <row r="154" spans="1:7" x14ac:dyDescent="0.2">
      <c r="A154" s="22" t="s">
        <v>38</v>
      </c>
      <c r="B154" s="137">
        <f>'DOE25'!F491</f>
        <v>495324.85</v>
      </c>
      <c r="C154" s="137">
        <f>'DOE25'!G491</f>
        <v>955639.08000000007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1450963.9300000002</v>
      </c>
    </row>
    <row r="155" spans="1:7" x14ac:dyDescent="0.2">
      <c r="A155" s="22" t="s">
        <v>39</v>
      </c>
      <c r="B155" s="137">
        <f>'DOE25'!F492</f>
        <v>469675.15</v>
      </c>
      <c r="C155" s="137">
        <f>'DOE25'!G492</f>
        <v>161679.18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631354.33000000007</v>
      </c>
    </row>
    <row r="156" spans="1:7" x14ac:dyDescent="0.2">
      <c r="A156" s="22" t="s">
        <v>269</v>
      </c>
      <c r="B156" s="137">
        <f>'DOE25'!F493</f>
        <v>965000</v>
      </c>
      <c r="C156" s="137">
        <f>'DOE25'!G493</f>
        <v>1117318.26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2082318.26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41F3-0A90-4198-A2F0-C3CA0E1082CE}">
  <sheetPr codeName="Sheet3">
    <tabColor indexed="43"/>
  </sheetPr>
  <dimension ref="A1:D42"/>
  <sheetViews>
    <sheetView topLeftCell="A14" workbookViewId="0">
      <selection activeCell="C17" sqref="C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Contoocook Valley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15231</v>
      </c>
    </row>
    <row r="5" spans="1:4" x14ac:dyDescent="0.2">
      <c r="B5" t="s">
        <v>735</v>
      </c>
      <c r="C5" s="179">
        <f>IF('DOE25'!G655+'DOE25'!G660=0,0,ROUND('DOE25'!G662,0))</f>
        <v>13258</v>
      </c>
    </row>
    <row r="6" spans="1:4" x14ac:dyDescent="0.2">
      <c r="B6" t="s">
        <v>62</v>
      </c>
      <c r="C6" s="179">
        <f>IF('DOE25'!H655+'DOE25'!H660=0,0,ROUND('DOE25'!H662,0))</f>
        <v>12756</v>
      </c>
    </row>
    <row r="7" spans="1:4" x14ac:dyDescent="0.2">
      <c r="B7" t="s">
        <v>736</v>
      </c>
      <c r="C7" s="179">
        <f>IF('DOE25'!I655+'DOE25'!I660=0,0,ROUND('DOE25'!I662,0))</f>
        <v>13669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15587545</v>
      </c>
      <c r="D10" s="182">
        <f>ROUND((C10/$C$28)*100,1)</f>
        <v>37.799999999999997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9309537</v>
      </c>
      <c r="D11" s="182">
        <f>ROUND((C11/$C$28)*100,1)</f>
        <v>22.6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1367317</v>
      </c>
      <c r="D12" s="182">
        <f>ROUND((C12/$C$28)*100,1)</f>
        <v>3.3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702715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1713784</v>
      </c>
      <c r="D15" s="182">
        <f t="shared" ref="D15:D27" si="0">ROUND((C15/$C$28)*100,1)</f>
        <v>4.2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818635</v>
      </c>
      <c r="D16" s="182">
        <f t="shared" si="0"/>
        <v>2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1700949</v>
      </c>
      <c r="D17" s="182">
        <f t="shared" si="0"/>
        <v>4.0999999999999996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2704001</v>
      </c>
      <c r="D18" s="182">
        <f t="shared" si="0"/>
        <v>6.6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3548391</v>
      </c>
      <c r="D20" s="182">
        <f t="shared" si="0"/>
        <v>8.6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2509702</v>
      </c>
      <c r="D21" s="182">
        <f t="shared" si="0"/>
        <v>6.1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14792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626054</v>
      </c>
      <c r="D25" s="182">
        <f t="shared" si="0"/>
        <v>1.5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612082.51</v>
      </c>
      <c r="D27" s="182">
        <f t="shared" si="0"/>
        <v>1.5</v>
      </c>
    </row>
    <row r="28" spans="1:4" x14ac:dyDescent="0.2">
      <c r="B28" s="187" t="s">
        <v>754</v>
      </c>
      <c r="C28" s="180">
        <f>SUM(C10:C27)</f>
        <v>41215504.509999998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41215504.509999998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2032664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24023128</v>
      </c>
      <c r="D35" s="182">
        <f t="shared" ref="D35:D40" si="1">ROUND((C35/$C$41)*100,1)</f>
        <v>55.8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453671.69000000507</v>
      </c>
      <c r="D36" s="182">
        <f t="shared" si="1"/>
        <v>1.1000000000000001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11428542</v>
      </c>
      <c r="D37" s="182">
        <f t="shared" si="1"/>
        <v>26.5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4502548</v>
      </c>
      <c r="D38" s="182">
        <f t="shared" si="1"/>
        <v>10.5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2666988</v>
      </c>
      <c r="D39" s="182">
        <f t="shared" si="1"/>
        <v>6.2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43074877.690000005</v>
      </c>
      <c r="D41" s="184">
        <f>SUM(D35:D40)</f>
        <v>100.10000000000001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A8E4-B179-4FD6-B68C-774FB7EE6095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Contoocook Valley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1:M51"/>
    <mergeCell ref="C57:M57"/>
    <mergeCell ref="C59:M59"/>
    <mergeCell ref="C60:M60"/>
    <mergeCell ref="C52:M52"/>
    <mergeCell ref="C50:M50"/>
    <mergeCell ref="C44:M44"/>
    <mergeCell ref="C47:M47"/>
    <mergeCell ref="C48:M48"/>
    <mergeCell ref="C49:M49"/>
    <mergeCell ref="IC40:IM40"/>
    <mergeCell ref="AP40:AZ40"/>
    <mergeCell ref="C42:M42"/>
    <mergeCell ref="C41:M41"/>
    <mergeCell ref="FP40:FZ40"/>
    <mergeCell ref="BC40:BM40"/>
    <mergeCell ref="DC40:DM40"/>
    <mergeCell ref="EP40:EZ40"/>
    <mergeCell ref="DP40:DZ40"/>
    <mergeCell ref="C40:M40"/>
    <mergeCell ref="IP40:IV40"/>
    <mergeCell ref="BP40:BZ40"/>
    <mergeCell ref="FC40:FM40"/>
    <mergeCell ref="CC40:CM40"/>
    <mergeCell ref="CP40:CZ40"/>
    <mergeCell ref="GC40:GM40"/>
    <mergeCell ref="GP40:GZ40"/>
    <mergeCell ref="HC40:HM40"/>
    <mergeCell ref="HP40:HZ40"/>
    <mergeCell ref="EC40:EM40"/>
    <mergeCell ref="IC39:IM39"/>
    <mergeCell ref="DP39:DZ39"/>
    <mergeCell ref="EC39:EM39"/>
    <mergeCell ref="HP39:HZ39"/>
    <mergeCell ref="EP39:EZ39"/>
    <mergeCell ref="HC39:HM39"/>
    <mergeCell ref="DC39:DM39"/>
    <mergeCell ref="IP38:IV38"/>
    <mergeCell ref="GC39:GM39"/>
    <mergeCell ref="FC38:FM38"/>
    <mergeCell ref="FP38:FZ38"/>
    <mergeCell ref="HP38:HZ38"/>
    <mergeCell ref="IP39:IV39"/>
    <mergeCell ref="FC39:FM39"/>
    <mergeCell ref="FP39:FZ39"/>
    <mergeCell ref="GP39:GZ39"/>
    <mergeCell ref="P39:Z39"/>
    <mergeCell ref="AC39:AM39"/>
    <mergeCell ref="AP39:AZ39"/>
    <mergeCell ref="CP39:CZ39"/>
    <mergeCell ref="BP39:BZ39"/>
    <mergeCell ref="CC39:CM39"/>
    <mergeCell ref="BC39:BM39"/>
    <mergeCell ref="P38:Z38"/>
    <mergeCell ref="AC38:AM38"/>
    <mergeCell ref="AP38:AZ38"/>
    <mergeCell ref="DC38:DM38"/>
    <mergeCell ref="BP38:BZ38"/>
    <mergeCell ref="CC38:CM38"/>
    <mergeCell ref="HC31:HM31"/>
    <mergeCell ref="GP32:GZ32"/>
    <mergeCell ref="DC32:DM32"/>
    <mergeCell ref="DP32:DZ32"/>
    <mergeCell ref="EC32:EM32"/>
    <mergeCell ref="EP32:EZ32"/>
    <mergeCell ref="DP31:DZ31"/>
    <mergeCell ref="EC31:EM31"/>
    <mergeCell ref="EP31:EZ31"/>
    <mergeCell ref="CP32:CZ32"/>
    <mergeCell ref="HP32:HZ32"/>
    <mergeCell ref="FP32:FZ32"/>
    <mergeCell ref="GC32:GM32"/>
    <mergeCell ref="GC38:GM38"/>
    <mergeCell ref="GP38:GZ38"/>
    <mergeCell ref="HC38:HM38"/>
    <mergeCell ref="DP38:DZ38"/>
    <mergeCell ref="EC38:EM38"/>
    <mergeCell ref="EP38:EZ38"/>
    <mergeCell ref="GP31:GZ31"/>
    <mergeCell ref="IP31:IV31"/>
    <mergeCell ref="IC31:IM31"/>
    <mergeCell ref="HP31:HZ31"/>
    <mergeCell ref="CP38:CZ38"/>
    <mergeCell ref="IC32:IM32"/>
    <mergeCell ref="IP32:IV32"/>
    <mergeCell ref="FC32:FM32"/>
    <mergeCell ref="IC38:IM38"/>
    <mergeCell ref="HC32:HM32"/>
    <mergeCell ref="CC32:CM32"/>
    <mergeCell ref="AC32:AM32"/>
    <mergeCell ref="IP30:IV30"/>
    <mergeCell ref="FP30:FZ30"/>
    <mergeCell ref="GC30:GM30"/>
    <mergeCell ref="GP30:GZ30"/>
    <mergeCell ref="HC30:HM30"/>
    <mergeCell ref="HP30:HZ30"/>
    <mergeCell ref="IC30:IM30"/>
    <mergeCell ref="FC30:FM30"/>
    <mergeCell ref="P31:Z31"/>
    <mergeCell ref="AP31:AZ31"/>
    <mergeCell ref="CC31:CM31"/>
    <mergeCell ref="CP31:CZ31"/>
    <mergeCell ref="P40:Z40"/>
    <mergeCell ref="AC40:AM40"/>
    <mergeCell ref="BP32:BZ32"/>
    <mergeCell ref="BC38:BM38"/>
    <mergeCell ref="BC31:BM31"/>
    <mergeCell ref="BC32:BM32"/>
    <mergeCell ref="HC29:HM29"/>
    <mergeCell ref="HP29:HZ29"/>
    <mergeCell ref="IC29:IM29"/>
    <mergeCell ref="IP29:IV29"/>
    <mergeCell ref="P30:Z30"/>
    <mergeCell ref="AC30:AM30"/>
    <mergeCell ref="AP30:AZ30"/>
    <mergeCell ref="CC30:CM30"/>
    <mergeCell ref="CP30:CZ30"/>
    <mergeCell ref="DC30:DM30"/>
    <mergeCell ref="P32:Z32"/>
    <mergeCell ref="AC31:AM31"/>
    <mergeCell ref="EP29:EZ29"/>
    <mergeCell ref="P29:Z29"/>
    <mergeCell ref="AC29:AM29"/>
    <mergeCell ref="AP29:AZ29"/>
    <mergeCell ref="BC30:BM30"/>
    <mergeCell ref="BP30:BZ30"/>
    <mergeCell ref="EC30:EM30"/>
    <mergeCell ref="AP32:AZ32"/>
    <mergeCell ref="BP31:BZ31"/>
    <mergeCell ref="FP31:FZ31"/>
    <mergeCell ref="GC31:GM31"/>
    <mergeCell ref="DC31:DM31"/>
    <mergeCell ref="FP29:FZ29"/>
    <mergeCell ref="GC29:GM29"/>
    <mergeCell ref="FC29:FM29"/>
    <mergeCell ref="EP30:EZ30"/>
    <mergeCell ref="DP30:DZ30"/>
    <mergeCell ref="FC31:FM31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C6:M6"/>
    <mergeCell ref="C7:M7"/>
    <mergeCell ref="C8:M8"/>
    <mergeCell ref="C19:M19"/>
    <mergeCell ref="C9:M9"/>
    <mergeCell ref="C10:M10"/>
    <mergeCell ref="C11:M11"/>
    <mergeCell ref="C12:M12"/>
    <mergeCell ref="C13:M13"/>
    <mergeCell ref="C17:M17"/>
    <mergeCell ref="A2:E2"/>
    <mergeCell ref="A1:I1"/>
    <mergeCell ref="C3:M3"/>
    <mergeCell ref="C4:M4"/>
    <mergeCell ref="F2:I2"/>
    <mergeCell ref="C5:M5"/>
    <mergeCell ref="C31:M31"/>
    <mergeCell ref="C39:M39"/>
    <mergeCell ref="C27:M27"/>
    <mergeCell ref="C26:M26"/>
    <mergeCell ref="C14:M14"/>
    <mergeCell ref="C15:M15"/>
    <mergeCell ref="C20:M20"/>
    <mergeCell ref="C16:M16"/>
    <mergeCell ref="C25:M25"/>
    <mergeCell ref="C18:M18"/>
    <mergeCell ref="C69:M69"/>
    <mergeCell ref="C38:M38"/>
    <mergeCell ref="C70:M70"/>
    <mergeCell ref="A72:E72"/>
    <mergeCell ref="C29:M29"/>
    <mergeCell ref="C65:M65"/>
    <mergeCell ref="C33:M33"/>
    <mergeCell ref="C37:M37"/>
    <mergeCell ref="C32:M32"/>
    <mergeCell ref="C30:M30"/>
    <mergeCell ref="C34:M34"/>
    <mergeCell ref="C35:M35"/>
    <mergeCell ref="C36:M36"/>
    <mergeCell ref="C62:M62"/>
    <mergeCell ref="C63:M63"/>
    <mergeCell ref="C64:M64"/>
    <mergeCell ref="C58:M58"/>
    <mergeCell ref="C43:M43"/>
    <mergeCell ref="C45:M45"/>
    <mergeCell ref="C46:M46"/>
    <mergeCell ref="C80:M80"/>
    <mergeCell ref="C81:M81"/>
    <mergeCell ref="C82:M82"/>
    <mergeCell ref="C84:M84"/>
    <mergeCell ref="C73:M73"/>
    <mergeCell ref="C74:M74"/>
    <mergeCell ref="C85:M85"/>
    <mergeCell ref="C86:M86"/>
    <mergeCell ref="C87:M87"/>
    <mergeCell ref="C88:M88"/>
    <mergeCell ref="C90:M90"/>
    <mergeCell ref="C75:M75"/>
    <mergeCell ref="C76:M76"/>
    <mergeCell ref="C77:M77"/>
    <mergeCell ref="C78:M78"/>
    <mergeCell ref="C79:M79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2010-10-01T16:38:06Z</cp:lastPrinted>
  <dcterms:created xsi:type="dcterms:W3CDTF">1997-12-04T19:04:30Z</dcterms:created>
  <dcterms:modified xsi:type="dcterms:W3CDTF">2025-01-02T14:22:51Z</dcterms:modified>
</cp:coreProperties>
</file>