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FE0BF88-D1B8-42E1-8303-45C854418E7B}" xr6:coauthVersionLast="47" xr6:coauthVersionMax="47" xr10:uidLastSave="{00000000-0000-0000-0000-000000000000}"/>
  <workbookProtection workbookPassword="B70A" lockStructure="1"/>
  <bookViews>
    <workbookView xWindow="3240" yWindow="3240" windowWidth="21600" windowHeight="11505" tabRatio="855" xr2:uid="{8003BA15-208E-433D-BC04-5E52BA608DC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2" l="1"/>
  <c r="B29" i="12"/>
  <c r="B31" i="12" s="1"/>
  <c r="H370" i="1"/>
  <c r="J372" i="1"/>
  <c r="G388" i="1"/>
  <c r="G225" i="1"/>
  <c r="G239" i="1" s="1"/>
  <c r="F225" i="1"/>
  <c r="G207" i="1"/>
  <c r="F207" i="1"/>
  <c r="G189" i="1"/>
  <c r="C9" i="12" s="1"/>
  <c r="F189" i="1"/>
  <c r="L189" i="1" s="1"/>
  <c r="F9" i="1"/>
  <c r="F19" i="1" s="1"/>
  <c r="G607" i="1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90" i="1"/>
  <c r="L191" i="1"/>
  <c r="C103" i="2" s="1"/>
  <c r="L192" i="1"/>
  <c r="L207" i="1"/>
  <c r="L208" i="1"/>
  <c r="L209" i="1"/>
  <c r="L210" i="1"/>
  <c r="L225" i="1"/>
  <c r="L239" i="1" s="1"/>
  <c r="L226" i="1"/>
  <c r="C11" i="10" s="1"/>
  <c r="L227" i="1"/>
  <c r="L228" i="1"/>
  <c r="F6" i="13"/>
  <c r="G6" i="13"/>
  <c r="L194" i="1"/>
  <c r="C15" i="10" s="1"/>
  <c r="L212" i="1"/>
  <c r="L230" i="1"/>
  <c r="F7" i="13"/>
  <c r="G7" i="13"/>
  <c r="L195" i="1"/>
  <c r="D7" i="13" s="1"/>
  <c r="C7" i="13" s="1"/>
  <c r="L213" i="1"/>
  <c r="L221" i="1" s="1"/>
  <c r="G650" i="1" s="1"/>
  <c r="L231" i="1"/>
  <c r="F12" i="13"/>
  <c r="G12" i="13"/>
  <c r="L197" i="1"/>
  <c r="D12" i="13" s="1"/>
  <c r="C12" i="13" s="1"/>
  <c r="L215" i="1"/>
  <c r="C113" i="2" s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C21" i="10" s="1"/>
  <c r="L218" i="1"/>
  <c r="G640" i="1" s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 s="1"/>
  <c r="L268" i="1"/>
  <c r="E101" i="2" s="1"/>
  <c r="E107" i="2" s="1"/>
  <c r="L269" i="1"/>
  <c r="L270" i="1"/>
  <c r="L271" i="1"/>
  <c r="L273" i="1"/>
  <c r="L274" i="1"/>
  <c r="L275" i="1"/>
  <c r="E112" i="2" s="1"/>
  <c r="L276" i="1"/>
  <c r="L277" i="1"/>
  <c r="L278" i="1"/>
  <c r="L279" i="1"/>
  <c r="E116" i="2" s="1"/>
  <c r="L280" i="1"/>
  <c r="E117" i="2" s="1"/>
  <c r="L282" i="1"/>
  <c r="D31" i="13" s="1"/>
  <c r="C31" i="13" s="1"/>
  <c r="L287" i="1"/>
  <c r="L288" i="1"/>
  <c r="L301" i="1" s="1"/>
  <c r="L289" i="1"/>
  <c r="L290" i="1"/>
  <c r="L292" i="1"/>
  <c r="L293" i="1"/>
  <c r="E111" i="2" s="1"/>
  <c r="L294" i="1"/>
  <c r="L295" i="1"/>
  <c r="L296" i="1"/>
  <c r="L297" i="1"/>
  <c r="E115" i="2" s="1"/>
  <c r="L298" i="1"/>
  <c r="L299" i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H652" i="1" s="1"/>
  <c r="L318" i="1"/>
  <c r="L325" i="1"/>
  <c r="E106" i="2" s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C31" i="12"/>
  <c r="B13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G48" i="2" s="1"/>
  <c r="G51" i="2"/>
  <c r="G54" i="2" s="1"/>
  <c r="G53" i="2"/>
  <c r="F2" i="11"/>
  <c r="L603" i="1"/>
  <c r="H653" i="1" s="1"/>
  <c r="L602" i="1"/>
  <c r="G653" i="1" s="1"/>
  <c r="L601" i="1"/>
  <c r="F653" i="1" s="1"/>
  <c r="I653" i="1" s="1"/>
  <c r="C40" i="10"/>
  <c r="F52" i="1"/>
  <c r="F104" i="1" s="1"/>
  <c r="G52" i="1"/>
  <c r="D48" i="2" s="1"/>
  <c r="H52" i="1"/>
  <c r="I52" i="1"/>
  <c r="F71" i="1"/>
  <c r="C49" i="2" s="1"/>
  <c r="F86" i="1"/>
  <c r="C50" i="2" s="1"/>
  <c r="F103" i="1"/>
  <c r="G103" i="1"/>
  <c r="G104" i="1" s="1"/>
  <c r="H71" i="1"/>
  <c r="E49" i="2" s="1"/>
  <c r="E54" i="2" s="1"/>
  <c r="E55" i="2" s="1"/>
  <c r="H86" i="1"/>
  <c r="E50" i="2" s="1"/>
  <c r="H103" i="1"/>
  <c r="I103" i="1"/>
  <c r="I104" i="1"/>
  <c r="J103" i="1"/>
  <c r="J104" i="1" s="1"/>
  <c r="J185" i="1" s="1"/>
  <c r="C37" i="10"/>
  <c r="F113" i="1"/>
  <c r="F128" i="1"/>
  <c r="F132" i="1"/>
  <c r="C38" i="10" s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 s="1"/>
  <c r="H139" i="1"/>
  <c r="H161" i="1" s="1"/>
  <c r="H154" i="1"/>
  <c r="I139" i="1"/>
  <c r="I161" i="1" s="1"/>
  <c r="I154" i="1"/>
  <c r="C13" i="10"/>
  <c r="C18" i="10"/>
  <c r="L242" i="1"/>
  <c r="C105" i="2" s="1"/>
  <c r="L324" i="1"/>
  <c r="C23" i="10"/>
  <c r="L246" i="1"/>
  <c r="L260" i="1"/>
  <c r="L261" i="1"/>
  <c r="L341" i="1"/>
  <c r="E134" i="2" s="1"/>
  <c r="L342" i="1"/>
  <c r="C26" i="10"/>
  <c r="I655" i="1"/>
  <c r="I660" i="1"/>
  <c r="I659" i="1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F540" i="1" s="1"/>
  <c r="K540" i="1" s="1"/>
  <c r="L513" i="1"/>
  <c r="F541" i="1" s="1"/>
  <c r="L516" i="1"/>
  <c r="G539" i="1"/>
  <c r="G542" i="1" s="1"/>
  <c r="L517" i="1"/>
  <c r="L519" i="1" s="1"/>
  <c r="G540" i="1"/>
  <c r="L518" i="1"/>
  <c r="G541" i="1"/>
  <c r="L521" i="1"/>
  <c r="H539" i="1" s="1"/>
  <c r="H542" i="1" s="1"/>
  <c r="L522" i="1"/>
  <c r="H540" i="1" s="1"/>
  <c r="L523" i="1"/>
  <c r="H541" i="1" s="1"/>
  <c r="L526" i="1"/>
  <c r="I539" i="1"/>
  <c r="I542" i="1" s="1"/>
  <c r="L527" i="1"/>
  <c r="I540" i="1"/>
  <c r="L528" i="1"/>
  <c r="I541" i="1"/>
  <c r="L531" i="1"/>
  <c r="J539" i="1" s="1"/>
  <c r="L532" i="1"/>
  <c r="J540" i="1" s="1"/>
  <c r="L533" i="1"/>
  <c r="L534" i="1" s="1"/>
  <c r="E124" i="2"/>
  <c r="K262" i="1"/>
  <c r="J262" i="1"/>
  <c r="I262" i="1"/>
  <c r="H262" i="1"/>
  <c r="G262" i="1"/>
  <c r="F262" i="1"/>
  <c r="L262" i="1" s="1"/>
  <c r="A1" i="2"/>
  <c r="A2" i="2"/>
  <c r="D9" i="2"/>
  <c r="D19" i="2" s="1"/>
  <c r="E9" i="2"/>
  <c r="F9" i="2"/>
  <c r="I431" i="1"/>
  <c r="J9" i="1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 s="1"/>
  <c r="C23" i="2"/>
  <c r="C32" i="2" s="1"/>
  <c r="D23" i="2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D43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F42" i="2" s="1"/>
  <c r="F43" i="2" s="1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E48" i="2"/>
  <c r="F48" i="2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C73" i="2" s="1"/>
  <c r="D69" i="2"/>
  <c r="D70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F88" i="2"/>
  <c r="G88" i="2"/>
  <c r="C89" i="2"/>
  <c r="C95" i="2" s="1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G95" i="2"/>
  <c r="C102" i="2"/>
  <c r="E102" i="2"/>
  <c r="E103" i="2"/>
  <c r="C104" i="2"/>
  <c r="E104" i="2"/>
  <c r="E105" i="2"/>
  <c r="D107" i="2"/>
  <c r="F107" i="2"/>
  <c r="F137" i="2" s="1"/>
  <c r="G107" i="2"/>
  <c r="C110" i="2"/>
  <c r="E110" i="2"/>
  <c r="C112" i="2"/>
  <c r="E113" i="2"/>
  <c r="C116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 s="1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153" i="2" s="1"/>
  <c r="G490" i="1"/>
  <c r="C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C156" i="2"/>
  <c r="H493" i="1"/>
  <c r="D156" i="2" s="1"/>
  <c r="I493" i="1"/>
  <c r="E156" i="2"/>
  <c r="J493" i="1"/>
  <c r="K493" i="1" s="1"/>
  <c r="F156" i="2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G615" i="1" s="1"/>
  <c r="J615" i="1" s="1"/>
  <c r="G44" i="1"/>
  <c r="H608" i="1" s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H239" i="1"/>
  <c r="I239" i="1"/>
  <c r="J239" i="1"/>
  <c r="K239" i="1"/>
  <c r="F248" i="1"/>
  <c r="G248" i="1"/>
  <c r="L248" i="1" s="1"/>
  <c r="H248" i="1"/>
  <c r="I248" i="1"/>
  <c r="J248" i="1"/>
  <c r="K248" i="1"/>
  <c r="H249" i="1"/>
  <c r="H263" i="1" s="1"/>
  <c r="J249" i="1"/>
  <c r="H638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L405" i="1"/>
  <c r="L406" i="1"/>
  <c r="L407" i="1"/>
  <c r="L411" i="1" s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/>
  <c r="F438" i="1"/>
  <c r="G629" i="1" s="1"/>
  <c r="J629" i="1" s="1"/>
  <c r="G438" i="1"/>
  <c r="H438" i="1"/>
  <c r="G631" i="1" s="1"/>
  <c r="J631" i="1" s="1"/>
  <c r="F444" i="1"/>
  <c r="G444" i="1"/>
  <c r="G451" i="1" s="1"/>
  <c r="H630" i="1" s="1"/>
  <c r="J630" i="1" s="1"/>
  <c r="H444" i="1"/>
  <c r="F450" i="1"/>
  <c r="G450" i="1"/>
  <c r="H450" i="1"/>
  <c r="H451" i="1" s="1"/>
  <c r="H631" i="1" s="1"/>
  <c r="F451" i="1"/>
  <c r="F460" i="1"/>
  <c r="F466" i="1" s="1"/>
  <c r="H612" i="1" s="1"/>
  <c r="G460" i="1"/>
  <c r="H460" i="1"/>
  <c r="I460" i="1"/>
  <c r="J460" i="1"/>
  <c r="F464" i="1"/>
  <c r="G464" i="1"/>
  <c r="G466" i="1" s="1"/>
  <c r="H613" i="1" s="1"/>
  <c r="H464" i="1"/>
  <c r="H466" i="1" s="1"/>
  <c r="H614" i="1" s="1"/>
  <c r="J614" i="1" s="1"/>
  <c r="I464" i="1"/>
  <c r="I466" i="1" s="1"/>
  <c r="H615" i="1" s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J514" i="1"/>
  <c r="J535" i="1" s="1"/>
  <c r="K514" i="1"/>
  <c r="L514" i="1"/>
  <c r="F519" i="1"/>
  <c r="F535" i="1" s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I535" i="1"/>
  <c r="K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J609" i="1" s="1"/>
  <c r="G610" i="1"/>
  <c r="G613" i="1"/>
  <c r="J613" i="1" s="1"/>
  <c r="G614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3" i="1"/>
  <c r="G634" i="1"/>
  <c r="H634" i="1"/>
  <c r="J634" i="1"/>
  <c r="H637" i="1"/>
  <c r="G639" i="1"/>
  <c r="J639" i="1" s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J607" i="1" l="1"/>
  <c r="J624" i="1"/>
  <c r="F96" i="2"/>
  <c r="H33" i="13"/>
  <c r="C25" i="13"/>
  <c r="C10" i="10"/>
  <c r="L203" i="1"/>
  <c r="C101" i="2"/>
  <c r="E120" i="2"/>
  <c r="E137" i="2" s="1"/>
  <c r="E43" i="2"/>
  <c r="E96" i="2"/>
  <c r="G185" i="1"/>
  <c r="G618" i="1" s="1"/>
  <c r="J618" i="1" s="1"/>
  <c r="L330" i="1"/>
  <c r="G33" i="13"/>
  <c r="G137" i="2"/>
  <c r="J43" i="1"/>
  <c r="G36" i="2"/>
  <c r="G42" i="2" s="1"/>
  <c r="J640" i="1"/>
  <c r="C5" i="13"/>
  <c r="C39" i="10"/>
  <c r="C54" i="2"/>
  <c r="G55" i="2"/>
  <c r="G96" i="2" s="1"/>
  <c r="J633" i="1"/>
  <c r="C55" i="2"/>
  <c r="C96" i="2" s="1"/>
  <c r="G32" i="2"/>
  <c r="J19" i="1"/>
  <c r="G611" i="1" s="1"/>
  <c r="E33" i="13"/>
  <c r="D35" i="13" s="1"/>
  <c r="C8" i="13"/>
  <c r="L426" i="1"/>
  <c r="G628" i="1" s="1"/>
  <c r="J628" i="1" s="1"/>
  <c r="G156" i="2"/>
  <c r="H650" i="1"/>
  <c r="G636" i="1"/>
  <c r="G621" i="1"/>
  <c r="J621" i="1" s="1"/>
  <c r="D55" i="2"/>
  <c r="D96" i="2" s="1"/>
  <c r="F185" i="1"/>
  <c r="G617" i="1" s="1"/>
  <c r="J617" i="1" s="1"/>
  <c r="L535" i="1"/>
  <c r="D73" i="2"/>
  <c r="I185" i="1"/>
  <c r="G620" i="1" s="1"/>
  <c r="J620" i="1" s="1"/>
  <c r="L400" i="1"/>
  <c r="C130" i="2"/>
  <c r="C133" i="2" s="1"/>
  <c r="E136" i="2"/>
  <c r="C115" i="2"/>
  <c r="I450" i="1"/>
  <c r="K330" i="1"/>
  <c r="K344" i="1" s="1"/>
  <c r="J33" i="1"/>
  <c r="E114" i="2"/>
  <c r="G9" i="2"/>
  <c r="G19" i="2" s="1"/>
  <c r="J541" i="1"/>
  <c r="K541" i="1" s="1"/>
  <c r="K542" i="1" s="1"/>
  <c r="C19" i="10"/>
  <c r="F77" i="2"/>
  <c r="F83" i="2" s="1"/>
  <c r="G652" i="1"/>
  <c r="G654" i="1" s="1"/>
  <c r="C17" i="10"/>
  <c r="C35" i="10"/>
  <c r="G612" i="1"/>
  <c r="J612" i="1" s="1"/>
  <c r="J263" i="1"/>
  <c r="G203" i="1"/>
  <c r="G249" i="1" s="1"/>
  <c r="G263" i="1" s="1"/>
  <c r="I44" i="1"/>
  <c r="H610" i="1" s="1"/>
  <c r="J610" i="1" s="1"/>
  <c r="E77" i="2"/>
  <c r="E83" i="2" s="1"/>
  <c r="F542" i="1"/>
  <c r="L343" i="1"/>
  <c r="F652" i="1"/>
  <c r="C16" i="10"/>
  <c r="D15" i="13"/>
  <c r="C15" i="13" s="1"/>
  <c r="D6" i="13"/>
  <c r="C6" i="13" s="1"/>
  <c r="C114" i="2"/>
  <c r="I444" i="1"/>
  <c r="F203" i="1"/>
  <c r="F249" i="1" s="1"/>
  <c r="F263" i="1" s="1"/>
  <c r="C106" i="2"/>
  <c r="C25" i="10"/>
  <c r="H104" i="1"/>
  <c r="H185" i="1" s="1"/>
  <c r="G619" i="1" s="1"/>
  <c r="J619" i="1" s="1"/>
  <c r="F33" i="13"/>
  <c r="D119" i="2"/>
  <c r="D120" i="2" s="1"/>
  <c r="D137" i="2" s="1"/>
  <c r="H651" i="1"/>
  <c r="F22" i="13"/>
  <c r="C22" i="13" s="1"/>
  <c r="G635" i="1"/>
  <c r="J635" i="1" s="1"/>
  <c r="C9" i="2"/>
  <c r="C19" i="2" s="1"/>
  <c r="C32" i="10"/>
  <c r="C12" i="10"/>
  <c r="L604" i="1"/>
  <c r="C111" i="2"/>
  <c r="C120" i="2" s="1"/>
  <c r="F651" i="1"/>
  <c r="I651" i="1" s="1"/>
  <c r="B9" i="12"/>
  <c r="A13" i="12" s="1"/>
  <c r="L354" i="1"/>
  <c r="I438" i="1"/>
  <c r="G632" i="1" s="1"/>
  <c r="L374" i="1"/>
  <c r="G626" i="1" s="1"/>
  <c r="J626" i="1" s="1"/>
  <c r="C123" i="2"/>
  <c r="C136" i="2" s="1"/>
  <c r="G662" i="1" l="1"/>
  <c r="C5" i="10" s="1"/>
  <c r="G657" i="1"/>
  <c r="G627" i="1"/>
  <c r="J627" i="1" s="1"/>
  <c r="H636" i="1"/>
  <c r="H654" i="1"/>
  <c r="G43" i="2"/>
  <c r="C107" i="2"/>
  <c r="C137" i="2" s="1"/>
  <c r="G616" i="1"/>
  <c r="J616" i="1" s="1"/>
  <c r="J44" i="1"/>
  <c r="H611" i="1" s="1"/>
  <c r="J611" i="1" s="1"/>
  <c r="L249" i="1"/>
  <c r="L263" i="1" s="1"/>
  <c r="G622" i="1" s="1"/>
  <c r="J622" i="1" s="1"/>
  <c r="F650" i="1"/>
  <c r="I652" i="1"/>
  <c r="J542" i="1"/>
  <c r="C27" i="10"/>
  <c r="G625" i="1"/>
  <c r="J625" i="1" s="1"/>
  <c r="L344" i="1"/>
  <c r="G623" i="1" s="1"/>
  <c r="J623" i="1" s="1"/>
  <c r="D33" i="13"/>
  <c r="D36" i="13" s="1"/>
  <c r="I451" i="1"/>
  <c r="H632" i="1" s="1"/>
  <c r="J632" i="1" s="1"/>
  <c r="C36" i="10"/>
  <c r="J636" i="1"/>
  <c r="C41" i="10" l="1"/>
  <c r="D36" i="10" s="1"/>
  <c r="D27" i="10"/>
  <c r="H646" i="1"/>
  <c r="H662" i="1"/>
  <c r="C6" i="10" s="1"/>
  <c r="H657" i="1"/>
  <c r="C28" i="10"/>
  <c r="I650" i="1"/>
  <c r="I654" i="1" s="1"/>
  <c r="F654" i="1"/>
  <c r="D37" i="10" l="1"/>
  <c r="D38" i="10"/>
  <c r="D40" i="10"/>
  <c r="D35" i="10"/>
  <c r="D41" i="10" s="1"/>
  <c r="D39" i="10"/>
  <c r="F662" i="1"/>
  <c r="C4" i="10" s="1"/>
  <c r="F657" i="1"/>
  <c r="C30" i="10"/>
  <c r="D13" i="10"/>
  <c r="D22" i="10"/>
  <c r="D26" i="10"/>
  <c r="D15" i="10"/>
  <c r="D11" i="10"/>
  <c r="D20" i="10"/>
  <c r="D23" i="10"/>
  <c r="D24" i="10"/>
  <c r="D18" i="10"/>
  <c r="D21" i="10"/>
  <c r="D19" i="10"/>
  <c r="D12" i="10"/>
  <c r="D10" i="10"/>
  <c r="D17" i="10"/>
  <c r="D16" i="10"/>
  <c r="D25" i="10"/>
  <c r="I662" i="1"/>
  <c r="C7" i="10" s="1"/>
  <c r="I657" i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8AA5279-8C36-4428-A4F5-22BDF74A324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FD78955-BE22-4AB6-AD04-30988116E21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0D994F8-28C7-4432-B79F-4135FB5D401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FCF354F-B536-4DE8-978E-EC8B7A3209C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12C27DA-5F5B-4C53-B8DD-EF0CD4CEFFF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B4F7A23-7C1F-47DA-9349-DFBB6076C53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DF9C6E7-8006-484D-8F50-1BCBC421BC4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6E0DD64-0DCB-49E3-B95C-A3D3D0CB6C7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33408F5-730D-4183-8067-6D6BE0BFCEB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2A16E57-4797-479D-9F0A-93EE45AAEF4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A6F8AB4-BC5E-4FFF-B1B2-80771EDC370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EB2CC49-D78E-458D-A025-C525E292C59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<sst xmlns="http://schemas.openxmlformats.org/spreadsheetml/2006/main" count="3868" uniqueCount="904">
  <si>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</si>
  <si>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</si>
  <si>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</si>
  <si>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</si>
  <si>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</si>
  <si>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</si>
  <si>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</si>
  <si>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</si>
  <si>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</si>
  <si>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</si>
  <si>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</si>
  <si>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</si>
  <si>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</si>
  <si>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</si>
  <si>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</si>
  <si>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</si>
  <si>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</si>
  <si>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</si>
  <si>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</si>
  <si>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</si>
  <si>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</si>
  <si>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</si>
  <si>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</si>
  <si>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</si>
  <si>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</si>
  <si>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</si>
  <si>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</si>
  <si>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</si>
  <si>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</si>
  <si>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</si>
  <si>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</si>
  <si>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</si>
  <si>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</si>
  <si>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</si>
  <si>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</si>
  <si>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</si>
  <si>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</si>
  <si>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</si>
  <si>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</si>
  <si>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</si>
  <si>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</si>
  <si>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</si>
  <si>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</si>
  <si>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</si>
  <si>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</si>
  <si>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</si>
  <si>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</si>
  <si>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</si>
  <si>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</si>
  <si>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</si>
  <si>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</si>
  <si>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</si>
  <si>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</si>
  <si>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</si>
  <si>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</si>
  <si>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</si>
  <si>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</si>
  <si>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</si>
  <si>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</si>
  <si>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</si>
  <si>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</si>
  <si>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</si>
  <si>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</si>
  <si>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</si>
  <si>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</si>
  <si>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</si>
  <si>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</si>
  <si>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</si>
  <si>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</si>
  <si>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</si>
  <si>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</si>
  <si>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</si>
  <si>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</si>
  <si>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</si>
  <si>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</si>
  <si>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</si>
  <si>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</si>
  <si>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</si>
  <si>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</si>
  <si>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</si>
  <si>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</si>
  <si>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</si>
  <si>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</si>
  <si>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</si>
  <si>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</si>
  <si>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</si>
  <si>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</si>
  <si>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</si>
  <si>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</si>
  <si>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</si>
  <si>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</si>
  <si>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</si>
  <si>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</si>
  <si>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</si>
  <si>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</si>
  <si>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</si>
  <si>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</si>
  <si>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</si>
  <si>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</si>
  <si>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</si>
  <si>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</si>
  <si>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</si>
  <si>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</si>
  <si>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</si>
  <si>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</si>
  <si>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</si>
  <si>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</si>
  <si>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</si>
  <si>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</si>
  <si>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</si>
  <si>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</si>
  <si>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</si>
  <si>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</si>
  <si>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</si>
  <si>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</si>
  <si>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</si>
  <si>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</si>
  <si>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</si>
  <si>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</si>
  <si>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</si>
  <si>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</si>
  <si>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</si>
  <si>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</si>
  <si>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</si>
  <si>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</si>
  <si>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</si>
  <si>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</si>
  <si>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</si>
  <si>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</si>
  <si>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</si>
  <si>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</si>
  <si>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</si>
  <si>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</si>
  <si>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</si>
  <si>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</si>
  <si>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</si>
  <si>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</si>
  <si>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</si>
  <si>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</si>
  <si>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</si>
  <si>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</si>
  <si>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</si>
  <si>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</si>
  <si>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</si>
  <si>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</si>
  <si>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</si>
  <si>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</si>
  <si>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</si>
  <si>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</si>
  <si>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</si>
  <si>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</si>
  <si>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</si>
  <si>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</si>
  <si>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</si>
  <si>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</si>
  <si>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</si>
  <si>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</si>
  <si>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</si>
  <si>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</si>
  <si>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</si>
  <si>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</si>
  <si>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</si>
  <si>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</si>
  <si>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</si>
  <si>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</si>
  <si>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</si>
  <si>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</si>
  <si>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</si>
  <si>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</si>
  <si>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</si>
  <si>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</si>
  <si>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</si>
  <si>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</si>
  <si>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</si>
  <si>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</si>
  <si>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</si>
  <si>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</si>
  <si>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</si>
  <si>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</si>
  <si>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</si>
  <si>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</si>
  <si>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</si>
  <si>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</si>
  <si>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</si>
  <si>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</si>
  <si>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</si>
  <si>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</si>
  <si>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</si>
  <si>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</si>
  <si>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</si>
  <si>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</si>
  <si>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</si>
  <si>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</si>
  <si>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</si>
  <si>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</si>
  <si>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</si>
  <si>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</si>
  <si>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</si>
  <si>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</si>
  <si>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</si>
  <si>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</si>
  <si>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</si>
  <si>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</si>
  <si>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</si>
  <si>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</si>
  <si>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</si>
  <si>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</si>
  <si>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</si>
  <si>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</si>
  <si>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</si>
  <si>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</si>
  <si>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</si>
  <si>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</si>
  <si>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</si>
  <si>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</si>
  <si>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</si>
  <si>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</si>
  <si>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</si>
  <si>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</si>
  <si>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</si>
  <si>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</si>
  <si>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</si>
  <si>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</si>
  <si>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</si>
  <si>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</si>
  <si>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</si>
  <si>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</si>
  <si>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</si>
  <si>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</si>
  <si>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</si>
  <si>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</si>
  <si>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</si>
  <si>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</si>
  <si>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</si>
  <si>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</si>
  <si>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</si>
  <si>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</si>
  <si>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</si>
  <si>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</si>
  <si>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</si>
  <si>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</si>
  <si>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</si>
  <si>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</si>
  <si>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</si>
  <si>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</si>
  <si>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</si>
  <si>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</si>
  <si>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</si>
  <si>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</si>
  <si>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</si>
  <si>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</si>
  <si>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</si>
  <si>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</si>
  <si>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</si>
  <si>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</si>
  <si>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</si>
  <si>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</si>
  <si>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</si>
  <si>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</si>
  <si>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</si>
  <si>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</si>
  <si>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</si>
  <si>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</si>
  <si>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</si>
  <si>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</si>
  <si>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</si>
  <si>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</si>
  <si>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</si>
  <si>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</si>
  <si>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</si>
  <si>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</si>
  <si>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</si>
  <si>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</si>
  <si>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</si>
  <si>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</si>
  <si>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</si>
  <si>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</si>
  <si>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</si>
  <si>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</si>
  <si>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</si>
  <si>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</si>
  <si>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</si>
  <si>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</si>
  <si>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</si>
  <si>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</si>
  <si>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</si>
  <si>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</si>
  <si>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</si>
  <si>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</si>
  <si>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</si>
  <si>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</si>
  <si>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</si>
  <si>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</si>
  <si>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</si>
  <si>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</si>
  <si>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</si>
  <si>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</si>
  <si>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</si>
  <si>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</si>
  <si>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</si>
  <si>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</si>
  <si>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</si>
  <si>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</si>
  <si>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</si>
  <si>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</si>
  <si>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</si>
  <si>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</si>
  <si>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</si>
  <si>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</si>
  <si>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</si>
  <si>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</si>
  <si>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</si>
  <si>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</si>
  <si>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</si>
  <si>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</si>
  <si>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</si>
  <si>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</si>
  <si>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</si>
  <si>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</si>
  <si>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</si>
  <si>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</si>
  <si>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</si>
  <si>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</si>
  <si>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</si>
  <si>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</si>
  <si>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</si>
  <si>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</si>
  <si>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</si>
  <si>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</si>
  <si>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</si>
  <si>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</si>
  <si>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</si>
  <si>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</si>
  <si>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</si>
  <si>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</si>
  <si>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</si>
  <si>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</si>
  <si>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</si>
  <si>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</si>
  <si>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</si>
  <si>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</si>
  <si>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</si>
  <si>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</si>
  <si>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</si>
  <si>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</si>
  <si>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</si>
  <si>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</si>
  <si>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</si>
  <si>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</si>
  <si>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</si>
  <si>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</si>
  <si>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</si>
  <si>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</si>
  <si>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</si>
  <si>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</si>
  <si>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</si>
  <si>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</si>
  <si>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</si>
  <si>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</si>
  <si>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</si>
  <si>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</si>
  <si>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</si>
  <si>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</si>
  <si>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</si>
  <si>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</si>
  <si>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</si>
  <si>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</si>
  <si>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</si>
  <si>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</si>
  <si>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</si>
  <si>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</si>
  <si>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</si>
  <si>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</si>
  <si>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</si>
  <si>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</si>
  <si>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</si>
  <si>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</si>
  <si>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</si>
  <si>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</si>
  <si>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</si>
  <si>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</si>
  <si>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</si>
  <si>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</si>
  <si>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</si>
  <si>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</si>
  <si>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</si>
  <si>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</si>
  <si>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</si>
  <si>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</si>
  <si>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</si>
  <si>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</si>
  <si>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</si>
  <si>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</si>
  <si>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</si>
  <si>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</si>
  <si>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</si>
  <si>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</si>
  <si>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</si>
  <si>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</si>
  <si>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</si>
  <si>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</si>
  <si>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</si>
  <si>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</si>
  <si>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</si>
  <si>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</si>
  <si>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</si>
  <si>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</si>
  <si>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</si>
  <si>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</si>
  <si>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</si>
  <si>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</si>
  <si>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</si>
  <si>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</si>
  <si>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</si>
  <si>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</si>
  <si>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</si>
  <si>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</si>
  <si>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</si>
  <si>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</si>
  <si>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</si>
  <si>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</si>
  <si>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</si>
  <si>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</si>
  <si>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</si>
  <si>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</si>
  <si>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</si>
  <si>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</si>
  <si>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</si>
  <si>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</si>
  <si>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</si>
  <si>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</si>
  <si>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</si>
  <si>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</si>
  <si>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</si>
  <si>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</si>
  <si>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</si>
  <si>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</si>
  <si>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</si>
  <si>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</si>
  <si>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</si>
  <si>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</si>
  <si>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</si>
  <si>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</si>
  <si>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</si>
  <si>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</si>
  <si>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</si>
  <si>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</si>
  <si>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</si>
  <si>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</si>
  <si>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</si>
  <si>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</si>
  <si>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</si>
  <si>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</si>
  <si>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</si>
  <si>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</si>
  <si>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</si>
  <si>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</si>
  <si>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</si>
  <si>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</si>
  <si>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</si>
  <si>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</si>
  <si>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</si>
  <si>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</si>
  <si>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</si>
  <si>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</si>
  <si>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</si>
  <si>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</si>
  <si>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</si>
  <si>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</si>
  <si>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</si>
  <si>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</si>
  <si>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</si>
  <si>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</si>
  <si>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</si>
  <si>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</si>
  <si>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</si>
  <si>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</si>
  <si>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</si>
  <si>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</si>
  <si>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</si>
  <si>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</si>
  <si>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</si>
  <si>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</si>
  <si>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</si>
  <si>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</si>
  <si>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</si>
  <si>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</si>
  <si>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</si>
  <si>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</si>
  <si>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</si>
  <si>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</si>
  <si>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</si>
  <si>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</si>
  <si>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</si>
  <si>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</si>
  <si>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</si>
  <si>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</si>
  <si>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</si>
  <si>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</si>
  <si>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</si>
  <si>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</si>
  <si>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</si>
  <si>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</si>
  <si>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</si>
  <si>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</si>
  <si>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</si>
  <si>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</si>
  <si>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</si>
  <si>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</si>
  <si>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</si>
  <si>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</si>
  <si>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</si>
  <si>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</si>
  <si>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</si>
  <si>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</si>
  <si>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</si>
  <si>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</si>
  <si>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</si>
  <si>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</si>
  <si>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</si>
  <si>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</si>
  <si>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</si>
  <si>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</si>
  <si>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</si>
  <si>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</si>
  <si>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</si>
  <si>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</si>
  <si>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</si>
  <si>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</si>
  <si>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</si>
  <si>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</si>
  <si>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</si>
  <si>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</si>
  <si>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</si>
  <si>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</si>
  <si>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</si>
  <si>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</si>
  <si>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</si>
  <si>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</si>
  <si>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</si>
  <si>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</si>
  <si>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</si>
  <si>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</si>
  <si>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</si>
  <si>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</si>
  <si>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</si>
  <si>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</si>
  <si>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</si>
  <si>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</si>
  <si>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</si>
  <si>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</si>
  <si>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</si>
  <si>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</si>
  <si>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</si>
  <si>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</si>
  <si>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</si>
  <si>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</si>
  <si>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</si>
  <si>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</si>
  <si>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</si>
  <si>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</si>
  <si>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</si>
  <si>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</si>
  <si>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</si>
  <si>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</si>
  <si>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</si>
  <si>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</si>
  <si>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</si>
  <si>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</si>
  <si>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</si>
  <si>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</si>
  <si>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</si>
  <si>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</si>
  <si>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</si>
  <si>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</si>
  <si>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</si>
  <si>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</si>
  <si>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</si>
  <si>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</si>
  <si>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</si>
  <si>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</si>
  <si>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</si>
  <si>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</si>
  <si>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</si>
  <si>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</si>
  <si>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</si>
  <si>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</si>
  <si>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</si>
  <si>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</si>
  <si>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</si>
  <si>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</si>
  <si>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</si>
  <si>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</si>
  <si>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</si>
  <si>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</si>
  <si>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</si>
  <si>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</si>
  <si>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</si>
  <si>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</si>
  <si>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</si>
  <si>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</si>
  <si>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</si>
  <si>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</si>
  <si>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</si>
  <si>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</si>
  <si>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</si>
  <si>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</si>
  <si>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</si>
  <si>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</si>
  <si>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</si>
  <si>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</si>
  <si>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</si>
  <si>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</si>
  <si>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</si>
  <si>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</si>
  <si>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</si>
  <si>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</si>
  <si>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</si>
  <si>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</si>
  <si>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</si>
  <si>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</si>
  <si>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</si>
  <si>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</si>
  <si>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</si>
  <si>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</si>
  <si>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</si>
  <si>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</si>
  <si>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</si>
  <si>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</si>
  <si>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</si>
  <si>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</si>
  <si>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</si>
  <si>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</si>
  <si>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</si>
  <si>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</si>
  <si>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</si>
  <si>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</si>
  <si>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</si>
  <si>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</si>
  <si>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</si>
  <si>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</si>
  <si>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</si>
  <si>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</si>
  <si>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</si>
  <si>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</si>
  <si>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</si>
  <si>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</si>
  <si>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</si>
  <si>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</si>
  <si>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</si>
  <si>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</si>
  <si>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</si>
  <si>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</si>
  <si>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</si>
  <si>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</si>
  <si>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</si>
  <si>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</si>
  <si>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</si>
  <si>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</si>
  <si>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</si>
  <si>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</si>
  <si>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</si>
  <si>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</si>
  <si>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</si>
  <si>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</si>
  <si>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</si>
  <si>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</si>
  <si>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</si>
  <si>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</si>
  <si>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</si>
  <si>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</si>
  <si>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</si>
  <si>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</si>
  <si>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</si>
  <si>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</si>
  <si>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</si>
  <si>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</si>
  <si>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</si>
  <si>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</si>
  <si>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</si>
  <si>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</si>
  <si>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</si>
  <si>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</si>
  <si>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</si>
  <si>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</si>
  <si>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</si>
  <si>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</si>
  <si>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</si>
  <si>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</si>
  <si>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</si>
  <si>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</si>
  <si>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</si>
  <si>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</si>
  <si>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</si>
  <si>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</si>
  <si>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</si>
  <si>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</si>
  <si>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</si>
  <si>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</si>
  <si>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</si>
  <si>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</si>
  <si>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</si>
  <si>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</si>
  <si>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</si>
  <si>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</si>
  <si>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</si>
  <si>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</si>
  <si>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</si>
  <si>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</si>
  <si>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</si>
  <si>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</si>
  <si>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</si>
  <si>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</si>
  <si>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</si>
  <si>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</si>
  <si>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</si>
  <si>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</si>
  <si>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</si>
  <si>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</si>
  <si>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</si>
  <si>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</si>
  <si>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</si>
  <si>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</si>
  <si>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</si>
  <si>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</si>
  <si>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</si>
  <si>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</si>
  <si>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</si>
  <si>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</si>
  <si>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</si>
  <si>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</si>
  <si>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</si>
  <si>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</si>
  <si>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</si>
  <si>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</si>
  <si>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</si>
  <si>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</si>
  <si>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</si>
  <si>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</si>
  <si>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</si>
  <si>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</si>
  <si>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</si>
  <si>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</si>
  <si>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</si>
  <si>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</si>
  <si>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</si>
  <si>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</si>
  <si>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</si>
  <si>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</si>
  <si>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</si>
  <si>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</si>
  <si>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</si>
  <si>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</si>
  <si>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</si>
  <si>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</si>
  <si>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</si>
  <si>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</si>
  <si>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</si>
  <si>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</si>
  <si>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</si>
  <si>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</si>
  <si>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</si>
  <si>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</si>
  <si>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</si>
  <si>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</si>
  <si>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</si>
  <si>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</si>
  <si>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</si>
  <si>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</si>
  <si>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</si>
  <si>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</si>
  <si>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</si>
  <si>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</si>
  <si>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</si>
  <si>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</si>
  <si>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</si>
  <si>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</si>
  <si>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</si>
  <si>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</si>
  <si>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</si>
  <si>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</si>
  <si>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</si>
  <si>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</si>
  <si>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</si>
  <si>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</si>
  <si>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</si>
  <si>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</si>
  <si>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</si>
  <si>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</si>
  <si>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</si>
  <si>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</si>
  <si>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</si>
  <si>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</si>
  <si>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</si>
  <si>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</si>
  <si>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</si>
  <si>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</si>
  <si>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</si>
  <si>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</si>
  <si>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</si>
  <si>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</si>
  <si>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</si>
  <si>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</si>
  <si>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</si>
  <si>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</si>
  <si>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</si>
  <si>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</si>
  <si>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</si>
  <si>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</si>
  <si>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</si>
  <si>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</si>
  <si>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</si>
  <si>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</si>
  <si>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</si>
  <si>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</si>
  <si>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</si>
  <si>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</si>
  <si>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</si>
  <si>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</si>
  <si>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</si>
  <si>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</si>
  <si>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</si>
  <si>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</si>
  <si>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</si>
  <si>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</si>
  <si>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</si>
  <si>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</si>
  <si>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</si>
  <si>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</si>
  <si>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</si>
  <si>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</si>
  <si>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</si>
  <si>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</si>
  <si>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</si>
  <si>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</si>
  <si>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</si>
  <si>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</si>
  <si>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</si>
  <si>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</si>
  <si>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</si>
  <si>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</si>
  <si>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</si>
  <si>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</si>
  <si>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</si>
  <si>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</si>
  <si>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</si>
  <si>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</si>
  <si>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</si>
  <si>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</si>
  <si>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</si>
  <si>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</si>
  <si>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</si>
  <si>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</si>
  <si>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</si>
  <si>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</si>
  <si>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</si>
  <si>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</si>
  <si>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</si>
  <si>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</si>
  <si>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</si>
  <si>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</si>
  <si>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</si>
  <si>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</si>
  <si>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</si>
  <si>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</si>
  <si>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</si>
  <si>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</si>
  <si>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</si>
  <si>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</si>
  <si>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</si>
  <si>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</si>
  <si>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</si>
  <si>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</si>
  <si>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</si>
  <si>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</si>
  <si>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</si>
  <si>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</si>
  <si>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</si>
  <si>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</si>
  <si>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</si>
  <si>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</si>
  <si>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</si>
  <si>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</si>
  <si>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</si>
  <si>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</si>
  <si>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</si>
  <si>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</si>
  <si>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</si>
  <si>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</si>
  <si>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</si>
  <si>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</si>
  <si>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</si>
  <si>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</si>
  <si>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</si>
  <si>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 xml:space="preserve">    SEIDENSTUECKER</t>
  </si>
  <si>
    <t>7/89</t>
  </si>
  <si>
    <t>7/90</t>
  </si>
  <si>
    <t>12/03</t>
  </si>
  <si>
    <t>12/06</t>
  </si>
  <si>
    <t>7/2009</t>
  </si>
  <si>
    <t>7/2010</t>
  </si>
  <si>
    <t>1/2024</t>
  </si>
  <si>
    <t>1/2012</t>
  </si>
  <si>
    <t>CONWAY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</si>
</sst>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982B-E5EB-4F08-AC4B-AAD5492C237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903</v>
      </c>
      <c r="B2" s="21">
        <v>113</v>
      </c>
      <c r="C2" s="21">
        <v>113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392694.89+450</f>
        <v>393144.89</v>
      </c>
      <c r="G9" s="18">
        <v>441953.87</v>
      </c>
      <c r="H9" s="18">
        <v>0</v>
      </c>
      <c r="I9" s="18">
        <v>182003.39</v>
      </c>
      <c r="J9" s="67">
        <f>SUM(I431)</f>
        <v>698608.66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542795.69999999995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62504.14</v>
      </c>
      <c r="G13" s="18">
        <v>74819.3</v>
      </c>
      <c r="H13" s="18">
        <v>220448.46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14091.65</v>
      </c>
      <c r="G14" s="18"/>
      <c r="H14" s="18">
        <v>2322.5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28568.66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1012536.38</v>
      </c>
      <c r="G19" s="41">
        <f>SUM(G9:G18)</f>
        <v>545341.82999999996</v>
      </c>
      <c r="H19" s="41">
        <f>SUM(H9:H18)</f>
        <v>222770.96</v>
      </c>
      <c r="I19" s="41">
        <f>SUM(I9:I18)</f>
        <v>182003.39</v>
      </c>
      <c r="J19" s="41">
        <f>SUM(J9:J18)</f>
        <v>698608.66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424496.49</v>
      </c>
      <c r="H23" s="18">
        <v>118299.21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205265.17</v>
      </c>
      <c r="G25" s="18">
        <v>5674.95</v>
      </c>
      <c r="H25" s="18">
        <v>8865.3700000000008</v>
      </c>
      <c r="I25" s="18">
        <v>13734.4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43755.46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1100.71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250121.34</v>
      </c>
      <c r="G33" s="41">
        <f>SUM(G23:G32)</f>
        <v>430171.44</v>
      </c>
      <c r="H33" s="41">
        <f>SUM(H23:H32)</f>
        <v>127164.58</v>
      </c>
      <c r="I33" s="41">
        <f>SUM(I23:I32)</f>
        <v>13734.4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28568.66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86601.73</v>
      </c>
      <c r="H41" s="18">
        <v>95606.38</v>
      </c>
      <c r="I41" s="18">
        <v>168268.99</v>
      </c>
      <c r="J41" s="13">
        <f>SUM(I449)</f>
        <v>698608.66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762415.04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762415.04</v>
      </c>
      <c r="G43" s="41">
        <f>SUM(G35:G42)</f>
        <v>115170.39</v>
      </c>
      <c r="H43" s="41">
        <f>SUM(H35:H42)</f>
        <v>95606.38</v>
      </c>
      <c r="I43" s="41">
        <f>SUM(I35:I42)</f>
        <v>168268.99</v>
      </c>
      <c r="J43" s="41">
        <f>SUM(J35:J42)</f>
        <v>698608.66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1012536.38</v>
      </c>
      <c r="G44" s="41">
        <f>G43+G33</f>
        <v>545341.82999999996</v>
      </c>
      <c r="H44" s="41">
        <f>H43+H33</f>
        <v>222770.96000000002</v>
      </c>
      <c r="I44" s="41">
        <f>I43+I33</f>
        <v>182003.38999999998</v>
      </c>
      <c r="J44" s="41">
        <f>J43+J33</f>
        <v>698608.66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12092317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12092317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4435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9129411.6799999997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25232.35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9159079.0299999993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34437.29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34437.29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6228.73</v>
      </c>
      <c r="G88" s="18">
        <v>436.31</v>
      </c>
      <c r="H88" s="18"/>
      <c r="I88" s="18">
        <v>709.97</v>
      </c>
      <c r="J88" s="18">
        <v>2592.63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471257.3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25278.9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>
        <v>500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>
        <v>2650</v>
      </c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113164.87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63199.93</v>
      </c>
      <c r="G102" s="18"/>
      <c r="H102" s="18">
        <v>146592.32000000001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207872.43</v>
      </c>
      <c r="G103" s="41">
        <f>SUM(G88:G102)</f>
        <v>474343.61</v>
      </c>
      <c r="H103" s="41">
        <f>SUM(H88:H102)</f>
        <v>146592.32000000001</v>
      </c>
      <c r="I103" s="41">
        <f>SUM(I88:I102)</f>
        <v>709.97</v>
      </c>
      <c r="J103" s="41">
        <f>SUM(J88:J102)</f>
        <v>3092.63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21493705.75</v>
      </c>
      <c r="G104" s="41">
        <f>G52+G103</f>
        <v>474343.61</v>
      </c>
      <c r="H104" s="41">
        <f>H52+H71+H86+H103</f>
        <v>146592.32000000001</v>
      </c>
      <c r="I104" s="41">
        <f>I52+I103</f>
        <v>709.97</v>
      </c>
      <c r="J104" s="41">
        <f>J52+J103</f>
        <v>3092.63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2119020.4900000002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3431215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813001.51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6363237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1732532.58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167592.38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9952.9699999999993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13050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8921.09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1913174.96</v>
      </c>
      <c r="G128" s="41">
        <f>SUM(G115:G127)</f>
        <v>9952.9699999999993</v>
      </c>
      <c r="H128" s="41">
        <f>SUM(H115:H127)</f>
        <v>8921.09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8276411.96</v>
      </c>
      <c r="G132" s="41">
        <f>G113+SUM(G128:G129)</f>
        <v>9952.9699999999993</v>
      </c>
      <c r="H132" s="41">
        <f>H113+SUM(H128:H131)</f>
        <v>8921.09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687322.95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331847.26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88514.81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34593.839999999997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361970.25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370868.17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159753.76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159753.76</v>
      </c>
      <c r="G154" s="41">
        <f>SUM(G142:G153)</f>
        <v>361970.25</v>
      </c>
      <c r="H154" s="41">
        <f>SUM(H142:H153)</f>
        <v>1513147.03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1059.32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160813.08000000002</v>
      </c>
      <c r="G161" s="41">
        <f>G139+G154+SUM(G155:G160)</f>
        <v>361970.25</v>
      </c>
      <c r="H161" s="41">
        <f>H139+H154+SUM(H155:H160)</f>
        <v>1513147.03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407429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407429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78156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859410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937566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937566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407429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30868496.789999999</v>
      </c>
      <c r="G185" s="47">
        <f>G104+G132+G161+G184</f>
        <v>846266.83</v>
      </c>
      <c r="H185" s="47">
        <f>H104+H132+H161+H184</f>
        <v>1668660.44</v>
      </c>
      <c r="I185" s="47">
        <f>I104+I132+I161+I184</f>
        <v>709.97</v>
      </c>
      <c r="J185" s="47">
        <f>J104+J132+J184</f>
        <v>410521.63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2466137.59+82058.1</f>
        <v>2548195.69</v>
      </c>
      <c r="G189" s="18">
        <f>1072557.9+267505.03</f>
        <v>1340062.93</v>
      </c>
      <c r="H189" s="18">
        <v>19367.84</v>
      </c>
      <c r="I189" s="18">
        <v>124033.96</v>
      </c>
      <c r="J189" s="18">
        <v>34924.75</v>
      </c>
      <c r="K189" s="18"/>
      <c r="L189" s="19">
        <f>SUM(F189:K189)</f>
        <v>4066585.17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921501.54</v>
      </c>
      <c r="G190" s="18">
        <v>595797.15</v>
      </c>
      <c r="H190" s="18">
        <v>578415.14</v>
      </c>
      <c r="I190" s="18">
        <v>4082.37</v>
      </c>
      <c r="J190" s="18">
        <v>489.35</v>
      </c>
      <c r="K190" s="18"/>
      <c r="L190" s="19">
        <f>SUM(F190:K190)</f>
        <v>2100285.5500000003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49936.59</v>
      </c>
      <c r="G192" s="18">
        <v>6279.03</v>
      </c>
      <c r="H192" s="18">
        <v>5930.65</v>
      </c>
      <c r="I192" s="18">
        <v>4245.79</v>
      </c>
      <c r="J192" s="18"/>
      <c r="K192" s="18"/>
      <c r="L192" s="19">
        <f>SUM(F192:K192)</f>
        <v>66392.06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530372.56999999995</v>
      </c>
      <c r="G194" s="18">
        <v>259102.91</v>
      </c>
      <c r="H194" s="18">
        <v>142236.84</v>
      </c>
      <c r="I194" s="18">
        <v>5814.89</v>
      </c>
      <c r="J194" s="18"/>
      <c r="K194" s="18"/>
      <c r="L194" s="19">
        <f t="shared" ref="L194:L200" si="0">SUM(F194:K194)</f>
        <v>937527.21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128574.1</v>
      </c>
      <c r="G195" s="18">
        <v>75998.59</v>
      </c>
      <c r="H195" s="18">
        <v>16102.56</v>
      </c>
      <c r="I195" s="18">
        <v>29924.14</v>
      </c>
      <c r="J195" s="18">
        <v>5372.46</v>
      </c>
      <c r="K195" s="18"/>
      <c r="L195" s="19">
        <f t="shared" si="0"/>
        <v>255971.85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8326</v>
      </c>
      <c r="G196" s="18">
        <v>638.79999999999995</v>
      </c>
      <c r="H196" s="18">
        <v>312020.11</v>
      </c>
      <c r="I196" s="18">
        <v>5483.05</v>
      </c>
      <c r="J196" s="18"/>
      <c r="K196" s="18">
        <v>1998.77</v>
      </c>
      <c r="L196" s="19">
        <f t="shared" si="0"/>
        <v>328466.73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323032.38</v>
      </c>
      <c r="G197" s="18">
        <v>147257.69</v>
      </c>
      <c r="H197" s="18">
        <v>39866.57</v>
      </c>
      <c r="I197" s="18">
        <v>4603.71</v>
      </c>
      <c r="J197" s="18">
        <v>1494.79</v>
      </c>
      <c r="K197" s="18">
        <v>2213</v>
      </c>
      <c r="L197" s="19">
        <f t="shared" si="0"/>
        <v>518468.14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260755.02</v>
      </c>
      <c r="G199" s="18">
        <v>145161.67000000001</v>
      </c>
      <c r="H199" s="18">
        <v>310434.21000000002</v>
      </c>
      <c r="I199" s="18">
        <v>249525.48</v>
      </c>
      <c r="J199" s="18">
        <v>9022.07</v>
      </c>
      <c r="K199" s="18"/>
      <c r="L199" s="19">
        <f t="shared" si="0"/>
        <v>974898.45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116765.84</v>
      </c>
      <c r="G200" s="18">
        <v>46048.54</v>
      </c>
      <c r="H200" s="18">
        <v>44414.559999999998</v>
      </c>
      <c r="I200" s="18">
        <v>36615.69</v>
      </c>
      <c r="J200" s="18">
        <v>28868.68</v>
      </c>
      <c r="K200" s="18"/>
      <c r="L200" s="19">
        <f t="shared" si="0"/>
        <v>272713.31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541.20000000000005</v>
      </c>
      <c r="I201" s="18"/>
      <c r="J201" s="18"/>
      <c r="K201" s="18"/>
      <c r="L201" s="19">
        <f>SUM(F201:K201)</f>
        <v>541.20000000000005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4887459.7299999995</v>
      </c>
      <c r="G203" s="41">
        <f t="shared" si="1"/>
        <v>2616347.3099999996</v>
      </c>
      <c r="H203" s="41">
        <f t="shared" si="1"/>
        <v>1469329.6800000002</v>
      </c>
      <c r="I203" s="41">
        <f t="shared" si="1"/>
        <v>464329.08</v>
      </c>
      <c r="J203" s="41">
        <f t="shared" si="1"/>
        <v>80172.100000000006</v>
      </c>
      <c r="K203" s="41">
        <f t="shared" si="1"/>
        <v>4211.7700000000004</v>
      </c>
      <c r="L203" s="41">
        <f t="shared" si="1"/>
        <v>9521849.6699999999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1256997.87+63631.9</f>
        <v>1320629.77</v>
      </c>
      <c r="G207" s="18">
        <f>515251.71+125828.82</f>
        <v>641080.53</v>
      </c>
      <c r="H207" s="18">
        <v>22123</v>
      </c>
      <c r="I207" s="18">
        <v>58177.11</v>
      </c>
      <c r="J207" s="18">
        <v>28496.53</v>
      </c>
      <c r="K207" s="18"/>
      <c r="L207" s="19">
        <f>SUM(F207:K207)</f>
        <v>2070506.9400000002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361967.5</v>
      </c>
      <c r="G208" s="18">
        <v>236910.27</v>
      </c>
      <c r="H208" s="18">
        <v>8341.07</v>
      </c>
      <c r="I208" s="18">
        <v>12314.46</v>
      </c>
      <c r="J208" s="18">
        <v>250</v>
      </c>
      <c r="K208" s="18"/>
      <c r="L208" s="19">
        <f>SUM(F208:K208)</f>
        <v>619783.29999999993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59694.98</v>
      </c>
      <c r="G210" s="18">
        <v>7167.59</v>
      </c>
      <c r="H210" s="18">
        <v>13467.02</v>
      </c>
      <c r="I210" s="18">
        <v>7981.94</v>
      </c>
      <c r="J210" s="18">
        <v>2150.0300000000002</v>
      </c>
      <c r="K210" s="18">
        <v>740</v>
      </c>
      <c r="L210" s="19">
        <f>SUM(F210:K210)</f>
        <v>91201.560000000012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171243.73</v>
      </c>
      <c r="G212" s="18">
        <v>91691.09</v>
      </c>
      <c r="H212" s="18">
        <v>8446.56</v>
      </c>
      <c r="I212" s="18">
        <v>5069.3100000000004</v>
      </c>
      <c r="J212" s="18">
        <v>1995.68</v>
      </c>
      <c r="K212" s="18"/>
      <c r="L212" s="19">
        <f t="shared" ref="L212:L218" si="2">SUM(F212:K212)</f>
        <v>278446.37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46309.72</v>
      </c>
      <c r="G213" s="18">
        <v>34913.730000000003</v>
      </c>
      <c r="H213" s="18">
        <v>10009.34</v>
      </c>
      <c r="I213" s="18">
        <v>11604.73</v>
      </c>
      <c r="J213" s="18">
        <v>1748.85</v>
      </c>
      <c r="K213" s="18">
        <v>95</v>
      </c>
      <c r="L213" s="19">
        <f t="shared" si="2"/>
        <v>104681.37000000001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3887</v>
      </c>
      <c r="G214" s="18">
        <v>295.64999999999998</v>
      </c>
      <c r="H214" s="18">
        <v>144542.56</v>
      </c>
      <c r="I214" s="18">
        <v>2537.61</v>
      </c>
      <c r="J214" s="18"/>
      <c r="K214" s="18">
        <v>925.05</v>
      </c>
      <c r="L214" s="19">
        <f t="shared" si="2"/>
        <v>152187.86999999997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149746.84</v>
      </c>
      <c r="G215" s="18">
        <v>66718.2</v>
      </c>
      <c r="H215" s="18">
        <v>26175.040000000001</v>
      </c>
      <c r="I215" s="18">
        <v>2951.04</v>
      </c>
      <c r="J215" s="18">
        <v>395.96</v>
      </c>
      <c r="K215" s="18">
        <v>2633.51</v>
      </c>
      <c r="L215" s="19">
        <f t="shared" si="2"/>
        <v>248620.59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251800.85</v>
      </c>
      <c r="G217" s="18">
        <v>133828.65</v>
      </c>
      <c r="H217" s="18">
        <v>161321.74</v>
      </c>
      <c r="I217" s="18">
        <v>246957.15</v>
      </c>
      <c r="J217" s="18">
        <v>4400</v>
      </c>
      <c r="K217" s="18"/>
      <c r="L217" s="19">
        <f t="shared" si="2"/>
        <v>798308.39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40449.199999999997</v>
      </c>
      <c r="G218" s="18">
        <v>17362.66</v>
      </c>
      <c r="H218" s="18">
        <v>13544.73</v>
      </c>
      <c r="I218" s="18">
        <v>16294.93</v>
      </c>
      <c r="J218" s="18">
        <v>13360.71</v>
      </c>
      <c r="K218" s="18"/>
      <c r="L218" s="19">
        <f t="shared" si="2"/>
        <v>101012.22999999998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v>250.47</v>
      </c>
      <c r="I219" s="18"/>
      <c r="J219" s="18"/>
      <c r="K219" s="18"/>
      <c r="L219" s="19">
        <f>SUM(F219:K219)</f>
        <v>250.47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2405729.5900000003</v>
      </c>
      <c r="G221" s="41">
        <f>SUM(G207:G220)</f>
        <v>1229968.3699999999</v>
      </c>
      <c r="H221" s="41">
        <f>SUM(H207:H220)</f>
        <v>408221.52999999991</v>
      </c>
      <c r="I221" s="41">
        <f>SUM(I207:I220)</f>
        <v>363888.27999999997</v>
      </c>
      <c r="J221" s="41">
        <f>SUM(J207:J220)</f>
        <v>52797.759999999995</v>
      </c>
      <c r="K221" s="41">
        <f t="shared" si="3"/>
        <v>4393.5600000000004</v>
      </c>
      <c r="L221" s="41">
        <f t="shared" si="3"/>
        <v>4464999.0900000008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2560617.67+122545</f>
        <v>2683162.67</v>
      </c>
      <c r="G225" s="18">
        <f>1186316.56+347068.61</f>
        <v>1533385.17</v>
      </c>
      <c r="H225" s="18">
        <v>50073.55</v>
      </c>
      <c r="I225" s="18">
        <v>142550.84</v>
      </c>
      <c r="J225" s="18">
        <v>98526.6</v>
      </c>
      <c r="K225" s="18"/>
      <c r="L225" s="19">
        <f>SUM(F225:K225)</f>
        <v>4507698.8299999991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659904.25</v>
      </c>
      <c r="G226" s="18">
        <v>365373.53</v>
      </c>
      <c r="H226" s="18">
        <v>632671.99</v>
      </c>
      <c r="I226" s="18">
        <v>4757.7</v>
      </c>
      <c r="J226" s="18">
        <v>5210.05</v>
      </c>
      <c r="K226" s="18"/>
      <c r="L226" s="19">
        <f>SUM(F226:K226)</f>
        <v>1667917.52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403247.81</v>
      </c>
      <c r="G227" s="18">
        <v>165155.57999999999</v>
      </c>
      <c r="H227" s="18">
        <v>13557.36</v>
      </c>
      <c r="I227" s="18">
        <v>70264.61</v>
      </c>
      <c r="J227" s="18">
        <v>1848.11</v>
      </c>
      <c r="K227" s="18"/>
      <c r="L227" s="19">
        <f>SUM(F227:K227)</f>
        <v>654073.47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174510.7</v>
      </c>
      <c r="G228" s="18">
        <v>28639.87</v>
      </c>
      <c r="H228" s="18">
        <v>61845.86</v>
      </c>
      <c r="I228" s="18">
        <v>20507.919999999998</v>
      </c>
      <c r="J228" s="18">
        <v>4517.82</v>
      </c>
      <c r="K228" s="18">
        <v>8025</v>
      </c>
      <c r="L228" s="19">
        <f>SUM(F228:K228)</f>
        <v>298047.17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478087.02</v>
      </c>
      <c r="G230" s="18">
        <v>224055.62</v>
      </c>
      <c r="H230" s="18">
        <v>36077.17</v>
      </c>
      <c r="I230" s="18">
        <v>8577.81</v>
      </c>
      <c r="J230" s="18">
        <v>1978.34</v>
      </c>
      <c r="K230" s="18"/>
      <c r="L230" s="19">
        <f t="shared" ref="L230:L236" si="4">SUM(F230:K230)</f>
        <v>748775.96000000008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82122.820000000007</v>
      </c>
      <c r="G231" s="18">
        <v>87115.96</v>
      </c>
      <c r="H231" s="18">
        <v>28662.98</v>
      </c>
      <c r="I231" s="18">
        <v>20329.349999999999</v>
      </c>
      <c r="J231" s="18">
        <v>669.64</v>
      </c>
      <c r="K231" s="18">
        <v>720</v>
      </c>
      <c r="L231" s="19">
        <f t="shared" si="4"/>
        <v>219620.75000000006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10787</v>
      </c>
      <c r="G232" s="18">
        <v>825.35</v>
      </c>
      <c r="H232" s="18">
        <v>403254.03</v>
      </c>
      <c r="I232" s="18">
        <v>7084.16</v>
      </c>
      <c r="J232" s="18"/>
      <c r="K232" s="18">
        <v>2582.44</v>
      </c>
      <c r="L232" s="19">
        <f t="shared" si="4"/>
        <v>424532.98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434146.58</v>
      </c>
      <c r="G233" s="18">
        <v>184073.66</v>
      </c>
      <c r="H233" s="18">
        <v>70809.070000000007</v>
      </c>
      <c r="I233" s="18">
        <v>17854.43</v>
      </c>
      <c r="J233" s="18"/>
      <c r="K233" s="18">
        <v>12619.5</v>
      </c>
      <c r="L233" s="19">
        <f t="shared" si="4"/>
        <v>719503.24000000011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417298.35</v>
      </c>
      <c r="G235" s="18">
        <v>224188.28</v>
      </c>
      <c r="H235" s="18">
        <v>438298.84</v>
      </c>
      <c r="I235" s="18">
        <v>488885.26</v>
      </c>
      <c r="J235" s="18">
        <v>9789.43</v>
      </c>
      <c r="K235" s="18"/>
      <c r="L235" s="19">
        <f t="shared" si="4"/>
        <v>1578460.1599999999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112951.92</v>
      </c>
      <c r="G236" s="18">
        <v>47538.21</v>
      </c>
      <c r="H236" s="18">
        <v>113397.61</v>
      </c>
      <c r="I236" s="18">
        <v>44083.01</v>
      </c>
      <c r="J236" s="18">
        <v>37298.660000000003</v>
      </c>
      <c r="K236" s="18"/>
      <c r="L236" s="19">
        <f t="shared" si="4"/>
        <v>355269.41000000003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699.23</v>
      </c>
      <c r="I237" s="18"/>
      <c r="J237" s="18"/>
      <c r="K237" s="18"/>
      <c r="L237" s="19">
        <f>SUM(F237:K237)</f>
        <v>699.23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5456219.1200000001</v>
      </c>
      <c r="G239" s="41">
        <f t="shared" si="5"/>
        <v>2860351.23</v>
      </c>
      <c r="H239" s="41">
        <f t="shared" si="5"/>
        <v>1849347.6900000002</v>
      </c>
      <c r="I239" s="41">
        <f t="shared" si="5"/>
        <v>824895.09</v>
      </c>
      <c r="J239" s="41">
        <f t="shared" si="5"/>
        <v>159838.65000000002</v>
      </c>
      <c r="K239" s="41">
        <f t="shared" si="5"/>
        <v>23946.940000000002</v>
      </c>
      <c r="L239" s="41">
        <f t="shared" si="5"/>
        <v>11174598.720000001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12749408.440000001</v>
      </c>
      <c r="G249" s="41">
        <f t="shared" si="8"/>
        <v>6706666.9100000001</v>
      </c>
      <c r="H249" s="41">
        <f t="shared" si="8"/>
        <v>3726898.9000000004</v>
      </c>
      <c r="I249" s="41">
        <f t="shared" si="8"/>
        <v>1653112.45</v>
      </c>
      <c r="J249" s="41">
        <f t="shared" si="8"/>
        <v>292808.51</v>
      </c>
      <c r="K249" s="41">
        <f t="shared" si="8"/>
        <v>32552.270000000004</v>
      </c>
      <c r="L249" s="41">
        <f t="shared" si="8"/>
        <v>25161447.480000004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3635000</v>
      </c>
      <c r="L252" s="19">
        <f>SUM(F252:K252)</f>
        <v>3635000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1436532.5</v>
      </c>
      <c r="L253" s="19">
        <f>SUM(F253:K253)</f>
        <v>1436532.5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407429</v>
      </c>
      <c r="L258" s="19">
        <f t="shared" si="9"/>
        <v>407429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35672.67</v>
      </c>
      <c r="L261" s="19">
        <f t="shared" si="9"/>
        <v>35672.67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5514634.1699999999</v>
      </c>
      <c r="L262" s="41">
        <f t="shared" si="9"/>
        <v>5514634.1699999999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12749408.440000001</v>
      </c>
      <c r="G263" s="42">
        <f t="shared" si="11"/>
        <v>6706666.9100000001</v>
      </c>
      <c r="H263" s="42">
        <f t="shared" si="11"/>
        <v>3726898.9000000004</v>
      </c>
      <c r="I263" s="42">
        <f t="shared" si="11"/>
        <v>1653112.45</v>
      </c>
      <c r="J263" s="42">
        <f t="shared" si="11"/>
        <v>292808.51</v>
      </c>
      <c r="K263" s="42">
        <f t="shared" si="11"/>
        <v>5547186.4399999995</v>
      </c>
      <c r="L263" s="42">
        <f t="shared" si="11"/>
        <v>30676081.650000006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461702.34</v>
      </c>
      <c r="G268" s="18">
        <v>174268.01</v>
      </c>
      <c r="H268" s="18">
        <v>49</v>
      </c>
      <c r="I268" s="18">
        <v>41883.46</v>
      </c>
      <c r="J268" s="18">
        <v>17804.25</v>
      </c>
      <c r="K268" s="18"/>
      <c r="L268" s="19">
        <f>SUM(F268:K268)</f>
        <v>695707.06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15047.1</v>
      </c>
      <c r="G269" s="18">
        <v>12438.14</v>
      </c>
      <c r="H269" s="18">
        <v>3207.15</v>
      </c>
      <c r="I269" s="18">
        <v>11128.48</v>
      </c>
      <c r="J269" s="18">
        <v>2980.83</v>
      </c>
      <c r="K269" s="18"/>
      <c r="L269" s="19">
        <f>SUM(F269:K269)</f>
        <v>44801.7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108954.49</v>
      </c>
      <c r="G271" s="18">
        <v>12455.21</v>
      </c>
      <c r="H271" s="18">
        <v>1576.51</v>
      </c>
      <c r="I271" s="18">
        <v>16454.650000000001</v>
      </c>
      <c r="J271" s="18"/>
      <c r="K271" s="18"/>
      <c r="L271" s="19">
        <f>SUM(F271:K271)</f>
        <v>139440.86000000002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65778.53</v>
      </c>
      <c r="G273" s="18">
        <v>29475.06</v>
      </c>
      <c r="H273" s="18">
        <v>82767.789999999994</v>
      </c>
      <c r="I273" s="18">
        <v>165.78</v>
      </c>
      <c r="J273" s="18"/>
      <c r="K273" s="18"/>
      <c r="L273" s="19">
        <f t="shared" ref="L273:L279" si="12">SUM(F273:K273)</f>
        <v>178187.16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29602.75</v>
      </c>
      <c r="G274" s="18">
        <v>4992.3500000000004</v>
      </c>
      <c r="H274" s="18">
        <v>167638.66</v>
      </c>
      <c r="I274" s="18">
        <v>5616.92</v>
      </c>
      <c r="J274" s="18">
        <v>499</v>
      </c>
      <c r="K274" s="18"/>
      <c r="L274" s="19">
        <f t="shared" si="12"/>
        <v>208349.68000000002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13368.25</v>
      </c>
      <c r="I279" s="18"/>
      <c r="J279" s="18"/>
      <c r="K279" s="18"/>
      <c r="L279" s="19">
        <f t="shared" si="12"/>
        <v>13368.25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681085.21000000008</v>
      </c>
      <c r="G282" s="42">
        <f t="shared" si="13"/>
        <v>233628.77000000002</v>
      </c>
      <c r="H282" s="42">
        <f t="shared" si="13"/>
        <v>268607.35999999999</v>
      </c>
      <c r="I282" s="42">
        <f t="shared" si="13"/>
        <v>75249.289999999994</v>
      </c>
      <c r="J282" s="42">
        <f t="shared" si="13"/>
        <v>21284.080000000002</v>
      </c>
      <c r="K282" s="42">
        <f t="shared" si="13"/>
        <v>0</v>
      </c>
      <c r="L282" s="41">
        <f t="shared" si="13"/>
        <v>1279854.71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>
        <v>447</v>
      </c>
      <c r="I287" s="18">
        <v>494.13</v>
      </c>
      <c r="J287" s="18">
        <v>11002.65</v>
      </c>
      <c r="K287" s="18"/>
      <c r="L287" s="19">
        <f>SUM(F287:K287)</f>
        <v>11943.779999999999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6782.4</v>
      </c>
      <c r="G288" s="18">
        <v>676.35</v>
      </c>
      <c r="H288" s="18"/>
      <c r="I288" s="18"/>
      <c r="J288" s="18"/>
      <c r="K288" s="18"/>
      <c r="L288" s="19">
        <f>SUM(F288:K288)</f>
        <v>7458.75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1850</v>
      </c>
      <c r="G290" s="18">
        <v>141.53</v>
      </c>
      <c r="H290" s="18"/>
      <c r="I290" s="18"/>
      <c r="J290" s="18"/>
      <c r="K290" s="18"/>
      <c r="L290" s="19">
        <f>SUM(F290:K290)</f>
        <v>1991.53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10727.11</v>
      </c>
      <c r="G292" s="18">
        <v>2936.86</v>
      </c>
      <c r="H292" s="18">
        <v>4400</v>
      </c>
      <c r="I292" s="18"/>
      <c r="J292" s="18"/>
      <c r="K292" s="18"/>
      <c r="L292" s="19">
        <f t="shared" ref="L292:L298" si="14">SUM(F292:K292)</f>
        <v>18063.97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791.25</v>
      </c>
      <c r="G293" s="18">
        <v>116.98</v>
      </c>
      <c r="H293" s="18">
        <v>222</v>
      </c>
      <c r="I293" s="18"/>
      <c r="J293" s="18">
        <v>2500</v>
      </c>
      <c r="K293" s="18"/>
      <c r="L293" s="19">
        <f t="shared" si="14"/>
        <v>3630.23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20150.760000000002</v>
      </c>
      <c r="G301" s="42">
        <f t="shared" si="15"/>
        <v>3871.7200000000003</v>
      </c>
      <c r="H301" s="42">
        <f t="shared" si="15"/>
        <v>5069</v>
      </c>
      <c r="I301" s="42">
        <f t="shared" si="15"/>
        <v>494.13</v>
      </c>
      <c r="J301" s="42">
        <f t="shared" si="15"/>
        <v>13502.65</v>
      </c>
      <c r="K301" s="42">
        <f t="shared" si="15"/>
        <v>0</v>
      </c>
      <c r="L301" s="41">
        <f t="shared" si="15"/>
        <v>43088.26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46134.93</v>
      </c>
      <c r="G306" s="18">
        <v>24960.85</v>
      </c>
      <c r="H306" s="18">
        <v>16385.59</v>
      </c>
      <c r="I306" s="18">
        <v>14122.37</v>
      </c>
      <c r="J306" s="18">
        <v>883.99</v>
      </c>
      <c r="K306" s="18"/>
      <c r="L306" s="19">
        <f>SUM(F306:K306)</f>
        <v>102487.73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23195</v>
      </c>
      <c r="G308" s="18">
        <v>19595.59</v>
      </c>
      <c r="H308" s="18">
        <v>21375</v>
      </c>
      <c r="I308" s="18">
        <v>9140.9699999999993</v>
      </c>
      <c r="J308" s="18">
        <v>30002.85</v>
      </c>
      <c r="K308" s="18">
        <v>100</v>
      </c>
      <c r="L308" s="19">
        <f>SUM(F308:K308)</f>
        <v>103409.41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30296.5</v>
      </c>
      <c r="G311" s="18">
        <v>8225.48</v>
      </c>
      <c r="H311" s="18">
        <v>248.71</v>
      </c>
      <c r="I311" s="18"/>
      <c r="J311" s="18">
        <v>22828.12</v>
      </c>
      <c r="K311" s="18"/>
      <c r="L311" s="19">
        <f t="shared" ref="L311:L317" si="16">SUM(F311:K311)</f>
        <v>61598.81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5084</v>
      </c>
      <c r="G312" s="18">
        <v>709.74</v>
      </c>
      <c r="H312" s="18">
        <v>31054.23</v>
      </c>
      <c r="I312" s="18">
        <v>3628.45</v>
      </c>
      <c r="J312" s="18"/>
      <c r="K312" s="18">
        <v>3046.4</v>
      </c>
      <c r="L312" s="19">
        <f t="shared" si="16"/>
        <v>43522.82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5463.36</v>
      </c>
      <c r="I317" s="18"/>
      <c r="J317" s="18"/>
      <c r="K317" s="18"/>
      <c r="L317" s="19">
        <f t="shared" si="16"/>
        <v>5463.36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104710.43</v>
      </c>
      <c r="G320" s="42">
        <f t="shared" si="17"/>
        <v>53491.659999999996</v>
      </c>
      <c r="H320" s="42">
        <f t="shared" si="17"/>
        <v>74526.89</v>
      </c>
      <c r="I320" s="42">
        <f t="shared" si="17"/>
        <v>26891.79</v>
      </c>
      <c r="J320" s="42">
        <f t="shared" si="17"/>
        <v>53714.96</v>
      </c>
      <c r="K320" s="42">
        <f t="shared" si="17"/>
        <v>3146.4</v>
      </c>
      <c r="L320" s="41">
        <f t="shared" si="17"/>
        <v>316482.13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805946.40000000014</v>
      </c>
      <c r="G330" s="41">
        <f t="shared" si="20"/>
        <v>290992.15000000002</v>
      </c>
      <c r="H330" s="41">
        <f t="shared" si="20"/>
        <v>348203.25</v>
      </c>
      <c r="I330" s="41">
        <f t="shared" si="20"/>
        <v>102635.20999999999</v>
      </c>
      <c r="J330" s="41">
        <f t="shared" si="20"/>
        <v>88501.69</v>
      </c>
      <c r="K330" s="41">
        <f t="shared" si="20"/>
        <v>3146.4</v>
      </c>
      <c r="L330" s="41">
        <f t="shared" si="20"/>
        <v>1639425.1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805946.40000000014</v>
      </c>
      <c r="G344" s="41">
        <f>G330</f>
        <v>290992.15000000002</v>
      </c>
      <c r="H344" s="41">
        <f>H330</f>
        <v>348203.25</v>
      </c>
      <c r="I344" s="41">
        <f>I330</f>
        <v>102635.20999999999</v>
      </c>
      <c r="J344" s="41">
        <f>J330</f>
        <v>88501.69</v>
      </c>
      <c r="K344" s="47">
        <f>K330+K343</f>
        <v>3146.4</v>
      </c>
      <c r="L344" s="41">
        <f>L330+L343</f>
        <v>1639425.1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92627.4</v>
      </c>
      <c r="G350" s="18">
        <v>61893.09</v>
      </c>
      <c r="H350" s="18">
        <v>8631.2900000000009</v>
      </c>
      <c r="I350" s="18">
        <v>121975.29</v>
      </c>
      <c r="J350" s="18">
        <v>2743.65</v>
      </c>
      <c r="K350" s="18"/>
      <c r="L350" s="13">
        <f>SUM(F350:K350)</f>
        <v>287870.72000000003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42868.88</v>
      </c>
      <c r="G351" s="18">
        <v>28644.73</v>
      </c>
      <c r="H351" s="18">
        <v>3994.65</v>
      </c>
      <c r="I351" s="18">
        <v>56451.37</v>
      </c>
      <c r="J351" s="18">
        <v>1269.79</v>
      </c>
      <c r="K351" s="18"/>
      <c r="L351" s="19">
        <f>SUM(F351:K351)</f>
        <v>133229.42000000001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119675.63</v>
      </c>
      <c r="G352" s="18">
        <v>79966.55</v>
      </c>
      <c r="H352" s="18">
        <v>11151.72</v>
      </c>
      <c r="I352" s="18">
        <v>157593.42000000001</v>
      </c>
      <c r="J352" s="18">
        <v>3544.84</v>
      </c>
      <c r="K352" s="18"/>
      <c r="L352" s="19">
        <f>SUM(F352:K352)</f>
        <v>371932.16000000003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255171.91</v>
      </c>
      <c r="G354" s="47">
        <f t="shared" si="22"/>
        <v>170504.37</v>
      </c>
      <c r="H354" s="47">
        <f t="shared" si="22"/>
        <v>23777.66</v>
      </c>
      <c r="I354" s="47">
        <f t="shared" si="22"/>
        <v>336020.08</v>
      </c>
      <c r="J354" s="47">
        <f t="shared" si="22"/>
        <v>7558.2800000000007</v>
      </c>
      <c r="K354" s="47">
        <f t="shared" si="22"/>
        <v>0</v>
      </c>
      <c r="L354" s="47">
        <f t="shared" si="22"/>
        <v>793032.3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114156.21</v>
      </c>
      <c r="G359" s="18">
        <v>52832.63</v>
      </c>
      <c r="H359" s="18">
        <v>147491.07999999999</v>
      </c>
      <c r="I359" s="56">
        <f>SUM(F359:H359)</f>
        <v>314479.92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7819.08</v>
      </c>
      <c r="G360" s="63">
        <v>3618.74</v>
      </c>
      <c r="H360" s="63">
        <v>10102.34</v>
      </c>
      <c r="I360" s="56">
        <f>SUM(F360:H360)</f>
        <v>21540.16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121975.29000000001</v>
      </c>
      <c r="G361" s="47">
        <f>SUM(G359:G360)</f>
        <v>56451.369999999995</v>
      </c>
      <c r="H361" s="47">
        <f>SUM(H359:H360)</f>
        <v>157593.41999999998</v>
      </c>
      <c r="I361" s="47">
        <f>SUM(I359:I360)</f>
        <v>336020.07999999996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66090.85+11154.62+10</f>
        <v>77255.47</v>
      </c>
      <c r="I370" s="18"/>
      <c r="J370" s="18"/>
      <c r="K370" s="18"/>
      <c r="L370" s="13">
        <f t="shared" si="23"/>
        <v>77255.47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>
        <f>45181.43+26420.03</f>
        <v>71601.459999999992</v>
      </c>
      <c r="K372" s="18"/>
      <c r="L372" s="13">
        <f t="shared" si="23"/>
        <v>71601.459999999992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77255.47</v>
      </c>
      <c r="I374" s="41">
        <f t="shared" si="24"/>
        <v>0</v>
      </c>
      <c r="J374" s="47">
        <f t="shared" si="24"/>
        <v>71601.459999999992</v>
      </c>
      <c r="K374" s="47">
        <f t="shared" si="24"/>
        <v>0</v>
      </c>
      <c r="L374" s="47">
        <f t="shared" si="24"/>
        <v>148856.93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126000</v>
      </c>
      <c r="H382" s="18">
        <v>72.81</v>
      </c>
      <c r="I382" s="18"/>
      <c r="J382" s="24" t="s">
        <v>312</v>
      </c>
      <c r="K382" s="24" t="s">
        <v>312</v>
      </c>
      <c r="L382" s="56">
        <f t="shared" si="25"/>
        <v>126072.81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80.2</v>
      </c>
      <c r="I384" s="18"/>
      <c r="J384" s="24" t="s">
        <v>312</v>
      </c>
      <c r="K384" s="24" t="s">
        <v>312</v>
      </c>
      <c r="L384" s="56">
        <f t="shared" si="25"/>
        <v>80.2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126000</v>
      </c>
      <c r="H385" s="139">
        <f>SUM(H379:H384)</f>
        <v>153.01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126153.01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f>181429</f>
        <v>181429</v>
      </c>
      <c r="H388" s="18">
        <v>541.66</v>
      </c>
      <c r="I388" s="18"/>
      <c r="J388" s="24" t="s">
        <v>312</v>
      </c>
      <c r="K388" s="24" t="s">
        <v>312</v>
      </c>
      <c r="L388" s="56">
        <f t="shared" si="26"/>
        <v>181970.66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100000</v>
      </c>
      <c r="H389" s="18">
        <v>322.27</v>
      </c>
      <c r="I389" s="18"/>
      <c r="J389" s="24" t="s">
        <v>312</v>
      </c>
      <c r="K389" s="24" t="s">
        <v>312</v>
      </c>
      <c r="L389" s="56">
        <f t="shared" si="26"/>
        <v>100322.27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1479.82</v>
      </c>
      <c r="I390" s="18"/>
      <c r="J390" s="24" t="s">
        <v>312</v>
      </c>
      <c r="K390" s="24" t="s">
        <v>312</v>
      </c>
      <c r="L390" s="56">
        <f t="shared" si="26"/>
        <v>1479.82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281429</v>
      </c>
      <c r="H393" s="47">
        <f>SUM(H387:H392)</f>
        <v>2343.75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283772.75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95.87</v>
      </c>
      <c r="I395" s="18">
        <v>500</v>
      </c>
      <c r="J395" s="24" t="s">
        <v>312</v>
      </c>
      <c r="K395" s="24" t="s">
        <v>312</v>
      </c>
      <c r="L395" s="56">
        <f>SUM(F395:K395)</f>
        <v>595.87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95.87</v>
      </c>
      <c r="I399" s="47">
        <f>SUM(I395:I398)</f>
        <v>500</v>
      </c>
      <c r="J399" s="49" t="s">
        <v>312</v>
      </c>
      <c r="K399" s="49" t="s">
        <v>312</v>
      </c>
      <c r="L399" s="47">
        <f>SUM(L395:L398)</f>
        <v>595.87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407429</v>
      </c>
      <c r="H400" s="47">
        <f>H385+H393+H399</f>
        <v>2592.63</v>
      </c>
      <c r="I400" s="47">
        <f>I385+I393+I399</f>
        <v>500</v>
      </c>
      <c r="J400" s="24" t="s">
        <v>312</v>
      </c>
      <c r="K400" s="24" t="s">
        <v>312</v>
      </c>
      <c r="L400" s="47">
        <f>L385+L393+L399</f>
        <v>410521.63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>
        <v>78156</v>
      </c>
      <c r="L408" s="56">
        <f t="shared" si="27"/>
        <v>78156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78156</v>
      </c>
      <c r="L411" s="47">
        <f t="shared" si="28"/>
        <v>78156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9410</v>
      </c>
      <c r="L414" s="56">
        <f t="shared" si="29"/>
        <v>9410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>
        <v>850000</v>
      </c>
      <c r="L416" s="56">
        <f t="shared" si="29"/>
        <v>850000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859410</v>
      </c>
      <c r="L419" s="47">
        <f t="shared" si="30"/>
        <v>859410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500</v>
      </c>
      <c r="I421" s="18"/>
      <c r="J421" s="18"/>
      <c r="K421" s="18"/>
      <c r="L421" s="56">
        <f>SUM(F421:K421)</f>
        <v>500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500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500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500</v>
      </c>
      <c r="I426" s="47">
        <f t="shared" si="32"/>
        <v>0</v>
      </c>
      <c r="J426" s="47">
        <f t="shared" si="32"/>
        <v>0</v>
      </c>
      <c r="K426" s="47">
        <f t="shared" si="32"/>
        <v>937566</v>
      </c>
      <c r="L426" s="47">
        <f t="shared" si="32"/>
        <v>938066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78574.86</v>
      </c>
      <c r="G431" s="18">
        <v>583742.81000000006</v>
      </c>
      <c r="H431" s="18">
        <v>36290.99</v>
      </c>
      <c r="I431" s="56">
        <f t="shared" ref="I431:I437" si="33">SUM(F431:H431)</f>
        <v>698608.66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78574.86</v>
      </c>
      <c r="G438" s="13">
        <f>SUM(G431:G437)</f>
        <v>583742.81000000006</v>
      </c>
      <c r="H438" s="13">
        <f>SUM(H431:H437)</f>
        <v>36290.99</v>
      </c>
      <c r="I438" s="13">
        <f>SUM(I431:I437)</f>
        <v>698608.66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78574.86</v>
      </c>
      <c r="G449" s="18">
        <v>583742.81000000006</v>
      </c>
      <c r="H449" s="18">
        <v>36290.99</v>
      </c>
      <c r="I449" s="56">
        <f>SUM(F449:H449)</f>
        <v>698608.66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78574.86</v>
      </c>
      <c r="G450" s="83">
        <f>SUM(G446:G449)</f>
        <v>583742.81000000006</v>
      </c>
      <c r="H450" s="83">
        <f>SUM(H446:H449)</f>
        <v>36290.99</v>
      </c>
      <c r="I450" s="83">
        <f>SUM(I446:I449)</f>
        <v>698608.66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78574.86</v>
      </c>
      <c r="G451" s="42">
        <f>G444+G450</f>
        <v>583742.81000000006</v>
      </c>
      <c r="H451" s="42">
        <f>H444+H450</f>
        <v>36290.99</v>
      </c>
      <c r="I451" s="42">
        <f>I444+I450</f>
        <v>698608.66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569999.9</v>
      </c>
      <c r="G455" s="18">
        <v>61911.75</v>
      </c>
      <c r="H455" s="18">
        <v>66371.039999999994</v>
      </c>
      <c r="I455" s="18">
        <v>316415.95</v>
      </c>
      <c r="J455" s="18">
        <v>1226153.03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30868496.789999999</v>
      </c>
      <c r="G458" s="18">
        <v>846266.83</v>
      </c>
      <c r="H458" s="18">
        <v>1668660.44</v>
      </c>
      <c r="I458" s="18">
        <v>709.97</v>
      </c>
      <c r="J458" s="18">
        <v>410521.63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24.11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30868496.789999999</v>
      </c>
      <c r="G460" s="53">
        <f>SUM(G458:G459)</f>
        <v>846290.94</v>
      </c>
      <c r="H460" s="53">
        <f>SUM(H458:H459)</f>
        <v>1668660.44</v>
      </c>
      <c r="I460" s="53">
        <f>SUM(I458:I459)</f>
        <v>709.97</v>
      </c>
      <c r="J460" s="53">
        <f>SUM(J458:J459)</f>
        <v>410521.63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30676081.649999999</v>
      </c>
      <c r="G462" s="18">
        <v>793032.3</v>
      </c>
      <c r="H462" s="18">
        <v>1639425.1</v>
      </c>
      <c r="I462" s="18">
        <v>148856.93</v>
      </c>
      <c r="J462" s="18">
        <v>938066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30676081.649999999</v>
      </c>
      <c r="G464" s="53">
        <f>SUM(G462:G463)</f>
        <v>793032.3</v>
      </c>
      <c r="H464" s="53">
        <f>SUM(H462:H463)</f>
        <v>1639425.1</v>
      </c>
      <c r="I464" s="53">
        <f>SUM(I462:I463)</f>
        <v>148856.93</v>
      </c>
      <c r="J464" s="53">
        <f>SUM(J462:J463)</f>
        <v>938066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762415.03999999911</v>
      </c>
      <c r="G466" s="53">
        <f>(G455+G460)- G464</f>
        <v>115170.3899999999</v>
      </c>
      <c r="H466" s="53">
        <f>(H455+H460)- H464</f>
        <v>95606.379999999888</v>
      </c>
      <c r="I466" s="53">
        <f>(I455+I460)- I464</f>
        <v>168268.99</v>
      </c>
      <c r="J466" s="53">
        <f>(J455+J460)- J464</f>
        <v>698608.66000000015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20</v>
      </c>
      <c r="I480" s="154">
        <v>5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 t="s">
        <v>897</v>
      </c>
      <c r="I481" s="155" t="s">
        <v>898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899</v>
      </c>
      <c r="G482" s="155" t="s">
        <v>900</v>
      </c>
      <c r="H482" s="155" t="s">
        <v>901</v>
      </c>
      <c r="I482" s="155" t="s">
        <v>902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4200000</v>
      </c>
      <c r="G483" s="18">
        <v>2400000</v>
      </c>
      <c r="H483" s="18">
        <v>42120000</v>
      </c>
      <c r="I483" s="18">
        <v>2436000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6.7949999999999999</v>
      </c>
      <c r="G484" s="18">
        <v>6.99</v>
      </c>
      <c r="H484" s="18">
        <v>4</v>
      </c>
      <c r="I484" s="18">
        <v>3.83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210000</v>
      </c>
      <c r="G485" s="18">
        <v>240000</v>
      </c>
      <c r="H485" s="18">
        <v>28675000</v>
      </c>
      <c r="I485" s="18">
        <v>1460000</v>
      </c>
      <c r="J485" s="18"/>
      <c r="K485" s="53">
        <f>SUM(F485:J485)</f>
        <v>30585000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210000</v>
      </c>
      <c r="G487" s="18">
        <v>120000</v>
      </c>
      <c r="H487" s="18">
        <v>2815000</v>
      </c>
      <c r="I487" s="18">
        <v>490000</v>
      </c>
      <c r="J487" s="18"/>
      <c r="K487" s="53">
        <f t="shared" si="34"/>
        <v>3635000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v>120000</v>
      </c>
      <c r="H488" s="205">
        <v>25860000</v>
      </c>
      <c r="I488" s="205">
        <v>970000</v>
      </c>
      <c r="J488" s="205"/>
      <c r="K488" s="206">
        <f t="shared" si="34"/>
        <v>26950000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4260</v>
      </c>
      <c r="H489" s="18">
        <v>8891867</v>
      </c>
      <c r="I489" s="18">
        <v>70325</v>
      </c>
      <c r="J489" s="18"/>
      <c r="K489" s="53">
        <f t="shared" si="34"/>
        <v>8966452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124260</v>
      </c>
      <c r="H490" s="42">
        <f>SUM(H488:H489)</f>
        <v>34751867</v>
      </c>
      <c r="I490" s="42">
        <f>SUM(I488:I489)</f>
        <v>1040325</v>
      </c>
      <c r="J490" s="42">
        <f>SUM(J488:J489)</f>
        <v>0</v>
      </c>
      <c r="K490" s="42">
        <f t="shared" si="34"/>
        <v>35916452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120000</v>
      </c>
      <c r="H491" s="205">
        <v>1850000</v>
      </c>
      <c r="I491" s="205">
        <v>485000</v>
      </c>
      <c r="J491" s="205"/>
      <c r="K491" s="206">
        <f t="shared" si="34"/>
        <v>2455000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4260</v>
      </c>
      <c r="H492" s="18">
        <v>1205288</v>
      </c>
      <c r="I492" s="18">
        <v>46075</v>
      </c>
      <c r="J492" s="18"/>
      <c r="K492" s="53">
        <f t="shared" si="34"/>
        <v>1255623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124260</v>
      </c>
      <c r="H493" s="42">
        <f>SUM(H491:H492)</f>
        <v>3055288</v>
      </c>
      <c r="I493" s="42">
        <f>SUM(I491:I492)</f>
        <v>531075</v>
      </c>
      <c r="J493" s="42">
        <f>SUM(J491:J492)</f>
        <v>0</v>
      </c>
      <c r="K493" s="42">
        <f t="shared" si="34"/>
        <v>3710623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936548.64</v>
      </c>
      <c r="G511" s="18">
        <v>608235.29</v>
      </c>
      <c r="H511" s="18">
        <v>581622.29</v>
      </c>
      <c r="I511" s="18">
        <v>15210.85</v>
      </c>
      <c r="J511" s="18">
        <v>3470.18</v>
      </c>
      <c r="K511" s="18"/>
      <c r="L511" s="88">
        <f>SUM(F511:K511)</f>
        <v>2145087.2500000005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368749.9</v>
      </c>
      <c r="G512" s="18">
        <v>237586.62</v>
      </c>
      <c r="H512" s="18">
        <v>8341.07</v>
      </c>
      <c r="I512" s="18">
        <v>12314.46</v>
      </c>
      <c r="J512" s="18">
        <v>250</v>
      </c>
      <c r="K512" s="18"/>
      <c r="L512" s="88">
        <f>SUM(F512:K512)</f>
        <v>627242.04999999993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659904.25</v>
      </c>
      <c r="G513" s="18">
        <v>365373.53</v>
      </c>
      <c r="H513" s="18">
        <v>632671.99</v>
      </c>
      <c r="I513" s="18">
        <v>4757.7</v>
      </c>
      <c r="J513" s="18">
        <v>5210.05</v>
      </c>
      <c r="K513" s="18"/>
      <c r="L513" s="88">
        <f>SUM(F513:K513)</f>
        <v>1667917.52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1965202.79</v>
      </c>
      <c r="G514" s="108">
        <f t="shared" ref="G514:L514" si="35">SUM(G511:G513)</f>
        <v>1211195.44</v>
      </c>
      <c r="H514" s="108">
        <f t="shared" si="35"/>
        <v>1222635.3500000001</v>
      </c>
      <c r="I514" s="108">
        <f t="shared" si="35"/>
        <v>32283.01</v>
      </c>
      <c r="J514" s="108">
        <f t="shared" si="35"/>
        <v>8930.23</v>
      </c>
      <c r="K514" s="108">
        <f t="shared" si="35"/>
        <v>0</v>
      </c>
      <c r="L514" s="89">
        <f t="shared" si="35"/>
        <v>4440246.82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297910.98</v>
      </c>
      <c r="G516" s="18">
        <v>140819.76</v>
      </c>
      <c r="H516" s="18">
        <v>215979.29</v>
      </c>
      <c r="I516" s="18">
        <v>1854.36</v>
      </c>
      <c r="J516" s="18"/>
      <c r="K516" s="18"/>
      <c r="L516" s="88">
        <f>SUM(F516:K516)</f>
        <v>656564.39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75690.44</v>
      </c>
      <c r="G517" s="18">
        <v>34352.800000000003</v>
      </c>
      <c r="H517" s="18">
        <v>6644.98</v>
      </c>
      <c r="I517" s="18">
        <v>744.82</v>
      </c>
      <c r="J517" s="18"/>
      <c r="K517" s="18"/>
      <c r="L517" s="88">
        <f>SUM(F517:K517)</f>
        <v>117433.04000000001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171225.87</v>
      </c>
      <c r="G518" s="18">
        <v>77928.5</v>
      </c>
      <c r="H518" s="18">
        <v>15659.04</v>
      </c>
      <c r="I518" s="18">
        <v>735.99</v>
      </c>
      <c r="J518" s="18"/>
      <c r="K518" s="18"/>
      <c r="L518" s="88">
        <f>SUM(F518:K518)</f>
        <v>265549.39999999997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544827.29</v>
      </c>
      <c r="G519" s="89">
        <f t="shared" ref="G519:L519" si="36">SUM(G516:G518)</f>
        <v>253101.06</v>
      </c>
      <c r="H519" s="89">
        <f t="shared" si="36"/>
        <v>238283.31000000003</v>
      </c>
      <c r="I519" s="89">
        <f t="shared" si="36"/>
        <v>3335.17</v>
      </c>
      <c r="J519" s="89">
        <f t="shared" si="36"/>
        <v>0</v>
      </c>
      <c r="K519" s="89">
        <f t="shared" si="36"/>
        <v>0</v>
      </c>
      <c r="L519" s="89">
        <f t="shared" si="36"/>
        <v>1039546.8300000001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47681.75</v>
      </c>
      <c r="I521" s="18"/>
      <c r="J521" s="18"/>
      <c r="K521" s="18"/>
      <c r="L521" s="88">
        <f>SUM(F521:K521)</f>
        <v>47681.75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22067.59</v>
      </c>
      <c r="I522" s="18"/>
      <c r="J522" s="18"/>
      <c r="K522" s="18"/>
      <c r="L522" s="88">
        <f>SUM(F522:K522)</f>
        <v>22067.59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61605.37</v>
      </c>
      <c r="I523" s="18"/>
      <c r="J523" s="18"/>
      <c r="K523" s="18"/>
      <c r="L523" s="88">
        <f>SUM(F523:K523)</f>
        <v>61605.37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131354.71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131354.71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26484.57</v>
      </c>
      <c r="G531" s="18">
        <v>10743.48</v>
      </c>
      <c r="H531" s="18">
        <v>31333.01</v>
      </c>
      <c r="I531" s="18">
        <v>4119.26</v>
      </c>
      <c r="J531" s="18"/>
      <c r="K531" s="18"/>
      <c r="L531" s="88">
        <f>SUM(F531:K531)</f>
        <v>72680.319999999992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3531.28</v>
      </c>
      <c r="G532" s="18">
        <v>1432.46</v>
      </c>
      <c r="H532" s="18">
        <v>2311.7399999999998</v>
      </c>
      <c r="I532" s="18">
        <v>549.23</v>
      </c>
      <c r="J532" s="18"/>
      <c r="K532" s="18"/>
      <c r="L532" s="88">
        <f>SUM(F532:K532)</f>
        <v>7824.7099999999991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5296.92</v>
      </c>
      <c r="G533" s="18">
        <v>2148.69</v>
      </c>
      <c r="H533" s="18">
        <v>79331.839999999997</v>
      </c>
      <c r="I533" s="18">
        <v>823.86</v>
      </c>
      <c r="J533" s="18"/>
      <c r="K533" s="18"/>
      <c r="L533" s="88">
        <f>SUM(F533:K533)</f>
        <v>87601.31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35312.769999999997</v>
      </c>
      <c r="G534" s="194">
        <f t="shared" ref="G534:L534" si="39">SUM(G531:G533)</f>
        <v>14324.63</v>
      </c>
      <c r="H534" s="194">
        <f t="shared" si="39"/>
        <v>112976.59</v>
      </c>
      <c r="I534" s="194">
        <f t="shared" si="39"/>
        <v>5492.3499999999995</v>
      </c>
      <c r="J534" s="194">
        <f t="shared" si="39"/>
        <v>0</v>
      </c>
      <c r="K534" s="194">
        <f t="shared" si="39"/>
        <v>0</v>
      </c>
      <c r="L534" s="194">
        <f t="shared" si="39"/>
        <v>168106.34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2545342.85</v>
      </c>
      <c r="G535" s="89">
        <f t="shared" ref="G535:L535" si="40">G514+G519+G524+G529+G534</f>
        <v>1478621.13</v>
      </c>
      <c r="H535" s="89">
        <f t="shared" si="40"/>
        <v>1705249.9600000002</v>
      </c>
      <c r="I535" s="89">
        <f t="shared" si="40"/>
        <v>41110.53</v>
      </c>
      <c r="J535" s="89">
        <f t="shared" si="40"/>
        <v>8930.23</v>
      </c>
      <c r="K535" s="89">
        <f t="shared" si="40"/>
        <v>0</v>
      </c>
      <c r="L535" s="89">
        <f t="shared" si="40"/>
        <v>5779254.7000000002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2145087.2500000005</v>
      </c>
      <c r="G539" s="87">
        <f>L516</f>
        <v>656564.39</v>
      </c>
      <c r="H539" s="87">
        <f>L521</f>
        <v>47681.75</v>
      </c>
      <c r="I539" s="87">
        <f>L526</f>
        <v>0</v>
      </c>
      <c r="J539" s="87">
        <f>L531</f>
        <v>72680.319999999992</v>
      </c>
      <c r="K539" s="87">
        <f>SUM(F539:J539)</f>
        <v>2922013.7100000004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627242.04999999993</v>
      </c>
      <c r="G540" s="87">
        <f>L517</f>
        <v>117433.04000000001</v>
      </c>
      <c r="H540" s="87">
        <f>L522</f>
        <v>22067.59</v>
      </c>
      <c r="I540" s="87">
        <f>L527</f>
        <v>0</v>
      </c>
      <c r="J540" s="87">
        <f>L532</f>
        <v>7824.7099999999991</v>
      </c>
      <c r="K540" s="87">
        <f>SUM(F540:J540)</f>
        <v>774567.3899999999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1667917.52</v>
      </c>
      <c r="G541" s="87">
        <f>L518</f>
        <v>265549.39999999997</v>
      </c>
      <c r="H541" s="87">
        <f>L523</f>
        <v>61605.37</v>
      </c>
      <c r="I541" s="87">
        <f>L528</f>
        <v>0</v>
      </c>
      <c r="J541" s="87">
        <f>L533</f>
        <v>87601.31</v>
      </c>
      <c r="K541" s="87">
        <f>SUM(F541:J541)</f>
        <v>2082673.6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4440246.82</v>
      </c>
      <c r="G542" s="89">
        <f t="shared" si="41"/>
        <v>1039546.8300000001</v>
      </c>
      <c r="H542" s="89">
        <f t="shared" si="41"/>
        <v>131354.71</v>
      </c>
      <c r="I542" s="89">
        <f t="shared" si="41"/>
        <v>0</v>
      </c>
      <c r="J542" s="89">
        <f t="shared" si="41"/>
        <v>168106.34</v>
      </c>
      <c r="K542" s="89">
        <f t="shared" si="41"/>
        <v>5779254.7000000011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62607.75</v>
      </c>
      <c r="G569" s="18">
        <v>0</v>
      </c>
      <c r="H569" s="18">
        <v>51677.93</v>
      </c>
      <c r="I569" s="87">
        <f t="shared" si="46"/>
        <v>114285.68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363074.55</v>
      </c>
      <c r="G572" s="18">
        <v>0</v>
      </c>
      <c r="H572" s="18">
        <v>533459.68999999994</v>
      </c>
      <c r="I572" s="87">
        <f t="shared" si="46"/>
        <v>896534.24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178342.36</v>
      </c>
      <c r="I581" s="18">
        <v>79538.44</v>
      </c>
      <c r="J581" s="18">
        <v>228843.23</v>
      </c>
      <c r="K581" s="104">
        <f t="shared" ref="K581:K587" si="47">SUM(H581:J581)</f>
        <v>486724.03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72680.320000000007</v>
      </c>
      <c r="I582" s="18">
        <v>7824.71</v>
      </c>
      <c r="J582" s="18">
        <v>87601.31</v>
      </c>
      <c r="K582" s="104">
        <f t="shared" si="47"/>
        <v>168106.34000000003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10896.27</v>
      </c>
      <c r="J584" s="18">
        <v>35286.730000000003</v>
      </c>
      <c r="K584" s="104">
        <f t="shared" si="47"/>
        <v>46183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21690.63</v>
      </c>
      <c r="I585" s="18">
        <v>2752.81</v>
      </c>
      <c r="J585" s="18">
        <v>3538.14</v>
      </c>
      <c r="K585" s="104">
        <f t="shared" si="47"/>
        <v>27981.58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272713.31</v>
      </c>
      <c r="I588" s="108">
        <f>SUM(I581:I587)</f>
        <v>101012.23000000001</v>
      </c>
      <c r="J588" s="108">
        <f>SUM(J581:J587)</f>
        <v>355269.41000000003</v>
      </c>
      <c r="K588" s="108">
        <f>SUM(K581:K587)</f>
        <v>728994.95000000007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101456.18</v>
      </c>
      <c r="I594" s="18">
        <v>66300.41</v>
      </c>
      <c r="J594" s="18">
        <v>213553.61</v>
      </c>
      <c r="K594" s="104">
        <f>SUM(H594:J594)</f>
        <v>381310.19999999995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101456.18</v>
      </c>
      <c r="I595" s="108">
        <f>SUM(I592:I594)</f>
        <v>66300.41</v>
      </c>
      <c r="J595" s="108">
        <f>SUM(J592:J594)</f>
        <v>213553.61</v>
      </c>
      <c r="K595" s="108">
        <f>SUM(K592:K594)</f>
        <v>381310.19999999995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6500</v>
      </c>
      <c r="G603" s="18">
        <v>994.63</v>
      </c>
      <c r="H603" s="18"/>
      <c r="I603" s="18"/>
      <c r="J603" s="18"/>
      <c r="K603" s="18"/>
      <c r="L603" s="88">
        <f>SUM(F603:K603)</f>
        <v>7494.63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6500</v>
      </c>
      <c r="G604" s="108">
        <f t="shared" si="48"/>
        <v>994.63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7494.63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1012536.38</v>
      </c>
      <c r="H607" s="109">
        <f>SUM(F44)</f>
        <v>1012536.38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545341.82999999996</v>
      </c>
      <c r="H608" s="109">
        <f>SUM(G44)</f>
        <v>545341.82999999996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222770.96</v>
      </c>
      <c r="H609" s="109">
        <f>SUM(H44)</f>
        <v>222770.96000000002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182003.39</v>
      </c>
      <c r="H610" s="109">
        <f>SUM(I44)</f>
        <v>182003.38999999998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698608.66</v>
      </c>
      <c r="H611" s="109">
        <f>SUM(J44)</f>
        <v>698608.66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762415.04</v>
      </c>
      <c r="H612" s="109">
        <f>F466</f>
        <v>762415.03999999911</v>
      </c>
      <c r="I612" s="121" t="s">
        <v>106</v>
      </c>
      <c r="J612" s="109">
        <f t="shared" ref="J612:J645" si="49">G612-H612</f>
        <v>9.3132257461547852E-10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115170.39</v>
      </c>
      <c r="H613" s="109">
        <f>G466</f>
        <v>115170.3899999999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95606.38</v>
      </c>
      <c r="H614" s="109">
        <f>H466</f>
        <v>95606.379999999888</v>
      </c>
      <c r="I614" s="121" t="s">
        <v>110</v>
      </c>
      <c r="J614" s="109">
        <f t="shared" si="49"/>
        <v>1.1641532182693481E-10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168268.99</v>
      </c>
      <c r="H615" s="109">
        <f>I466</f>
        <v>168268.99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698608.66</v>
      </c>
      <c r="H616" s="109">
        <f>J466</f>
        <v>698608.66000000015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30868496.789999999</v>
      </c>
      <c r="H617" s="104">
        <f>SUM(F458)</f>
        <v>30868496.789999999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846266.83</v>
      </c>
      <c r="H618" s="104">
        <f>SUM(G458)</f>
        <v>846266.83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1668660.44</v>
      </c>
      <c r="H619" s="104">
        <f>SUM(H458)</f>
        <v>1668660.44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709.97</v>
      </c>
      <c r="H620" s="104">
        <f>SUM(I458)</f>
        <v>709.97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410521.63</v>
      </c>
      <c r="H621" s="104">
        <f>SUM(J458)</f>
        <v>410521.63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30676081.650000006</v>
      </c>
      <c r="H622" s="104">
        <f>SUM(F462)</f>
        <v>30676081.649999999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1639425.1</v>
      </c>
      <c r="H623" s="104">
        <f>SUM(H462)</f>
        <v>1639425.1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336020.08</v>
      </c>
      <c r="H624" s="104">
        <f>I361</f>
        <v>336020.07999999996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793032.3</v>
      </c>
      <c r="H625" s="104">
        <f>SUM(G462)</f>
        <v>793032.3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148856.93</v>
      </c>
      <c r="H626" s="104">
        <f>SUM(I462)</f>
        <v>148856.93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410521.63</v>
      </c>
      <c r="H627" s="164">
        <f>SUM(J458)</f>
        <v>410521.63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938066</v>
      </c>
      <c r="H628" s="164">
        <f>SUM(J462)</f>
        <v>938066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78574.86</v>
      </c>
      <c r="H629" s="104">
        <f>SUM(F451)</f>
        <v>78574.86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583742.81000000006</v>
      </c>
      <c r="H630" s="104">
        <f>SUM(G451)</f>
        <v>583742.81000000006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36290.99</v>
      </c>
      <c r="H631" s="104">
        <f>SUM(H451)</f>
        <v>36290.99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698608.66</v>
      </c>
      <c r="H632" s="104">
        <f>SUM(I451)</f>
        <v>698608.66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2592.63</v>
      </c>
      <c r="H634" s="104">
        <f>H400</f>
        <v>2592.63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407429</v>
      </c>
      <c r="H635" s="104">
        <f>G400</f>
        <v>407429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410521.63</v>
      </c>
      <c r="H636" s="104">
        <f>L400</f>
        <v>410521.63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728994.95000000007</v>
      </c>
      <c r="H637" s="104">
        <f>L200+L218+L236</f>
        <v>728994.95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381310.19999999995</v>
      </c>
      <c r="H638" s="104">
        <f>(J249+J330)-(J247+J328)</f>
        <v>381310.2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272713.31</v>
      </c>
      <c r="H639" s="104">
        <f>H588</f>
        <v>272713.31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101012.22999999998</v>
      </c>
      <c r="H640" s="104">
        <f>I588</f>
        <v>101012.23000000001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355269.41000000003</v>
      </c>
      <c r="H641" s="104">
        <f>J588</f>
        <v>355269.41000000003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407429</v>
      </c>
      <c r="H645" s="104">
        <f>K258+K339</f>
        <v>407429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11089575.1</v>
      </c>
      <c r="G650" s="19">
        <f>(L221+L301+L351)</f>
        <v>4641316.7700000005</v>
      </c>
      <c r="H650" s="19">
        <f>(L239+L320+L352)</f>
        <v>11863013.010000002</v>
      </c>
      <c r="I650" s="19">
        <f>SUM(F650:H650)</f>
        <v>27593904.880000003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172028.3469718144</v>
      </c>
      <c r="G651" s="19">
        <f>(L351/IF(SUM(L350:L352)=0,1,SUM(L350:L352))*(SUM(G89:G102)))</f>
        <v>79616.422575431046</v>
      </c>
      <c r="H651" s="19">
        <f>(L352/IF(SUM(L350:L352)=0,1,SUM(L350:L352))*(SUM(G89:G102)))</f>
        <v>222262.53045275458</v>
      </c>
      <c r="I651" s="19">
        <f>SUM(F651:H651)</f>
        <v>473907.30000000005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257212.88</v>
      </c>
      <c r="G652" s="19">
        <f>(L218+L298)-(J218+J298)</f>
        <v>87651.51999999999</v>
      </c>
      <c r="H652" s="19">
        <f>(L236+L317)-(J236+J317)</f>
        <v>323434.11</v>
      </c>
      <c r="I652" s="19">
        <f>SUM(F652:H652)</f>
        <v>668298.51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527138.48</v>
      </c>
      <c r="G653" s="200">
        <f>SUM(G565:G577)+SUM(I592:I594)+L602</f>
        <v>66300.41</v>
      </c>
      <c r="H653" s="200">
        <f>SUM(H565:H577)+SUM(J592:J594)+L603</f>
        <v>806185.86</v>
      </c>
      <c r="I653" s="19">
        <f>SUM(F653:H653)</f>
        <v>1399624.75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10133195.393028185</v>
      </c>
      <c r="G654" s="19">
        <f>G650-SUM(G651:G653)</f>
        <v>4407748.4174245698</v>
      </c>
      <c r="H654" s="19">
        <f>H650-SUM(H651:H653)</f>
        <v>10511130.509547247</v>
      </c>
      <c r="I654" s="19">
        <f>I650-SUM(I651:I653)</f>
        <v>25052074.320000004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684.89</v>
      </c>
      <c r="G655" s="249">
        <v>317.66000000000003</v>
      </c>
      <c r="H655" s="249">
        <v>840.31</v>
      </c>
      <c r="I655" s="19">
        <f>SUM(F655:H655)</f>
        <v>1842.86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14795.36</v>
      </c>
      <c r="G657" s="19">
        <f>ROUND(G654/G655,2)</f>
        <v>13875.68</v>
      </c>
      <c r="H657" s="19">
        <f>ROUND(H654/H655,2)</f>
        <v>12508.63</v>
      </c>
      <c r="I657" s="19">
        <f>ROUND(I654/I655,2)</f>
        <v>13594.13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14795.36</v>
      </c>
      <c r="G662" s="19">
        <f>ROUND((G654+G659)/(G655+G660),2)</f>
        <v>13875.68</v>
      </c>
      <c r="H662" s="19">
        <f>ROUND((H654+H659)/(H655+H660),2)</f>
        <v>12508.63</v>
      </c>
      <c r="I662" s="19">
        <f>ROUND((I654+I659)/(I655+I660),2)</f>
        <v>13594.13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C3FE-D078-443F-9861-52C286EE0E7C}">
  <sheetPr>
    <tabColor indexed="20"/>
  </sheetPr>
  <dimension ref="A1:C52"/>
  <sheetViews>
    <sheetView workbookViewId="0">
      <selection activeCell="C45" sqref="C4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CONWAY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7059825.3999999994</v>
      </c>
      <c r="C9" s="230">
        <f>'DOE25'!G189+'DOE25'!G207+'DOE25'!G225+'DOE25'!G268+'DOE25'!G287+'DOE25'!G306</f>
        <v>3713757.4899999998</v>
      </c>
    </row>
    <row r="10" spans="1:3" x14ac:dyDescent="0.2">
      <c r="A10" t="s">
        <v>813</v>
      </c>
      <c r="B10" s="241">
        <v>6115600.0599999996</v>
      </c>
      <c r="C10" s="241">
        <v>3373494.1</v>
      </c>
    </row>
    <row r="11" spans="1:3" x14ac:dyDescent="0.2">
      <c r="A11" t="s">
        <v>814</v>
      </c>
      <c r="B11" s="241">
        <v>252235.03</v>
      </c>
      <c r="C11" s="241">
        <v>184347.82</v>
      </c>
    </row>
    <row r="12" spans="1:3" x14ac:dyDescent="0.2">
      <c r="A12" t="s">
        <v>815</v>
      </c>
      <c r="B12" s="241">
        <v>691990.31</v>
      </c>
      <c r="C12" s="241">
        <v>155915.57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7059825.4000000004</v>
      </c>
      <c r="C13" s="232">
        <f>SUM(C10:C12)</f>
        <v>3713757.4899999998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1965202.79</v>
      </c>
      <c r="C18" s="230">
        <f>'DOE25'!G190+'DOE25'!G208+'DOE25'!G226+'DOE25'!G269+'DOE25'!G288+'DOE25'!G307</f>
        <v>1211195.4400000002</v>
      </c>
    </row>
    <row r="19" spans="1:3" x14ac:dyDescent="0.2">
      <c r="A19" t="s">
        <v>813</v>
      </c>
      <c r="B19" s="241">
        <v>1017965.21</v>
      </c>
      <c r="C19" s="241">
        <v>468805.73</v>
      </c>
    </row>
    <row r="20" spans="1:3" x14ac:dyDescent="0.2">
      <c r="A20" t="s">
        <v>814</v>
      </c>
      <c r="B20" s="241">
        <v>930428.18</v>
      </c>
      <c r="C20" s="241">
        <v>740936.24</v>
      </c>
    </row>
    <row r="21" spans="1:3" x14ac:dyDescent="0.2">
      <c r="A21" t="s">
        <v>815</v>
      </c>
      <c r="B21" s="241">
        <v>16809.400000000001</v>
      </c>
      <c r="C21" s="241">
        <v>1453.47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1965202.79</v>
      </c>
      <c r="C22" s="232">
        <f>SUM(C19:C21)</f>
        <v>1211195.44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426442.81</v>
      </c>
      <c r="C27" s="235">
        <f>'DOE25'!G191+'DOE25'!G209+'DOE25'!G227+'DOE25'!G270+'DOE25'!G289+'DOE25'!G308</f>
        <v>184751.16999999998</v>
      </c>
    </row>
    <row r="28" spans="1:3" x14ac:dyDescent="0.2">
      <c r="A28" t="s">
        <v>813</v>
      </c>
      <c r="B28" s="241">
        <v>353193.74</v>
      </c>
      <c r="C28" s="241">
        <v>151374.76999999999</v>
      </c>
    </row>
    <row r="29" spans="1:3" x14ac:dyDescent="0.2">
      <c r="A29" t="s">
        <v>814</v>
      </c>
      <c r="B29" s="241">
        <f>73249.07-39920</f>
        <v>33329.070000000007</v>
      </c>
      <c r="C29" s="241">
        <f>33376.4-21696.85</f>
        <v>11679.550000000003</v>
      </c>
    </row>
    <row r="30" spans="1:3" x14ac:dyDescent="0.2">
      <c r="A30" t="s">
        <v>815</v>
      </c>
      <c r="B30" s="241">
        <v>39920</v>
      </c>
      <c r="C30" s="241">
        <v>21696.85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426442.81</v>
      </c>
      <c r="C31" s="232">
        <f>SUM(C28:C30)</f>
        <v>184751.17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394946.76</v>
      </c>
      <c r="C36" s="236">
        <f>'DOE25'!G192+'DOE25'!G210+'DOE25'!G228+'DOE25'!G271+'DOE25'!G290+'DOE25'!G309</f>
        <v>54683.229999999996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394946.76</v>
      </c>
      <c r="C39" s="241">
        <v>54683.23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394946.76</v>
      </c>
      <c r="C40" s="232">
        <f>SUM(C37:C39)</f>
        <v>54683.23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33F6-22D1-4432-9326-5B89F8ABC768}">
  <sheetPr>
    <tabColor indexed="11"/>
  </sheetPr>
  <dimension ref="A1:I51"/>
  <sheetViews>
    <sheetView workbookViewId="0">
      <pane ySplit="4" topLeftCell="A5" activePane="bottomLeft" state="frozen"/>
      <selection pane="bottomLeft" activeCell="E27" sqref="E2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CONWAY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16142491.57</v>
      </c>
      <c r="D5" s="20">
        <f>SUM('DOE25'!L189:L192)+SUM('DOE25'!L207:L210)+SUM('DOE25'!L225:L228)-F5-G5</f>
        <v>15957313.33</v>
      </c>
      <c r="E5" s="244"/>
      <c r="F5" s="256">
        <f>SUM('DOE25'!J189:J192)+SUM('DOE25'!J207:J210)+SUM('DOE25'!J225:J228)</f>
        <v>176413.24000000002</v>
      </c>
      <c r="G5" s="53">
        <f>SUM('DOE25'!K189:K192)+SUM('DOE25'!K207:K210)+SUM('DOE25'!K225:K228)</f>
        <v>8765</v>
      </c>
      <c r="H5" s="260"/>
    </row>
    <row r="6" spans="1:9" x14ac:dyDescent="0.2">
      <c r="A6" s="32">
        <v>2100</v>
      </c>
      <c r="B6" t="s">
        <v>835</v>
      </c>
      <c r="C6" s="246">
        <f t="shared" si="0"/>
        <v>1964749.54</v>
      </c>
      <c r="D6" s="20">
        <f>'DOE25'!L194+'DOE25'!L212+'DOE25'!L230-F6-G6</f>
        <v>1960775.52</v>
      </c>
      <c r="E6" s="244"/>
      <c r="F6" s="256">
        <f>'DOE25'!J194+'DOE25'!J212+'DOE25'!J230</f>
        <v>3974.02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580273.97000000009</v>
      </c>
      <c r="D7" s="20">
        <f>'DOE25'!L195+'DOE25'!L213+'DOE25'!L231-F7-G7</f>
        <v>571668.02000000014</v>
      </c>
      <c r="E7" s="244"/>
      <c r="F7" s="256">
        <f>'DOE25'!J195+'DOE25'!J213+'DOE25'!J231</f>
        <v>7790.95</v>
      </c>
      <c r="G7" s="53">
        <f>'DOE25'!K195+'DOE25'!K213+'DOE25'!K231</f>
        <v>815</v>
      </c>
      <c r="H7" s="260"/>
    </row>
    <row r="8" spans="1:9" x14ac:dyDescent="0.2">
      <c r="A8" s="32">
        <v>2300</v>
      </c>
      <c r="B8" t="s">
        <v>836</v>
      </c>
      <c r="C8" s="246">
        <f t="shared" si="0"/>
        <v>553754.44999999995</v>
      </c>
      <c r="D8" s="244"/>
      <c r="E8" s="20">
        <f>'DOE25'!L196+'DOE25'!L214+'DOE25'!L232-F8-G8-D9-D11</f>
        <v>548248.18999999994</v>
      </c>
      <c r="F8" s="256">
        <f>'DOE25'!J196+'DOE25'!J214+'DOE25'!J232</f>
        <v>0</v>
      </c>
      <c r="G8" s="53">
        <f>'DOE25'!K196+'DOE25'!K214+'DOE25'!K232</f>
        <v>5506.26</v>
      </c>
      <c r="H8" s="260"/>
    </row>
    <row r="9" spans="1:9" x14ac:dyDescent="0.2">
      <c r="A9" s="32">
        <v>2310</v>
      </c>
      <c r="B9" t="s">
        <v>852</v>
      </c>
      <c r="C9" s="246">
        <f t="shared" si="0"/>
        <v>138728.57999999999</v>
      </c>
      <c r="D9" s="245">
        <v>138728.57999999999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18920</v>
      </c>
      <c r="D10" s="244"/>
      <c r="E10" s="245">
        <v>18920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212704.55</v>
      </c>
      <c r="D11" s="245">
        <v>212704.55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1486591.9700000002</v>
      </c>
      <c r="D12" s="20">
        <f>'DOE25'!L197+'DOE25'!L215+'DOE25'!L233-F12-G12</f>
        <v>1467235.2100000002</v>
      </c>
      <c r="E12" s="244"/>
      <c r="F12" s="256">
        <f>'DOE25'!J197+'DOE25'!J215+'DOE25'!J233</f>
        <v>1890.75</v>
      </c>
      <c r="G12" s="53">
        <f>'DOE25'!K197+'DOE25'!K215+'DOE25'!K233</f>
        <v>17466.010000000002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3351667</v>
      </c>
      <c r="D14" s="20">
        <f>'DOE25'!L199+'DOE25'!L217+'DOE25'!L235-F14-G14</f>
        <v>3328455.5</v>
      </c>
      <c r="E14" s="244"/>
      <c r="F14" s="256">
        <f>'DOE25'!J199+'DOE25'!J217+'DOE25'!J235</f>
        <v>23211.5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728994.95</v>
      </c>
      <c r="D15" s="20">
        <f>'DOE25'!L200+'DOE25'!L218+'DOE25'!L236-F15-G15</f>
        <v>649466.89999999991</v>
      </c>
      <c r="E15" s="244"/>
      <c r="F15" s="256">
        <f>'DOE25'!J200+'DOE25'!J218+'DOE25'!J236</f>
        <v>79528.05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1490.9</v>
      </c>
      <c r="D16" s="244"/>
      <c r="E16" s="20">
        <f>'DOE25'!L201+'DOE25'!L219+'DOE25'!L237-F16-G16</f>
        <v>1490.9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5071532.5</v>
      </c>
      <c r="D25" s="244"/>
      <c r="E25" s="244"/>
      <c r="F25" s="259"/>
      <c r="G25" s="257"/>
      <c r="H25" s="258">
        <f>'DOE25'!L252+'DOE25'!L253+'DOE25'!L333+'DOE25'!L334</f>
        <v>5071532.5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478552.38000000006</v>
      </c>
      <c r="D29" s="20">
        <f>'DOE25'!L350+'DOE25'!L351+'DOE25'!L352-'DOE25'!I359-F29-G29</f>
        <v>470994.10000000003</v>
      </c>
      <c r="E29" s="244"/>
      <c r="F29" s="256">
        <f>'DOE25'!J350+'DOE25'!J351+'DOE25'!J352</f>
        <v>7558.2800000000007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1639425.1</v>
      </c>
      <c r="D31" s="20">
        <f>'DOE25'!L282+'DOE25'!L301+'DOE25'!L320+'DOE25'!L325+'DOE25'!L326+'DOE25'!L327-F31-G31</f>
        <v>1547777.0100000002</v>
      </c>
      <c r="E31" s="244"/>
      <c r="F31" s="256">
        <f>'DOE25'!J282+'DOE25'!J301+'DOE25'!J320+'DOE25'!J325+'DOE25'!J326+'DOE25'!J327</f>
        <v>88501.69</v>
      </c>
      <c r="G31" s="53">
        <f>'DOE25'!K282+'DOE25'!K301+'DOE25'!K320+'DOE25'!K325+'DOE25'!K326+'DOE25'!K327</f>
        <v>3146.4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26305118.720000003</v>
      </c>
      <c r="E33" s="247">
        <f>SUM(E5:E31)</f>
        <v>568659.09</v>
      </c>
      <c r="F33" s="247">
        <f>SUM(F5:F31)</f>
        <v>388868.48000000004</v>
      </c>
      <c r="G33" s="247">
        <f>SUM(G5:G31)</f>
        <v>35698.670000000006</v>
      </c>
      <c r="H33" s="247">
        <f>SUM(H5:H31)</f>
        <v>5071532.5</v>
      </c>
    </row>
    <row r="35" spans="2:8" ht="12" thickBot="1" x14ac:dyDescent="0.25">
      <c r="B35" s="254" t="s">
        <v>881</v>
      </c>
      <c r="D35" s="255">
        <f>E33</f>
        <v>568659.09</v>
      </c>
      <c r="E35" s="250"/>
    </row>
    <row r="36" spans="2:8" ht="12" thickTop="1" x14ac:dyDescent="0.2">
      <c r="B36" t="s">
        <v>849</v>
      </c>
      <c r="D36" s="20">
        <f>D33</f>
        <v>26305118.720000003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7DFA-F2E6-436E-AD71-11E4943B783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34" sqref="A34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CONWAY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393144.89</v>
      </c>
      <c r="D9" s="95">
        <f>'DOE25'!G9</f>
        <v>441953.87</v>
      </c>
      <c r="E9" s="95">
        <f>'DOE25'!H9</f>
        <v>0</v>
      </c>
      <c r="F9" s="95">
        <f>'DOE25'!I9</f>
        <v>182003.39</v>
      </c>
      <c r="G9" s="95">
        <f>'DOE25'!J9</f>
        <v>698608.66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542795.69999999995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62504.14</v>
      </c>
      <c r="D13" s="95">
        <f>'DOE25'!G13</f>
        <v>74819.3</v>
      </c>
      <c r="E13" s="95">
        <f>'DOE25'!H13</f>
        <v>220448.46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14091.65</v>
      </c>
      <c r="D14" s="95">
        <f>'DOE25'!G14</f>
        <v>0</v>
      </c>
      <c r="E14" s="95">
        <f>'DOE25'!H14</f>
        <v>2322.5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28568.66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1012536.38</v>
      </c>
      <c r="D19" s="41">
        <f>SUM(D9:D18)</f>
        <v>545341.82999999996</v>
      </c>
      <c r="E19" s="41">
        <f>SUM(E9:E18)</f>
        <v>222770.96</v>
      </c>
      <c r="F19" s="41">
        <f>SUM(F9:F18)</f>
        <v>182003.39</v>
      </c>
      <c r="G19" s="41">
        <f>SUM(G9:G18)</f>
        <v>698608.66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424496.49</v>
      </c>
      <c r="E22" s="95">
        <f>'DOE25'!H23</f>
        <v>118299.21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205265.17</v>
      </c>
      <c r="D24" s="95">
        <f>'DOE25'!G25</f>
        <v>5674.95</v>
      </c>
      <c r="E24" s="95">
        <f>'DOE25'!H25</f>
        <v>8865.3700000000008</v>
      </c>
      <c r="F24" s="95">
        <f>'DOE25'!I25</f>
        <v>13734.4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43755.46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1100.71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250121.34</v>
      </c>
      <c r="D32" s="41">
        <f>SUM(D22:D31)</f>
        <v>430171.44</v>
      </c>
      <c r="E32" s="41">
        <f>SUM(E22:E31)</f>
        <v>127164.58</v>
      </c>
      <c r="F32" s="41">
        <f>SUM(F22:F31)</f>
        <v>13734.4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28568.66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86601.73</v>
      </c>
      <c r="E40" s="95">
        <f>'DOE25'!H41</f>
        <v>95606.38</v>
      </c>
      <c r="F40" s="95">
        <f>'DOE25'!I41</f>
        <v>168268.99</v>
      </c>
      <c r="G40" s="95">
        <f>'DOE25'!J41</f>
        <v>698608.66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762415.04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762415.04</v>
      </c>
      <c r="D42" s="41">
        <f>SUM(D34:D41)</f>
        <v>115170.39</v>
      </c>
      <c r="E42" s="41">
        <f>SUM(E34:E41)</f>
        <v>95606.38</v>
      </c>
      <c r="F42" s="41">
        <f>SUM(F34:F41)</f>
        <v>168268.99</v>
      </c>
      <c r="G42" s="41">
        <f>SUM(G34:G41)</f>
        <v>698608.66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1012536.38</v>
      </c>
      <c r="D43" s="41">
        <f>D42+D32</f>
        <v>545341.82999999996</v>
      </c>
      <c r="E43" s="41">
        <f>E42+E32</f>
        <v>222770.96000000002</v>
      </c>
      <c r="F43" s="41">
        <f>F42+F32</f>
        <v>182003.38999999998</v>
      </c>
      <c r="G43" s="41">
        <f>G42+G32</f>
        <v>698608.66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12092317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9159079.0299999993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34437.29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6228.73</v>
      </c>
      <c r="D51" s="95">
        <f>'DOE25'!G88</f>
        <v>436.31</v>
      </c>
      <c r="E51" s="95">
        <f>'DOE25'!H88</f>
        <v>0</v>
      </c>
      <c r="F51" s="95">
        <f>'DOE25'!I88</f>
        <v>709.97</v>
      </c>
      <c r="G51" s="95">
        <f>'DOE25'!J88</f>
        <v>2592.63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471257.3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201643.69999999998</v>
      </c>
      <c r="D53" s="95">
        <f>SUM('DOE25'!G90:G102)</f>
        <v>2650</v>
      </c>
      <c r="E53" s="95">
        <f>SUM('DOE25'!H90:H102)</f>
        <v>146592.32000000001</v>
      </c>
      <c r="F53" s="95">
        <f>SUM('DOE25'!I90:I102)</f>
        <v>0</v>
      </c>
      <c r="G53" s="95">
        <f>SUM('DOE25'!J90:J102)</f>
        <v>500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9401388.7499999981</v>
      </c>
      <c r="D54" s="130">
        <f>SUM(D49:D53)</f>
        <v>474343.61</v>
      </c>
      <c r="E54" s="130">
        <f>SUM(E49:E53)</f>
        <v>146592.32000000001</v>
      </c>
      <c r="F54" s="130">
        <f>SUM(F49:F53)</f>
        <v>709.97</v>
      </c>
      <c r="G54" s="130">
        <f>SUM(G49:G53)</f>
        <v>3092.63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21493705.75</v>
      </c>
      <c r="D55" s="22">
        <f>D48+D54</f>
        <v>474343.61</v>
      </c>
      <c r="E55" s="22">
        <f>E48+E54</f>
        <v>146592.32000000001</v>
      </c>
      <c r="F55" s="22">
        <f>F48+F54</f>
        <v>709.97</v>
      </c>
      <c r="G55" s="22">
        <f>G48+G54</f>
        <v>3092.63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2119020.4900000002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3431215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813001.51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6363237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1732532.58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167592.38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13050</v>
      </c>
      <c r="D69" s="95">
        <f>SUM('DOE25'!G123:G127)</f>
        <v>9952.9699999999993</v>
      </c>
      <c r="E69" s="95">
        <f>SUM('DOE25'!H123:H127)</f>
        <v>8921.09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1913174.96</v>
      </c>
      <c r="D70" s="130">
        <f>SUM(D64:D69)</f>
        <v>9952.9699999999993</v>
      </c>
      <c r="E70" s="130">
        <f>SUM(E64:E69)</f>
        <v>8921.09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8276411.96</v>
      </c>
      <c r="D73" s="130">
        <f>SUM(D71:D72)+D70+D62</f>
        <v>9952.9699999999993</v>
      </c>
      <c r="E73" s="130">
        <f>SUM(E71:E72)+E70+E62</f>
        <v>8921.09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159753.76</v>
      </c>
      <c r="D80" s="95">
        <f>SUM('DOE25'!G145:G153)</f>
        <v>361970.25</v>
      </c>
      <c r="E80" s="95">
        <f>SUM('DOE25'!H145:H153)</f>
        <v>1513147.03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1059.32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160813.08000000002</v>
      </c>
      <c r="D83" s="131">
        <f>SUM(D77:D82)</f>
        <v>361970.25</v>
      </c>
      <c r="E83" s="131">
        <f>SUM(E77:E82)</f>
        <v>1513147.03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407429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78156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859410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937566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407429</v>
      </c>
    </row>
    <row r="96" spans="1:7" ht="12.75" thickTop="1" thickBot="1" x14ac:dyDescent="0.25">
      <c r="A96" s="33" t="s">
        <v>797</v>
      </c>
      <c r="C96" s="86">
        <f>C55+C73+C83+C95</f>
        <v>30868496.789999999</v>
      </c>
      <c r="D96" s="86">
        <f>D55+D73+D83+D95</f>
        <v>846266.83</v>
      </c>
      <c r="E96" s="86">
        <f>E55+E73+E83+E95</f>
        <v>1668660.44</v>
      </c>
      <c r="F96" s="86">
        <f>F55+F73+F83+F95</f>
        <v>709.97</v>
      </c>
      <c r="G96" s="86">
        <f>G55+G73+G95</f>
        <v>410521.63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10644790.939999999</v>
      </c>
      <c r="D101" s="24" t="s">
        <v>312</v>
      </c>
      <c r="E101" s="95">
        <f>('DOE25'!L268)+('DOE25'!L287)+('DOE25'!L306)</f>
        <v>810138.57000000007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4387986.37</v>
      </c>
      <c r="D102" s="24" t="s">
        <v>312</v>
      </c>
      <c r="E102" s="95">
        <f>('DOE25'!L269)+('DOE25'!L288)+('DOE25'!L307)</f>
        <v>52260.45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654073.47</v>
      </c>
      <c r="D103" s="24" t="s">
        <v>312</v>
      </c>
      <c r="E103" s="95">
        <f>('DOE25'!L270)+('DOE25'!L289)+('DOE25'!L308)</f>
        <v>103409.41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455640.79</v>
      </c>
      <c r="D104" s="24" t="s">
        <v>312</v>
      </c>
      <c r="E104" s="95">
        <f>+('DOE25'!L271)+('DOE25'!L290)+('DOE25'!L309)</f>
        <v>141432.39000000001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16142491.569999998</v>
      </c>
      <c r="D107" s="86">
        <f>SUM(D101:D106)</f>
        <v>0</v>
      </c>
      <c r="E107" s="86">
        <f>SUM(E101:E106)</f>
        <v>1107240.82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1964749.54</v>
      </c>
      <c r="D110" s="24" t="s">
        <v>312</v>
      </c>
      <c r="E110" s="95">
        <f>+('DOE25'!L273)+('DOE25'!L292)+('DOE25'!L311)</f>
        <v>257849.94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580273.97000000009</v>
      </c>
      <c r="D111" s="24" t="s">
        <v>312</v>
      </c>
      <c r="E111" s="95">
        <f>+('DOE25'!L274)+('DOE25'!L293)+('DOE25'!L312)</f>
        <v>255502.73000000004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905187.58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1486591.9700000002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3351667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728994.95</v>
      </c>
      <c r="D116" s="24" t="s">
        <v>312</v>
      </c>
      <c r="E116" s="95">
        <f>+('DOE25'!L279)+('DOE25'!L298)+('DOE25'!L317)</f>
        <v>18831.61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1490.9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793032.3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9018955.9100000001</v>
      </c>
      <c r="D120" s="86">
        <f>SUM(D110:D119)</f>
        <v>793032.3</v>
      </c>
      <c r="E120" s="86">
        <f>SUM(E110:E119)</f>
        <v>532184.28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148856.93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3635000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1436532.5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937566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126153.01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283772.75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595.87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-3092.6300000000047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35672.67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5514634.1699999999</v>
      </c>
      <c r="D136" s="141">
        <f>SUM(D122:D135)</f>
        <v>0</v>
      </c>
      <c r="E136" s="141">
        <f>SUM(E122:E135)</f>
        <v>0</v>
      </c>
      <c r="F136" s="141">
        <f>SUM(F122:F135)</f>
        <v>148856.93</v>
      </c>
      <c r="G136" s="141">
        <f>SUM(G122:G135)</f>
        <v>937566</v>
      </c>
    </row>
    <row r="137" spans="1:9" ht="12.75" thickTop="1" thickBot="1" x14ac:dyDescent="0.25">
      <c r="A137" s="33" t="s">
        <v>267</v>
      </c>
      <c r="C137" s="86">
        <f>(C107+C120+C136)</f>
        <v>30676081.649999999</v>
      </c>
      <c r="D137" s="86">
        <f>(D107+D120+D136)</f>
        <v>793032.3</v>
      </c>
      <c r="E137" s="86">
        <f>(E107+E120+E136)</f>
        <v>1639425.1</v>
      </c>
      <c r="F137" s="86">
        <f>(F107+F120+F136)</f>
        <v>148856.93</v>
      </c>
      <c r="G137" s="86">
        <f>(G107+G120+G136)</f>
        <v>937566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20</v>
      </c>
      <c r="E143" s="153">
        <f>'DOE25'!I480</f>
        <v>5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7/89</v>
      </c>
      <c r="C144" s="152" t="str">
        <f>'DOE25'!G481</f>
        <v>7/90</v>
      </c>
      <c r="D144" s="152" t="str">
        <f>'DOE25'!H481</f>
        <v>12/03</v>
      </c>
      <c r="E144" s="152" t="str">
        <f>'DOE25'!I481</f>
        <v>12/06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7/2009</v>
      </c>
      <c r="C145" s="152" t="str">
        <f>'DOE25'!G482</f>
        <v>7/2010</v>
      </c>
      <c r="D145" s="152" t="str">
        <f>'DOE25'!H482</f>
        <v>1/2024</v>
      </c>
      <c r="E145" s="152" t="str">
        <f>'DOE25'!I482</f>
        <v>1/2012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4200000</v>
      </c>
      <c r="C146" s="137">
        <f>'DOE25'!G483</f>
        <v>2400000</v>
      </c>
      <c r="D146" s="137">
        <f>'DOE25'!H483</f>
        <v>42120000</v>
      </c>
      <c r="E146" s="137">
        <f>'DOE25'!I483</f>
        <v>2436000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6.7949999999999999</v>
      </c>
      <c r="C147" s="137">
        <f>'DOE25'!G484</f>
        <v>6.99</v>
      </c>
      <c r="D147" s="137">
        <f>'DOE25'!H484</f>
        <v>4</v>
      </c>
      <c r="E147" s="137">
        <f>'DOE25'!I484</f>
        <v>3.83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210000</v>
      </c>
      <c r="C148" s="137">
        <f>'DOE25'!G485</f>
        <v>240000</v>
      </c>
      <c r="D148" s="137">
        <f>'DOE25'!H485</f>
        <v>28675000</v>
      </c>
      <c r="E148" s="137">
        <f>'DOE25'!I485</f>
        <v>1460000</v>
      </c>
      <c r="F148" s="137">
        <f>'DOE25'!J485</f>
        <v>0</v>
      </c>
      <c r="G148" s="138">
        <f>SUM(B148:F148)</f>
        <v>30585000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210000</v>
      </c>
      <c r="C150" s="137">
        <f>'DOE25'!G487</f>
        <v>120000</v>
      </c>
      <c r="D150" s="137">
        <f>'DOE25'!H487</f>
        <v>2815000</v>
      </c>
      <c r="E150" s="137">
        <f>'DOE25'!I487</f>
        <v>490000</v>
      </c>
      <c r="F150" s="137">
        <f>'DOE25'!J487</f>
        <v>0</v>
      </c>
      <c r="G150" s="138">
        <f t="shared" si="0"/>
        <v>3635000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120000</v>
      </c>
      <c r="D151" s="137">
        <f>'DOE25'!H488</f>
        <v>25860000</v>
      </c>
      <c r="E151" s="137">
        <f>'DOE25'!I488</f>
        <v>970000</v>
      </c>
      <c r="F151" s="137">
        <f>'DOE25'!J488</f>
        <v>0</v>
      </c>
      <c r="G151" s="138">
        <f t="shared" si="0"/>
        <v>26950000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4260</v>
      </c>
      <c r="D152" s="137">
        <f>'DOE25'!H489</f>
        <v>8891867</v>
      </c>
      <c r="E152" s="137">
        <f>'DOE25'!I489</f>
        <v>70325</v>
      </c>
      <c r="F152" s="137">
        <f>'DOE25'!J489</f>
        <v>0</v>
      </c>
      <c r="G152" s="138">
        <f t="shared" si="0"/>
        <v>8966452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124260</v>
      </c>
      <c r="D153" s="137">
        <f>'DOE25'!H490</f>
        <v>34751867</v>
      </c>
      <c r="E153" s="137">
        <f>'DOE25'!I490</f>
        <v>1040325</v>
      </c>
      <c r="F153" s="137">
        <f>'DOE25'!J490</f>
        <v>0</v>
      </c>
      <c r="G153" s="138">
        <f t="shared" si="0"/>
        <v>35916452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120000</v>
      </c>
      <c r="D154" s="137">
        <f>'DOE25'!H491</f>
        <v>1850000</v>
      </c>
      <c r="E154" s="137">
        <f>'DOE25'!I491</f>
        <v>485000</v>
      </c>
      <c r="F154" s="137">
        <f>'DOE25'!J491</f>
        <v>0</v>
      </c>
      <c r="G154" s="138">
        <f t="shared" si="0"/>
        <v>2455000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4260</v>
      </c>
      <c r="D155" s="137">
        <f>'DOE25'!H492</f>
        <v>1205288</v>
      </c>
      <c r="E155" s="137">
        <f>'DOE25'!I492</f>
        <v>46075</v>
      </c>
      <c r="F155" s="137">
        <f>'DOE25'!J492</f>
        <v>0</v>
      </c>
      <c r="G155" s="138">
        <f t="shared" si="0"/>
        <v>1255623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124260</v>
      </c>
      <c r="D156" s="137">
        <f>'DOE25'!H493</f>
        <v>3055288</v>
      </c>
      <c r="E156" s="137">
        <f>'DOE25'!I493</f>
        <v>531075</v>
      </c>
      <c r="F156" s="137">
        <f>'DOE25'!J493</f>
        <v>0</v>
      </c>
      <c r="G156" s="138">
        <f t="shared" si="0"/>
        <v>3710623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B39C-43C7-4DF5-B574-F53B7B6D61ED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CONWAY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14795</v>
      </c>
    </row>
    <row r="5" spans="1:4" x14ac:dyDescent="0.2">
      <c r="B5" t="s">
        <v>735</v>
      </c>
      <c r="C5" s="179">
        <f>IF('DOE25'!G655+'DOE25'!G660=0,0,ROUND('DOE25'!G662,0))</f>
        <v>13876</v>
      </c>
    </row>
    <row r="6" spans="1:4" x14ac:dyDescent="0.2">
      <c r="B6" t="s">
        <v>62</v>
      </c>
      <c r="C6" s="179">
        <f>IF('DOE25'!H655+'DOE25'!H660=0,0,ROUND('DOE25'!H662,0))</f>
        <v>12509</v>
      </c>
    </row>
    <row r="7" spans="1:4" x14ac:dyDescent="0.2">
      <c r="B7" t="s">
        <v>736</v>
      </c>
      <c r="C7" s="179">
        <f>IF('DOE25'!I655+'DOE25'!I660=0,0,ROUND('DOE25'!I662,0))</f>
        <v>13594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11454930</v>
      </c>
      <c r="D10" s="182">
        <f>ROUND((C10/$C$28)*100,1)</f>
        <v>40.1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4440247</v>
      </c>
      <c r="D11" s="182">
        <f>ROUND((C11/$C$28)*100,1)</f>
        <v>15.5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757483</v>
      </c>
      <c r="D12" s="182">
        <f>ROUND((C12/$C$28)*100,1)</f>
        <v>2.6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597073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2222599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835777</v>
      </c>
      <c r="D16" s="182">
        <f t="shared" si="0"/>
        <v>2.9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906678</v>
      </c>
      <c r="D17" s="182">
        <f t="shared" si="0"/>
        <v>3.2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1486592</v>
      </c>
      <c r="D18" s="182">
        <f t="shared" si="0"/>
        <v>5.2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3351667</v>
      </c>
      <c r="D20" s="182">
        <f t="shared" si="0"/>
        <v>11.7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747827</v>
      </c>
      <c r="D21" s="182">
        <f t="shared" si="0"/>
        <v>2.6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1436533</v>
      </c>
      <c r="D25" s="182">
        <f t="shared" si="0"/>
        <v>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35672.67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319124.7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28592203.370000001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148857</v>
      </c>
    </row>
    <row r="30" spans="1:4" x14ac:dyDescent="0.2">
      <c r="B30" s="187" t="s">
        <v>760</v>
      </c>
      <c r="C30" s="180">
        <f>SUM(C28:C29)</f>
        <v>28741060.370000001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3635000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12092317</v>
      </c>
      <c r="D35" s="182">
        <f t="shared" ref="D35:D40" si="1">ROUND((C35/$C$41)*100,1)</f>
        <v>37.799999999999997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9552219.9799999967</v>
      </c>
      <c r="D36" s="182">
        <f t="shared" si="1"/>
        <v>29.9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5550235</v>
      </c>
      <c r="D37" s="182">
        <f t="shared" si="1"/>
        <v>17.399999999999999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2745051</v>
      </c>
      <c r="D38" s="182">
        <f t="shared" si="1"/>
        <v>8.6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2035930</v>
      </c>
      <c r="D39" s="182">
        <f t="shared" si="1"/>
        <v>6.4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31975752.979999997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1E2A-FD3F-40A1-88D7-51CFB346765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CONWAY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2010-10-14T13:02:16Z</cp:lastPrinted>
  <dcterms:created xsi:type="dcterms:W3CDTF">1997-12-04T19:04:30Z</dcterms:created>
  <dcterms:modified xsi:type="dcterms:W3CDTF">2025-01-02T14:22:41Z</dcterms:modified>
</cp:coreProperties>
</file>