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1CD42D04-CEE1-4A35-AD1F-27D4278F7757}" xr6:coauthVersionLast="47" xr6:coauthVersionMax="47" xr10:uidLastSave="{00000000-0000-0000-0000-000000000000}"/>
  <workbookProtection workbookPassword="B70A" lockStructure="1"/>
  <bookViews>
    <workbookView xWindow="3930" yWindow="3930" windowWidth="21600" windowHeight="11505" tabRatio="855" xr2:uid="{424A7ACF-BCFE-4072-AC03-2F729550684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0" i="1" l="1"/>
  <c r="I175" i="1"/>
  <c r="I9" i="1"/>
  <c r="F449" i="1"/>
  <c r="F432" i="1"/>
  <c r="K410" i="1"/>
  <c r="L410" i="1" s="1"/>
  <c r="F152" i="1"/>
  <c r="C80" i="2" s="1"/>
  <c r="F42" i="1"/>
  <c r="C41" i="2" s="1"/>
  <c r="G150" i="1"/>
  <c r="G154" i="1" s="1"/>
  <c r="G161" i="1" s="1"/>
  <c r="G89" i="1"/>
  <c r="G23" i="1"/>
  <c r="G13" i="1"/>
  <c r="H41" i="1"/>
  <c r="F37" i="1"/>
  <c r="G19" i="1"/>
  <c r="G608" i="1" s="1"/>
  <c r="J608" i="1" s="1"/>
  <c r="H350" i="1"/>
  <c r="L350" i="1" s="1"/>
  <c r="H70" i="1"/>
  <c r="H71" i="1" s="1"/>
  <c r="E49" i="2" s="1"/>
  <c r="E54" i="2" s="1"/>
  <c r="G271" i="1"/>
  <c r="G513" i="1" s="1"/>
  <c r="I271" i="1"/>
  <c r="F271" i="1"/>
  <c r="H271" i="1"/>
  <c r="F192" i="1"/>
  <c r="G192" i="1"/>
  <c r="H192" i="1"/>
  <c r="H513" i="1" s="1"/>
  <c r="I192" i="1"/>
  <c r="I513" i="1" s="1"/>
  <c r="H23" i="1"/>
  <c r="F23" i="1" s="1"/>
  <c r="H197" i="1"/>
  <c r="H199" i="1"/>
  <c r="L199" i="1" s="1"/>
  <c r="H190" i="1"/>
  <c r="H203" i="1" s="1"/>
  <c r="H147" i="1"/>
  <c r="D9" i="13"/>
  <c r="B19" i="12"/>
  <c r="H463" i="1"/>
  <c r="F190" i="1"/>
  <c r="C20" i="12"/>
  <c r="C19" i="12"/>
  <c r="C11" i="12"/>
  <c r="C10" i="12"/>
  <c r="C13" i="12" s="1"/>
  <c r="B11" i="12"/>
  <c r="B13" i="12" s="1"/>
  <c r="H516" i="1"/>
  <c r="G521" i="1"/>
  <c r="F521" i="1"/>
  <c r="K513" i="1"/>
  <c r="J513" i="1"/>
  <c r="K512" i="1"/>
  <c r="J512" i="1"/>
  <c r="I512" i="1"/>
  <c r="H512" i="1"/>
  <c r="G512" i="1"/>
  <c r="L512" i="1" s="1"/>
  <c r="F540" i="1" s="1"/>
  <c r="F513" i="1"/>
  <c r="F512" i="1"/>
  <c r="F511" i="1"/>
  <c r="H572" i="1"/>
  <c r="H566" i="1"/>
  <c r="I566" i="1" s="1"/>
  <c r="H565" i="1"/>
  <c r="I565" i="1" s="1"/>
  <c r="G601" i="1"/>
  <c r="G604" i="1" s="1"/>
  <c r="H200" i="1"/>
  <c r="H236" i="1"/>
  <c r="H581" i="1"/>
  <c r="K197" i="1"/>
  <c r="H594" i="1"/>
  <c r="H146" i="1"/>
  <c r="H151" i="1"/>
  <c r="L271" i="1"/>
  <c r="H154" i="1"/>
  <c r="K269" i="1"/>
  <c r="K511" i="1" s="1"/>
  <c r="K268" i="1"/>
  <c r="K273" i="1"/>
  <c r="L273" i="1" s="1"/>
  <c r="E110" i="2" s="1"/>
  <c r="K274" i="1"/>
  <c r="J274" i="1"/>
  <c r="L274" i="1" s="1"/>
  <c r="G274" i="1"/>
  <c r="F274" i="1"/>
  <c r="H274" i="1"/>
  <c r="I273" i="1"/>
  <c r="H273" i="1"/>
  <c r="G273" i="1"/>
  <c r="F273" i="1"/>
  <c r="H269" i="1"/>
  <c r="L269" i="1" s="1"/>
  <c r="E102" i="2" s="1"/>
  <c r="J268" i="1"/>
  <c r="J282" i="1" s="1"/>
  <c r="G268" i="1"/>
  <c r="G282" i="1" s="1"/>
  <c r="G330" i="1" s="1"/>
  <c r="G344" i="1" s="1"/>
  <c r="F268" i="1"/>
  <c r="L268" i="1" s="1"/>
  <c r="K255" i="1"/>
  <c r="H642" i="1" s="1"/>
  <c r="G175" i="1"/>
  <c r="G184" i="1" s="1"/>
  <c r="G103" i="1"/>
  <c r="L200" i="1"/>
  <c r="L192" i="1"/>
  <c r="L236" i="1"/>
  <c r="H652" i="1" s="1"/>
  <c r="F71" i="1"/>
  <c r="F175" i="1"/>
  <c r="J455" i="1"/>
  <c r="H455" i="1"/>
  <c r="G455" i="1"/>
  <c r="K258" i="1"/>
  <c r="I199" i="1"/>
  <c r="G199" i="1"/>
  <c r="F199" i="1"/>
  <c r="G197" i="1"/>
  <c r="F197" i="1"/>
  <c r="L197" i="1" s="1"/>
  <c r="H196" i="1"/>
  <c r="K196" i="1"/>
  <c r="G8" i="13" s="1"/>
  <c r="I196" i="1"/>
  <c r="G196" i="1"/>
  <c r="L196" i="1" s="1"/>
  <c r="F196" i="1"/>
  <c r="I195" i="1"/>
  <c r="H195" i="1"/>
  <c r="G195" i="1"/>
  <c r="F195" i="1"/>
  <c r="I194" i="1"/>
  <c r="G194" i="1"/>
  <c r="F194" i="1"/>
  <c r="G190" i="1"/>
  <c r="G511" i="1" s="1"/>
  <c r="J190" i="1"/>
  <c r="J511" i="1" s="1"/>
  <c r="J514" i="1" s="1"/>
  <c r="J535" i="1" s="1"/>
  <c r="I190" i="1"/>
  <c r="I511" i="1" s="1"/>
  <c r="I514" i="1" s="1"/>
  <c r="I535" i="1" s="1"/>
  <c r="H226" i="1"/>
  <c r="H239" i="1" s="1"/>
  <c r="K189" i="1"/>
  <c r="J189" i="1"/>
  <c r="H189" i="1"/>
  <c r="H225" i="1"/>
  <c r="I189" i="1"/>
  <c r="G189" i="1"/>
  <c r="F189" i="1"/>
  <c r="F49" i="1"/>
  <c r="F9" i="1"/>
  <c r="C60" i="2"/>
  <c r="B2" i="13"/>
  <c r="F8" i="13"/>
  <c r="L214" i="1"/>
  <c r="L232" i="1"/>
  <c r="D39" i="13"/>
  <c r="F13" i="13"/>
  <c r="G13" i="13"/>
  <c r="L198" i="1"/>
  <c r="L216" i="1"/>
  <c r="C114" i="2" s="1"/>
  <c r="L234" i="1"/>
  <c r="E13" i="13"/>
  <c r="C13" i="13" s="1"/>
  <c r="F16" i="13"/>
  <c r="G16" i="13"/>
  <c r="L201" i="1"/>
  <c r="L219" i="1"/>
  <c r="L237" i="1"/>
  <c r="E16" i="13" s="1"/>
  <c r="C16" i="13" s="1"/>
  <c r="G5" i="13"/>
  <c r="L189" i="1"/>
  <c r="C101" i="2" s="1"/>
  <c r="L191" i="1"/>
  <c r="C12" i="10" s="1"/>
  <c r="L207" i="1"/>
  <c r="L208" i="1"/>
  <c r="L209" i="1"/>
  <c r="L210" i="1"/>
  <c r="L225" i="1"/>
  <c r="L227" i="1"/>
  <c r="L228" i="1"/>
  <c r="F6" i="13"/>
  <c r="G6" i="13"/>
  <c r="L194" i="1"/>
  <c r="D6" i="13" s="1"/>
  <c r="C6" i="13" s="1"/>
  <c r="L212" i="1"/>
  <c r="L230" i="1"/>
  <c r="F7" i="13"/>
  <c r="G7" i="13"/>
  <c r="L195" i="1"/>
  <c r="L213" i="1"/>
  <c r="D7" i="13" s="1"/>
  <c r="C7" i="13" s="1"/>
  <c r="L231" i="1"/>
  <c r="F12" i="13"/>
  <c r="G12" i="13"/>
  <c r="L215" i="1"/>
  <c r="L221" i="1" s="1"/>
  <c r="G650" i="1" s="1"/>
  <c r="L233" i="1"/>
  <c r="F14" i="13"/>
  <c r="G14" i="13"/>
  <c r="L217" i="1"/>
  <c r="L235" i="1"/>
  <c r="F15" i="13"/>
  <c r="G15" i="13"/>
  <c r="L218" i="1"/>
  <c r="G652" i="1" s="1"/>
  <c r="D15" i="13"/>
  <c r="C15" i="13" s="1"/>
  <c r="F17" i="13"/>
  <c r="G17" i="13"/>
  <c r="L243" i="1"/>
  <c r="D17" i="13" s="1"/>
  <c r="C17" i="13" s="1"/>
  <c r="F18" i="13"/>
  <c r="G18" i="13"/>
  <c r="L244" i="1"/>
  <c r="D18" i="13"/>
  <c r="F19" i="13"/>
  <c r="G19" i="13"/>
  <c r="L245" i="1"/>
  <c r="C24" i="10" s="1"/>
  <c r="D19" i="13"/>
  <c r="F29" i="13"/>
  <c r="G29" i="13"/>
  <c r="L351" i="1"/>
  <c r="L352" i="1"/>
  <c r="I359" i="1"/>
  <c r="J301" i="1"/>
  <c r="J320" i="1"/>
  <c r="K301" i="1"/>
  <c r="K320" i="1"/>
  <c r="L270" i="1"/>
  <c r="L275" i="1"/>
  <c r="L276" i="1"/>
  <c r="L277" i="1"/>
  <c r="L278" i="1"/>
  <c r="L279" i="1"/>
  <c r="F652" i="1" s="1"/>
  <c r="L280" i="1"/>
  <c r="E117" i="2" s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1" i="1"/>
  <c r="L306" i="1"/>
  <c r="L307" i="1"/>
  <c r="L308" i="1"/>
  <c r="L309" i="1"/>
  <c r="L311" i="1"/>
  <c r="L320" i="1" s="1"/>
  <c r="L312" i="1"/>
  <c r="L313" i="1"/>
  <c r="L314" i="1"/>
  <c r="L315" i="1"/>
  <c r="L316" i="1"/>
  <c r="E115" i="2" s="1"/>
  <c r="L317" i="1"/>
  <c r="L318" i="1"/>
  <c r="L325" i="1"/>
  <c r="L326" i="1"/>
  <c r="L327" i="1"/>
  <c r="L252" i="1"/>
  <c r="H25" i="13" s="1"/>
  <c r="L253" i="1"/>
  <c r="C25" i="10" s="1"/>
  <c r="L333" i="1"/>
  <c r="L343" i="1" s="1"/>
  <c r="L334" i="1"/>
  <c r="E124" i="2" s="1"/>
  <c r="L247" i="1"/>
  <c r="L328" i="1"/>
  <c r="F22" i="13"/>
  <c r="C22" i="13"/>
  <c r="C19" i="13"/>
  <c r="C18" i="13"/>
  <c r="C11" i="13"/>
  <c r="C10" i="13"/>
  <c r="C9" i="13"/>
  <c r="L353" i="1"/>
  <c r="B4" i="12"/>
  <c r="B36" i="12"/>
  <c r="C36" i="12"/>
  <c r="A40" i="12" s="1"/>
  <c r="B40" i="12"/>
  <c r="C40" i="12"/>
  <c r="B27" i="12"/>
  <c r="A31" i="12" s="1"/>
  <c r="C27" i="12"/>
  <c r="B31" i="12"/>
  <c r="C31" i="12"/>
  <c r="B18" i="12"/>
  <c r="B22" i="12"/>
  <c r="C18" i="12"/>
  <c r="C22" i="12"/>
  <c r="A22" i="12"/>
  <c r="B1" i="12"/>
  <c r="L379" i="1"/>
  <c r="L380" i="1"/>
  <c r="L381" i="1"/>
  <c r="L382" i="1"/>
  <c r="L383" i="1"/>
  <c r="L385" i="1" s="1"/>
  <c r="L384" i="1"/>
  <c r="L387" i="1"/>
  <c r="L393" i="1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L602" i="1"/>
  <c r="G653" i="1"/>
  <c r="L601" i="1"/>
  <c r="F653" i="1" s="1"/>
  <c r="C40" i="10"/>
  <c r="F52" i="1"/>
  <c r="F104" i="1" s="1"/>
  <c r="G52" i="1"/>
  <c r="G104" i="1" s="1"/>
  <c r="H52" i="1"/>
  <c r="H104" i="1" s="1"/>
  <c r="I52" i="1"/>
  <c r="I104" i="1" s="1"/>
  <c r="F86" i="1"/>
  <c r="F103" i="1"/>
  <c r="H86" i="1"/>
  <c r="H103" i="1"/>
  <c r="I103" i="1"/>
  <c r="J103" i="1"/>
  <c r="J104" i="1" s="1"/>
  <c r="C37" i="10"/>
  <c r="F113" i="1"/>
  <c r="F128" i="1"/>
  <c r="F132" i="1" s="1"/>
  <c r="G113" i="1"/>
  <c r="H113" i="1"/>
  <c r="H128" i="1"/>
  <c r="H132" i="1"/>
  <c r="I113" i="1"/>
  <c r="I132" i="1" s="1"/>
  <c r="I128" i="1"/>
  <c r="J113" i="1"/>
  <c r="J132" i="1" s="1"/>
  <c r="J128" i="1"/>
  <c r="F139" i="1"/>
  <c r="G139" i="1"/>
  <c r="H139" i="1"/>
  <c r="E77" i="2" s="1"/>
  <c r="E83" i="2" s="1"/>
  <c r="I139" i="1"/>
  <c r="I161" i="1" s="1"/>
  <c r="I154" i="1"/>
  <c r="C13" i="10"/>
  <c r="L242" i="1"/>
  <c r="L324" i="1"/>
  <c r="C23" i="10"/>
  <c r="L246" i="1"/>
  <c r="L260" i="1"/>
  <c r="C26" i="10" s="1"/>
  <c r="L261" i="1"/>
  <c r="C135" i="2" s="1"/>
  <c r="L341" i="1"/>
  <c r="L342" i="1"/>
  <c r="E135" i="2" s="1"/>
  <c r="I655" i="1"/>
  <c r="I660" i="1"/>
  <c r="I659" i="1"/>
  <c r="C6" i="10"/>
  <c r="C5" i="10"/>
  <c r="C42" i="10"/>
  <c r="C32" i="10"/>
  <c r="L366" i="1"/>
  <c r="L374" i="1" s="1"/>
  <c r="G626" i="1" s="1"/>
  <c r="L367" i="1"/>
  <c r="L368" i="1"/>
  <c r="L369" i="1"/>
  <c r="L370" i="1"/>
  <c r="L371" i="1"/>
  <c r="L372" i="1"/>
  <c r="B2" i="10"/>
  <c r="L336" i="1"/>
  <c r="E126" i="2" s="1"/>
  <c r="L337" i="1"/>
  <c r="E127" i="2" s="1"/>
  <c r="L338" i="1"/>
  <c r="E129" i="2" s="1"/>
  <c r="L339" i="1"/>
  <c r="K343" i="1"/>
  <c r="L517" i="1"/>
  <c r="G540" i="1" s="1"/>
  <c r="L518" i="1"/>
  <c r="G541" i="1" s="1"/>
  <c r="L521" i="1"/>
  <c r="L524" i="1" s="1"/>
  <c r="H539" i="1"/>
  <c r="L522" i="1"/>
  <c r="H540" i="1" s="1"/>
  <c r="L523" i="1"/>
  <c r="H541" i="1" s="1"/>
  <c r="L526" i="1"/>
  <c r="I539" i="1" s="1"/>
  <c r="L527" i="1"/>
  <c r="I540" i="1" s="1"/>
  <c r="L528" i="1"/>
  <c r="I541" i="1"/>
  <c r="L531" i="1"/>
  <c r="J539" i="1" s="1"/>
  <c r="L532" i="1"/>
  <c r="J540" i="1" s="1"/>
  <c r="L533" i="1"/>
  <c r="J541" i="1"/>
  <c r="E123" i="2"/>
  <c r="J262" i="1"/>
  <c r="I262" i="1"/>
  <c r="H262" i="1"/>
  <c r="G262" i="1"/>
  <c r="F262" i="1"/>
  <c r="C123" i="2"/>
  <c r="A1" i="2"/>
  <c r="A2" i="2"/>
  <c r="C9" i="2"/>
  <c r="C19" i="2" s="1"/>
  <c r="D9" i="2"/>
  <c r="D19" i="2" s="1"/>
  <c r="E9" i="2"/>
  <c r="E19" i="2" s="1"/>
  <c r="F9" i="2"/>
  <c r="I431" i="1"/>
  <c r="J9" i="1" s="1"/>
  <c r="C10" i="2"/>
  <c r="D10" i="2"/>
  <c r="E10" i="2"/>
  <c r="F10" i="2"/>
  <c r="I432" i="1"/>
  <c r="J10" i="1"/>
  <c r="G10" i="2"/>
  <c r="C11" i="2"/>
  <c r="C12" i="2"/>
  <c r="D12" i="2"/>
  <c r="E12" i="2"/>
  <c r="F12" i="2"/>
  <c r="F19" i="2" s="1"/>
  <c r="I433" i="1"/>
  <c r="I438" i="1" s="1"/>
  <c r="G632" i="1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D22" i="2"/>
  <c r="E22" i="2"/>
  <c r="F22" i="2"/>
  <c r="I440" i="1"/>
  <c r="J23" i="1" s="1"/>
  <c r="C23" i="2"/>
  <c r="D23" i="2"/>
  <c r="E23" i="2"/>
  <c r="F23" i="2"/>
  <c r="F32" i="2" s="1"/>
  <c r="I441" i="1"/>
  <c r="I444" i="1" s="1"/>
  <c r="J24" i="1"/>
  <c r="G23" i="2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D32" i="2" s="1"/>
  <c r="E30" i="2"/>
  <c r="F30" i="2"/>
  <c r="C31" i="2"/>
  <c r="D31" i="2"/>
  <c r="E31" i="2"/>
  <c r="F31" i="2"/>
  <c r="I443" i="1"/>
  <c r="J32" i="1" s="1"/>
  <c r="G31" i="2" s="1"/>
  <c r="E32" i="2"/>
  <c r="C34" i="2"/>
  <c r="D34" i="2"/>
  <c r="D42" i="2" s="1"/>
  <c r="E34" i="2"/>
  <c r="E42" i="2" s="1"/>
  <c r="E43" i="2" s="1"/>
  <c r="F34" i="2"/>
  <c r="C35" i="2"/>
  <c r="D35" i="2"/>
  <c r="E35" i="2"/>
  <c r="F35" i="2"/>
  <c r="C36" i="2"/>
  <c r="C42" i="2" s="1"/>
  <c r="D36" i="2"/>
  <c r="E36" i="2"/>
  <c r="F36" i="2"/>
  <c r="I446" i="1"/>
  <c r="J37" i="1"/>
  <c r="G36" i="2"/>
  <c r="C37" i="2"/>
  <c r="D37" i="2"/>
  <c r="E37" i="2"/>
  <c r="F37" i="2"/>
  <c r="I447" i="1"/>
  <c r="J38" i="1"/>
  <c r="G37" i="2"/>
  <c r="C38" i="2"/>
  <c r="D38" i="2"/>
  <c r="E38" i="2"/>
  <c r="F38" i="2"/>
  <c r="I448" i="1"/>
  <c r="J40" i="1" s="1"/>
  <c r="G39" i="2" s="1"/>
  <c r="C40" i="2"/>
  <c r="D40" i="2"/>
  <c r="E40" i="2"/>
  <c r="F40" i="2"/>
  <c r="F42" i="2" s="1"/>
  <c r="I449" i="1"/>
  <c r="J41" i="1" s="1"/>
  <c r="G40" i="2" s="1"/>
  <c r="D41" i="2"/>
  <c r="E41" i="2"/>
  <c r="F41" i="2"/>
  <c r="C48" i="2"/>
  <c r="C55" i="2" s="1"/>
  <c r="D48" i="2"/>
  <c r="D55" i="2" s="1"/>
  <c r="E48" i="2"/>
  <c r="E55" i="2" s="1"/>
  <c r="F48" i="2"/>
  <c r="C49" i="2"/>
  <c r="C50" i="2"/>
  <c r="C54" i="2" s="1"/>
  <c r="E50" i="2"/>
  <c r="C51" i="2"/>
  <c r="D51" i="2"/>
  <c r="E51" i="2"/>
  <c r="F51" i="2"/>
  <c r="F54" i="2" s="1"/>
  <c r="F55" i="2" s="1"/>
  <c r="D52" i="2"/>
  <c r="C53" i="2"/>
  <c r="D53" i="2"/>
  <c r="E53" i="2"/>
  <c r="F53" i="2"/>
  <c r="D54" i="2"/>
  <c r="C58" i="2"/>
  <c r="C62" i="2" s="1"/>
  <c r="C59" i="2"/>
  <c r="C61" i="2"/>
  <c r="D61" i="2"/>
  <c r="D62" i="2" s="1"/>
  <c r="E61" i="2"/>
  <c r="E62" i="2" s="1"/>
  <c r="F61" i="2"/>
  <c r="F62" i="2" s="1"/>
  <c r="G61" i="2"/>
  <c r="G62" i="2" s="1"/>
  <c r="C64" i="2"/>
  <c r="F64" i="2"/>
  <c r="C65" i="2"/>
  <c r="F65" i="2"/>
  <c r="C66" i="2"/>
  <c r="C70" i="2" s="1"/>
  <c r="C73" i="2" s="1"/>
  <c r="C67" i="2"/>
  <c r="C68" i="2"/>
  <c r="E68" i="2"/>
  <c r="F68" i="2"/>
  <c r="C69" i="2"/>
  <c r="E69" i="2"/>
  <c r="F69" i="2"/>
  <c r="G69" i="2"/>
  <c r="E70" i="2"/>
  <c r="F70" i="2"/>
  <c r="F73" i="2" s="1"/>
  <c r="G70" i="2"/>
  <c r="G73" i="2" s="1"/>
  <c r="C71" i="2"/>
  <c r="D71" i="2"/>
  <c r="E71" i="2"/>
  <c r="C72" i="2"/>
  <c r="E72" i="2"/>
  <c r="C77" i="2"/>
  <c r="C83" i="2" s="1"/>
  <c r="D77" i="2"/>
  <c r="C79" i="2"/>
  <c r="E79" i="2"/>
  <c r="F79" i="2"/>
  <c r="E80" i="2"/>
  <c r="F80" i="2"/>
  <c r="C81" i="2"/>
  <c r="D81" i="2"/>
  <c r="E81" i="2"/>
  <c r="F81" i="2"/>
  <c r="C82" i="2"/>
  <c r="C85" i="2"/>
  <c r="C95" i="2" s="1"/>
  <c r="F85" i="2"/>
  <c r="C86" i="2"/>
  <c r="F86" i="2"/>
  <c r="F95" i="2" s="1"/>
  <c r="D88" i="2"/>
  <c r="D95" i="2" s="1"/>
  <c r="E88" i="2"/>
  <c r="E95" i="2" s="1"/>
  <c r="F88" i="2"/>
  <c r="G88" i="2"/>
  <c r="C89" i="2"/>
  <c r="D89" i="2"/>
  <c r="E89" i="2"/>
  <c r="F89" i="2"/>
  <c r="G89" i="2"/>
  <c r="G95" i="2" s="1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3" i="2"/>
  <c r="C104" i="2"/>
  <c r="E104" i="2"/>
  <c r="C105" i="2"/>
  <c r="E105" i="2"/>
  <c r="C106" i="2"/>
  <c r="E106" i="2"/>
  <c r="D107" i="2"/>
  <c r="F107" i="2"/>
  <c r="G107" i="2"/>
  <c r="C111" i="2"/>
  <c r="E112" i="2"/>
  <c r="E113" i="2"/>
  <c r="E114" i="2"/>
  <c r="C117" i="2"/>
  <c r="F120" i="2"/>
  <c r="G120" i="2"/>
  <c r="C122" i="2"/>
  <c r="E122" i="2"/>
  <c r="D126" i="2"/>
  <c r="F126" i="2"/>
  <c r="K411" i="1"/>
  <c r="K426" i="1" s="1"/>
  <c r="G126" i="2" s="1"/>
  <c r="G136" i="2" s="1"/>
  <c r="K419" i="1"/>
  <c r="K425" i="1"/>
  <c r="L256" i="1"/>
  <c r="C128" i="2" s="1"/>
  <c r="L257" i="1"/>
  <c r="C129" i="2"/>
  <c r="C134" i="2"/>
  <c r="E134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F490" i="1"/>
  <c r="B153" i="2"/>
  <c r="G490" i="1"/>
  <c r="C153" i="2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G155" i="2" s="1"/>
  <c r="F155" i="2"/>
  <c r="F493" i="1"/>
  <c r="K493" i="1" s="1"/>
  <c r="B156" i="2"/>
  <c r="G156" i="2" s="1"/>
  <c r="G493" i="1"/>
  <c r="C156" i="2"/>
  <c r="H493" i="1"/>
  <c r="D156" i="2" s="1"/>
  <c r="I493" i="1"/>
  <c r="E156" i="2" s="1"/>
  <c r="J493" i="1"/>
  <c r="F156" i="2"/>
  <c r="F19" i="1"/>
  <c r="H19" i="1"/>
  <c r="I19" i="1"/>
  <c r="G610" i="1" s="1"/>
  <c r="G33" i="1"/>
  <c r="G44" i="1" s="1"/>
  <c r="H608" i="1" s="1"/>
  <c r="H33" i="1"/>
  <c r="I33" i="1"/>
  <c r="G43" i="1"/>
  <c r="H43" i="1"/>
  <c r="I43" i="1"/>
  <c r="H44" i="1"/>
  <c r="I44" i="1"/>
  <c r="H610" i="1" s="1"/>
  <c r="F169" i="1"/>
  <c r="F184" i="1" s="1"/>
  <c r="I169" i="1"/>
  <c r="I184" i="1" s="1"/>
  <c r="I458" i="1" s="1"/>
  <c r="H175" i="1"/>
  <c r="J175" i="1"/>
  <c r="F180" i="1"/>
  <c r="G180" i="1"/>
  <c r="H180" i="1"/>
  <c r="H184" i="1"/>
  <c r="J184" i="1"/>
  <c r="F203" i="1"/>
  <c r="F249" i="1" s="1"/>
  <c r="F263" i="1" s="1"/>
  <c r="F221" i="1"/>
  <c r="G221" i="1"/>
  <c r="H221" i="1"/>
  <c r="I221" i="1"/>
  <c r="J221" i="1"/>
  <c r="K221" i="1"/>
  <c r="F239" i="1"/>
  <c r="G239" i="1"/>
  <c r="I239" i="1"/>
  <c r="J239" i="1"/>
  <c r="K239" i="1"/>
  <c r="F248" i="1"/>
  <c r="L248" i="1" s="1"/>
  <c r="G248" i="1"/>
  <c r="H248" i="1"/>
  <c r="I248" i="1"/>
  <c r="J248" i="1"/>
  <c r="K248" i="1"/>
  <c r="H282" i="1"/>
  <c r="I282" i="1"/>
  <c r="F301" i="1"/>
  <c r="G301" i="1"/>
  <c r="H301" i="1"/>
  <c r="I301" i="1"/>
  <c r="F320" i="1"/>
  <c r="G320" i="1"/>
  <c r="H320" i="1"/>
  <c r="H330" i="1" s="1"/>
  <c r="H344" i="1" s="1"/>
  <c r="I320" i="1"/>
  <c r="F329" i="1"/>
  <c r="G329" i="1"/>
  <c r="H329" i="1"/>
  <c r="L329" i="1" s="1"/>
  <c r="I329" i="1"/>
  <c r="J329" i="1"/>
  <c r="K329" i="1"/>
  <c r="I330" i="1"/>
  <c r="I344" i="1" s="1"/>
  <c r="F354" i="1"/>
  <c r="G354" i="1"/>
  <c r="H354" i="1"/>
  <c r="I354" i="1"/>
  <c r="G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I462" i="1" s="1"/>
  <c r="F385" i="1"/>
  <c r="G385" i="1"/>
  <c r="H385" i="1"/>
  <c r="I385" i="1"/>
  <c r="F393" i="1"/>
  <c r="G393" i="1"/>
  <c r="H393" i="1"/>
  <c r="H400" i="1" s="1"/>
  <c r="H634" i="1" s="1"/>
  <c r="I393" i="1"/>
  <c r="I400" i="1" s="1"/>
  <c r="F399" i="1"/>
  <c r="F400" i="1" s="1"/>
  <c r="H633" i="1" s="1"/>
  <c r="J633" i="1" s="1"/>
  <c r="G399" i="1"/>
  <c r="H399" i="1"/>
  <c r="I399" i="1"/>
  <c r="G400" i="1"/>
  <c r="L405" i="1"/>
  <c r="L411" i="1" s="1"/>
  <c r="L406" i="1"/>
  <c r="L407" i="1"/>
  <c r="L408" i="1"/>
  <c r="L409" i="1"/>
  <c r="F411" i="1"/>
  <c r="G411" i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G426" i="1" s="1"/>
  <c r="H419" i="1"/>
  <c r="I419" i="1"/>
  <c r="J419" i="1"/>
  <c r="J426" i="1" s="1"/>
  <c r="L421" i="1"/>
  <c r="L425" i="1" s="1"/>
  <c r="L422" i="1"/>
  <c r="L423" i="1"/>
  <c r="L424" i="1"/>
  <c r="F425" i="1"/>
  <c r="F426" i="1" s="1"/>
  <c r="G425" i="1"/>
  <c r="H425" i="1"/>
  <c r="I425" i="1"/>
  <c r="J425" i="1"/>
  <c r="H426" i="1"/>
  <c r="F438" i="1"/>
  <c r="G629" i="1" s="1"/>
  <c r="J629" i="1" s="1"/>
  <c r="G438" i="1"/>
  <c r="G630" i="1" s="1"/>
  <c r="H438" i="1"/>
  <c r="F444" i="1"/>
  <c r="G444" i="1"/>
  <c r="H444" i="1"/>
  <c r="H451" i="1" s="1"/>
  <c r="H631" i="1" s="1"/>
  <c r="F450" i="1"/>
  <c r="G450" i="1"/>
  <c r="H450" i="1"/>
  <c r="F451" i="1"/>
  <c r="G451" i="1"/>
  <c r="H630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K514" i="1"/>
  <c r="K535" i="1" s="1"/>
  <c r="F519" i="1"/>
  <c r="G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48" i="1"/>
  <c r="L549" i="1"/>
  <c r="F550" i="1"/>
  <c r="G550" i="1"/>
  <c r="G561" i="1" s="1"/>
  <c r="H550" i="1"/>
  <c r="I550" i="1"/>
  <c r="J550" i="1"/>
  <c r="K550" i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F561" i="1" s="1"/>
  <c r="G560" i="1"/>
  <c r="H560" i="1"/>
  <c r="I560" i="1"/>
  <c r="J560" i="1"/>
  <c r="K560" i="1"/>
  <c r="H561" i="1"/>
  <c r="I561" i="1"/>
  <c r="J561" i="1"/>
  <c r="K561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H639" i="1" s="1"/>
  <c r="I588" i="1"/>
  <c r="H640" i="1" s="1"/>
  <c r="J588" i="1"/>
  <c r="H641" i="1" s="1"/>
  <c r="K592" i="1"/>
  <c r="K593" i="1"/>
  <c r="K594" i="1"/>
  <c r="K595" i="1" s="1"/>
  <c r="G638" i="1" s="1"/>
  <c r="H595" i="1"/>
  <c r="I595" i="1"/>
  <c r="J595" i="1"/>
  <c r="F604" i="1"/>
  <c r="H604" i="1"/>
  <c r="I604" i="1"/>
  <c r="J604" i="1"/>
  <c r="K604" i="1"/>
  <c r="G607" i="1"/>
  <c r="G609" i="1"/>
  <c r="H609" i="1"/>
  <c r="J609" i="1"/>
  <c r="G613" i="1"/>
  <c r="G614" i="1"/>
  <c r="G615" i="1"/>
  <c r="H629" i="1"/>
  <c r="G631" i="1"/>
  <c r="J631" i="1" s="1"/>
  <c r="G633" i="1"/>
  <c r="G634" i="1"/>
  <c r="J634" i="1" s="1"/>
  <c r="G635" i="1"/>
  <c r="J635" i="1" s="1"/>
  <c r="H635" i="1"/>
  <c r="H637" i="1"/>
  <c r="G639" i="1"/>
  <c r="G642" i="1"/>
  <c r="J642" i="1" s="1"/>
  <c r="G643" i="1"/>
  <c r="J643" i="1" s="1"/>
  <c r="H643" i="1"/>
  <c r="G644" i="1"/>
  <c r="J644" i="1" s="1"/>
  <c r="H644" i="1"/>
  <c r="G645" i="1"/>
  <c r="H645" i="1"/>
  <c r="J645" i="1"/>
  <c r="J639" i="1" l="1"/>
  <c r="I185" i="1"/>
  <c r="G620" i="1" s="1"/>
  <c r="J458" i="1"/>
  <c r="C131" i="2"/>
  <c r="F43" i="2"/>
  <c r="H185" i="1"/>
  <c r="G96" i="2"/>
  <c r="C16" i="10"/>
  <c r="E111" i="2"/>
  <c r="J33" i="1"/>
  <c r="G22" i="2"/>
  <c r="G32" i="2" s="1"/>
  <c r="J462" i="1"/>
  <c r="L426" i="1"/>
  <c r="G628" i="1" s="1"/>
  <c r="J610" i="1"/>
  <c r="I542" i="1"/>
  <c r="C130" i="2"/>
  <c r="L400" i="1"/>
  <c r="E101" i="2"/>
  <c r="E107" i="2" s="1"/>
  <c r="C10" i="10"/>
  <c r="L282" i="1"/>
  <c r="H33" i="13"/>
  <c r="C25" i="13"/>
  <c r="H626" i="1"/>
  <c r="J626" i="1" s="1"/>
  <c r="I464" i="1"/>
  <c r="I460" i="1"/>
  <c r="I466" i="1" s="1"/>
  <c r="H615" i="1" s="1"/>
  <c r="J615" i="1" s="1"/>
  <c r="H620" i="1"/>
  <c r="J330" i="1"/>
  <c r="J344" i="1" s="1"/>
  <c r="F31" i="13"/>
  <c r="G153" i="2"/>
  <c r="G9" i="2"/>
  <c r="J19" i="1"/>
  <c r="G611" i="1" s="1"/>
  <c r="H542" i="1"/>
  <c r="I652" i="1"/>
  <c r="E8" i="13"/>
  <c r="C17" i="10"/>
  <c r="C112" i="2"/>
  <c r="L513" i="1"/>
  <c r="F541" i="1" s="1"/>
  <c r="K541" i="1" s="1"/>
  <c r="J630" i="1"/>
  <c r="J624" i="1"/>
  <c r="E96" i="2"/>
  <c r="J43" i="1"/>
  <c r="D43" i="2"/>
  <c r="E136" i="2"/>
  <c r="J185" i="1"/>
  <c r="H249" i="1"/>
  <c r="H263" i="1" s="1"/>
  <c r="E73" i="2"/>
  <c r="L516" i="1"/>
  <c r="H519" i="1"/>
  <c r="C115" i="2"/>
  <c r="D14" i="13"/>
  <c r="C14" i="13" s="1"/>
  <c r="C20" i="10"/>
  <c r="L354" i="1"/>
  <c r="D29" i="13"/>
  <c r="C29" i="13" s="1"/>
  <c r="F651" i="1"/>
  <c r="I651" i="1" s="1"/>
  <c r="H651" i="1"/>
  <c r="G651" i="1"/>
  <c r="G654" i="1" s="1"/>
  <c r="D119" i="2"/>
  <c r="D120" i="2" s="1"/>
  <c r="D137" i="2" s="1"/>
  <c r="C96" i="2"/>
  <c r="G514" i="1"/>
  <c r="G535" i="1" s="1"/>
  <c r="L561" i="1"/>
  <c r="C113" i="2"/>
  <c r="D12" i="13"/>
  <c r="C12" i="13" s="1"/>
  <c r="C18" i="10"/>
  <c r="C22" i="2"/>
  <c r="C32" i="2" s="1"/>
  <c r="C43" i="2" s="1"/>
  <c r="F33" i="1"/>
  <c r="G137" i="2"/>
  <c r="D83" i="2"/>
  <c r="F96" i="2"/>
  <c r="G42" i="2"/>
  <c r="J542" i="1"/>
  <c r="K540" i="1"/>
  <c r="G641" i="1"/>
  <c r="J641" i="1" s="1"/>
  <c r="I450" i="1"/>
  <c r="I451" i="1" s="1"/>
  <c r="H632" i="1" s="1"/>
  <c r="J632" i="1" s="1"/>
  <c r="C21" i="10"/>
  <c r="H653" i="1"/>
  <c r="I653" i="1" s="1"/>
  <c r="F5" i="13"/>
  <c r="E116" i="2"/>
  <c r="E120" i="2" s="1"/>
  <c r="F154" i="1"/>
  <c r="F161" i="1" s="1"/>
  <c r="G124" i="1"/>
  <c r="G640" i="1"/>
  <c r="J640" i="1" s="1"/>
  <c r="F122" i="2"/>
  <c r="F136" i="2" s="1"/>
  <c r="F137" i="2" s="1"/>
  <c r="C116" i="2"/>
  <c r="C110" i="2"/>
  <c r="D80" i="2"/>
  <c r="C29" i="10"/>
  <c r="C19" i="10"/>
  <c r="C35" i="10"/>
  <c r="L190" i="1"/>
  <c r="L203" i="1" s="1"/>
  <c r="K203" i="1"/>
  <c r="K249" i="1" s="1"/>
  <c r="K263" i="1" s="1"/>
  <c r="C103" i="2"/>
  <c r="J12" i="1"/>
  <c r="G12" i="2" s="1"/>
  <c r="C124" i="2"/>
  <c r="L226" i="1"/>
  <c r="L239" i="1" s="1"/>
  <c r="H650" i="1" s="1"/>
  <c r="K282" i="1"/>
  <c r="L534" i="1"/>
  <c r="J203" i="1"/>
  <c r="J249" i="1" s="1"/>
  <c r="I203" i="1"/>
  <c r="I249" i="1" s="1"/>
  <c r="I263" i="1" s="1"/>
  <c r="F43" i="1"/>
  <c r="L255" i="1"/>
  <c r="C127" i="2" s="1"/>
  <c r="C9" i="12"/>
  <c r="H511" i="1"/>
  <c r="H514" i="1" s="1"/>
  <c r="H535" i="1" s="1"/>
  <c r="L604" i="1"/>
  <c r="C15" i="10"/>
  <c r="K262" i="1"/>
  <c r="L262" i="1" s="1"/>
  <c r="H161" i="1"/>
  <c r="F282" i="1"/>
  <c r="F330" i="1" s="1"/>
  <c r="F344" i="1" s="1"/>
  <c r="G203" i="1"/>
  <c r="G249" i="1" s="1"/>
  <c r="G263" i="1" s="1"/>
  <c r="F77" i="2"/>
  <c r="F83" i="2" s="1"/>
  <c r="B9" i="12"/>
  <c r="C136" i="2" l="1"/>
  <c r="G662" i="1"/>
  <c r="G657" i="1"/>
  <c r="C39" i="10"/>
  <c r="F185" i="1"/>
  <c r="L249" i="1"/>
  <c r="L263" i="1" s="1"/>
  <c r="F650" i="1"/>
  <c r="F33" i="13"/>
  <c r="D5" i="13"/>
  <c r="G627" i="1"/>
  <c r="H636" i="1"/>
  <c r="D69" i="2"/>
  <c r="D70" i="2" s="1"/>
  <c r="D73" i="2" s="1"/>
  <c r="D96" i="2" s="1"/>
  <c r="G128" i="1"/>
  <c r="G132" i="1" s="1"/>
  <c r="G43" i="2"/>
  <c r="G462" i="1"/>
  <c r="C27" i="10"/>
  <c r="G625" i="1"/>
  <c r="C133" i="2"/>
  <c r="G619" i="1"/>
  <c r="H458" i="1"/>
  <c r="A13" i="12"/>
  <c r="G612" i="1"/>
  <c r="F44" i="1"/>
  <c r="H607" i="1" s="1"/>
  <c r="J607" i="1" s="1"/>
  <c r="C36" i="10"/>
  <c r="G19" i="2"/>
  <c r="C102" i="2"/>
  <c r="C107" i="2" s="1"/>
  <c r="C137" i="2" s="1"/>
  <c r="C11" i="10"/>
  <c r="G539" i="1"/>
  <c r="G542" i="1" s="1"/>
  <c r="L519" i="1"/>
  <c r="J464" i="1"/>
  <c r="H628" i="1"/>
  <c r="J628" i="1" s="1"/>
  <c r="H638" i="1"/>
  <c r="J638" i="1" s="1"/>
  <c r="J263" i="1"/>
  <c r="L511" i="1"/>
  <c r="L330" i="1"/>
  <c r="L344" i="1" s="1"/>
  <c r="G31" i="13"/>
  <c r="G33" i="13" s="1"/>
  <c r="K330" i="1"/>
  <c r="K344" i="1" s="1"/>
  <c r="C120" i="2"/>
  <c r="H627" i="1"/>
  <c r="J460" i="1"/>
  <c r="J466" i="1" s="1"/>
  <c r="H616" i="1" s="1"/>
  <c r="H621" i="1"/>
  <c r="J44" i="1"/>
  <c r="H611" i="1" s="1"/>
  <c r="G616" i="1"/>
  <c r="J611" i="1"/>
  <c r="H654" i="1"/>
  <c r="G636" i="1"/>
  <c r="J636" i="1" s="1"/>
  <c r="G621" i="1"/>
  <c r="J621" i="1" s="1"/>
  <c r="E137" i="2"/>
  <c r="J620" i="1"/>
  <c r="C8" i="13"/>
  <c r="E33" i="13"/>
  <c r="D35" i="13" s="1"/>
  <c r="D31" i="13" l="1"/>
  <c r="C31" i="13" s="1"/>
  <c r="H460" i="1"/>
  <c r="H619" i="1"/>
  <c r="J619" i="1" s="1"/>
  <c r="J627" i="1"/>
  <c r="F654" i="1"/>
  <c r="I650" i="1"/>
  <c r="I654" i="1" s="1"/>
  <c r="J616" i="1"/>
  <c r="L514" i="1"/>
  <c r="L535" i="1" s="1"/>
  <c r="F539" i="1"/>
  <c r="G622" i="1"/>
  <c r="F462" i="1"/>
  <c r="C5" i="13"/>
  <c r="D33" i="13"/>
  <c r="D36" i="13" s="1"/>
  <c r="H462" i="1"/>
  <c r="G623" i="1"/>
  <c r="G617" i="1"/>
  <c r="F458" i="1"/>
  <c r="H657" i="1"/>
  <c r="H662" i="1"/>
  <c r="D27" i="10"/>
  <c r="H625" i="1"/>
  <c r="J625" i="1" s="1"/>
  <c r="G464" i="1"/>
  <c r="D36" i="10"/>
  <c r="C41" i="10"/>
  <c r="D39" i="10" s="1"/>
  <c r="D11" i="10"/>
  <c r="C28" i="10"/>
  <c r="C38" i="10"/>
  <c r="G185" i="1"/>
  <c r="H622" i="1" l="1"/>
  <c r="F464" i="1"/>
  <c r="J622" i="1"/>
  <c r="F542" i="1"/>
  <c r="K539" i="1"/>
  <c r="K542" i="1" s="1"/>
  <c r="G618" i="1"/>
  <c r="G458" i="1"/>
  <c r="F460" i="1"/>
  <c r="H617" i="1"/>
  <c r="J617" i="1" s="1"/>
  <c r="I657" i="1"/>
  <c r="I662" i="1"/>
  <c r="C7" i="10" s="1"/>
  <c r="D38" i="10"/>
  <c r="F662" i="1"/>
  <c r="C4" i="10" s="1"/>
  <c r="F657" i="1"/>
  <c r="D22" i="10"/>
  <c r="D13" i="10"/>
  <c r="C30" i="10"/>
  <c r="D23" i="10"/>
  <c r="D24" i="10"/>
  <c r="D25" i="10"/>
  <c r="D12" i="10"/>
  <c r="D26" i="10"/>
  <c r="D10" i="10"/>
  <c r="D15" i="10"/>
  <c r="D18" i="10"/>
  <c r="D16" i="10"/>
  <c r="D20" i="10"/>
  <c r="D21" i="10"/>
  <c r="D19" i="10"/>
  <c r="D17" i="10"/>
  <c r="D40" i="10"/>
  <c r="D37" i="10"/>
  <c r="D35" i="10"/>
  <c r="H464" i="1"/>
  <c r="H623" i="1"/>
  <c r="J623" i="1" s="1"/>
  <c r="H466" i="1"/>
  <c r="H614" i="1" s="1"/>
  <c r="J614" i="1" s="1"/>
  <c r="D41" i="10" l="1"/>
  <c r="F466" i="1"/>
  <c r="H612" i="1" s="1"/>
  <c r="J612" i="1" s="1"/>
  <c r="H618" i="1"/>
  <c r="H646" i="1" s="1"/>
  <c r="G460" i="1"/>
  <c r="G466" i="1" s="1"/>
  <c r="H613" i="1" s="1"/>
  <c r="J613" i="1" s="1"/>
  <c r="D28" i="10"/>
  <c r="J6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C8615448-EA44-4ECD-9E8D-4B1CBDD449B0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76DD465-B317-4577-8017-196D5291FA32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79251B2-27E6-4F25-AE38-C8DEE005A64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34ABC2F7-D3A9-4CE2-8952-D0C0496A73F6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40F3E089-C6DC-4843-B4E3-BEC8DE5C2C1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B0E2BCD-7A70-4E4D-AFB0-A4134AD02F7A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1C44DD8-B756-48A8-9503-487506E7CB1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AC311E59-49A2-4AE7-B7CE-2BC800746A1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AEAD4D6A-AEEB-44ED-88B0-C28D599788F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888A3875-C65C-4619-B16F-3684BDC7F98D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38ED4891-F9D7-4CFF-B0F0-9CCFB88DFF41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7FF31CC-1755-4174-892A-DA41BD3606D3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<sst xmlns="http://schemas.openxmlformats.org/spreadsheetml/2006/main" count="3858" uniqueCount="895">
  <si>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</si>
  <si>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</si>
  <si>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</si>
  <si>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</si>
  <si>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</si>
  <si>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</si>
  <si>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</si>
  <si>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</si>
  <si>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</si>
  <si>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</si>
  <si>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</si>
  <si>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</si>
  <si>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</si>
  <si>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</si>
  <si>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</si>
  <si>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</si>
  <si>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</si>
  <si>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</si>
  <si>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</si>
  <si>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</si>
  <si>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</si>
  <si>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</si>
  <si>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</si>
  <si>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</si>
  <si>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</si>
  <si>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</si>
  <si>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</si>
  <si>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</si>
  <si>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</si>
  <si>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</si>
  <si>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</si>
  <si>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</si>
  <si>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</si>
  <si>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</si>
  <si>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</si>
  <si>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</si>
  <si>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</si>
  <si>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</si>
  <si>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</si>
  <si>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</si>
  <si>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</si>
  <si>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</si>
  <si>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</si>
  <si>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</si>
  <si>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</si>
  <si>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</si>
  <si>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</si>
  <si>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</si>
  <si>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</si>
  <si>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</si>
  <si>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</si>
  <si>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</si>
  <si>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</si>
  <si>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</si>
  <si>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</si>
  <si>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</si>
  <si>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</si>
  <si>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</si>
  <si>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</si>
  <si>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</si>
  <si>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</si>
  <si>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</si>
  <si>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</si>
  <si>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</si>
  <si>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</si>
  <si>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</si>
  <si>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</si>
  <si>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</si>
  <si>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</si>
  <si>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</si>
  <si>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</si>
  <si>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</si>
  <si>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</si>
  <si>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</si>
  <si>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</si>
  <si>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</si>
  <si>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</si>
  <si>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</si>
  <si>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</si>
  <si>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</si>
  <si>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</si>
  <si>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</si>
  <si>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</si>
  <si>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</si>
  <si>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</si>
  <si>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</si>
  <si>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</si>
  <si>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</si>
  <si>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</si>
  <si>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</si>
  <si>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</si>
  <si>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</si>
  <si>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</si>
  <si>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</si>
  <si>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</si>
  <si>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</si>
  <si>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</si>
  <si>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</si>
  <si>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</si>
  <si>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</si>
  <si>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</si>
  <si>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</si>
  <si>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</si>
  <si>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</si>
  <si>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</si>
  <si>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</si>
  <si>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</si>
  <si>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</si>
  <si>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</si>
  <si>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</si>
  <si>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</si>
  <si>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</si>
  <si>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</si>
  <si>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</si>
  <si>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</si>
  <si>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</si>
  <si>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</si>
  <si>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</si>
  <si>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</si>
  <si>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</si>
  <si>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</si>
  <si>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</si>
  <si>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</si>
  <si>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</si>
  <si>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</si>
  <si>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</si>
  <si>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</si>
  <si>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</si>
  <si>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</si>
  <si>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</si>
  <si>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</si>
  <si>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</si>
  <si>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</si>
  <si>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</si>
  <si>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</si>
  <si>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</si>
  <si>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</si>
  <si>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</si>
  <si>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</si>
  <si>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</si>
  <si>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</si>
  <si>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</si>
  <si>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</si>
  <si>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</si>
  <si>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</si>
  <si>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</si>
  <si>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</si>
  <si>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</si>
  <si>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</si>
  <si>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</si>
  <si>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</si>
  <si>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</si>
  <si>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</si>
  <si>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</si>
  <si>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</si>
  <si>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</si>
  <si>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</si>
  <si>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</si>
  <si>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</si>
  <si>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</si>
  <si>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</si>
  <si>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</si>
  <si>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</si>
  <si>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</si>
  <si>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</si>
  <si>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</si>
  <si>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</si>
  <si>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</si>
  <si>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</si>
  <si>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</si>
  <si>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</si>
  <si>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</si>
  <si>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</si>
  <si>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</si>
  <si>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</si>
  <si>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</si>
  <si>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</si>
  <si>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</si>
  <si>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</si>
  <si>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</si>
  <si>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</si>
  <si>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</si>
  <si>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</si>
  <si>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</si>
  <si>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</si>
  <si>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</si>
  <si>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</si>
  <si>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</si>
  <si>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</si>
  <si>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</si>
  <si>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</si>
  <si>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</si>
  <si>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</si>
  <si>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</si>
  <si>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</si>
  <si>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</si>
  <si>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</si>
  <si>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</si>
  <si>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</si>
  <si>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</si>
  <si>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</si>
  <si>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</si>
  <si>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</si>
  <si>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</si>
  <si>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</si>
  <si>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</si>
  <si>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</si>
  <si>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</si>
  <si>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</si>
  <si>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</si>
  <si>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</si>
  <si>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</si>
  <si>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</si>
  <si>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</si>
  <si>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</si>
  <si>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</si>
  <si>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</si>
  <si>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</si>
  <si>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</si>
  <si>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</si>
  <si>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</si>
  <si>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</si>
  <si>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</si>
  <si>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</si>
  <si>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</si>
  <si>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</si>
  <si>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</si>
  <si>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</si>
  <si>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</si>
  <si>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</si>
  <si>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</si>
  <si>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</si>
  <si>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</si>
  <si>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</si>
  <si>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</si>
  <si>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</si>
  <si>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</si>
  <si>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</si>
  <si>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</si>
  <si>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</si>
  <si>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</si>
  <si>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</si>
  <si>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</si>
  <si>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</si>
  <si>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</si>
  <si>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</si>
  <si>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</si>
  <si>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</si>
  <si>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</si>
  <si>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</si>
  <si>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</si>
  <si>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</si>
  <si>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</si>
  <si>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</si>
  <si>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</si>
  <si>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</si>
  <si>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</si>
  <si>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</si>
  <si>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</si>
  <si>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</si>
  <si>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</si>
  <si>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</si>
  <si>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</si>
  <si>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</si>
  <si>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</si>
  <si>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</si>
  <si>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</si>
  <si>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</si>
  <si>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</si>
  <si>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</si>
  <si>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</si>
  <si>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</si>
  <si>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</si>
  <si>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</si>
  <si>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</si>
  <si>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</si>
  <si>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</si>
  <si>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</si>
  <si>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</si>
  <si>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</si>
  <si>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</si>
  <si>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</si>
  <si>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</si>
  <si>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</si>
  <si>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</si>
  <si>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</si>
  <si>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</si>
  <si>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</si>
  <si>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</si>
  <si>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</si>
  <si>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</si>
  <si>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</si>
  <si>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</si>
  <si>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</si>
  <si>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</si>
  <si>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</si>
  <si>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</si>
  <si>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</si>
  <si>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</si>
  <si>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</si>
  <si>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</si>
  <si>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</si>
  <si>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</si>
  <si>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</si>
  <si>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</si>
  <si>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</si>
  <si>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</si>
  <si>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</si>
  <si>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</si>
  <si>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</si>
  <si>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</si>
  <si>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</si>
  <si>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</si>
  <si>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</si>
  <si>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</si>
  <si>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</si>
  <si>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</si>
  <si>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</si>
  <si>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</si>
  <si>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</si>
  <si>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</si>
  <si>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</si>
  <si>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</si>
  <si>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</si>
  <si>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</si>
  <si>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</si>
  <si>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</si>
  <si>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</si>
  <si>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</si>
  <si>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</si>
  <si>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</si>
  <si>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</si>
  <si>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</si>
  <si>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</si>
  <si>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</si>
  <si>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</si>
  <si>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</si>
  <si>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</si>
  <si>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</si>
  <si>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</si>
  <si>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</si>
  <si>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</si>
  <si>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</si>
  <si>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</si>
  <si>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</si>
  <si>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</si>
  <si>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</si>
  <si>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</si>
  <si>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</si>
  <si>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</si>
  <si>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</si>
  <si>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</si>
  <si>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</si>
  <si>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</si>
  <si>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</si>
  <si>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</si>
  <si>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</si>
  <si>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</si>
  <si>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</si>
  <si>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</si>
  <si>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</si>
  <si>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</si>
  <si>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</si>
  <si>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</si>
  <si>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</si>
  <si>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</si>
  <si>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</si>
  <si>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</si>
  <si>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</si>
  <si>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</si>
  <si>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</si>
  <si>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</si>
  <si>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</si>
  <si>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</si>
  <si>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</si>
  <si>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</si>
  <si>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</si>
  <si>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</si>
  <si>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</si>
  <si>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</si>
  <si>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</si>
  <si>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</si>
  <si>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</si>
  <si>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</si>
  <si>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</si>
  <si>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</si>
  <si>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</si>
  <si>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</si>
  <si>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</si>
  <si>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</si>
  <si>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</si>
  <si>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</si>
  <si>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</si>
  <si>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</si>
  <si>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</si>
  <si>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</si>
  <si>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</si>
  <si>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</si>
  <si>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</si>
  <si>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</si>
  <si>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</si>
  <si>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</si>
  <si>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</si>
  <si>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</si>
  <si>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</si>
  <si>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</si>
  <si>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</si>
  <si>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</si>
  <si>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</si>
  <si>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</si>
  <si>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</si>
  <si>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</si>
  <si>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</si>
  <si>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</si>
  <si>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</si>
  <si>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</si>
  <si>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</si>
  <si>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</si>
  <si>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</si>
  <si>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</si>
  <si>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</si>
  <si>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</si>
  <si>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</si>
  <si>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</si>
  <si>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</si>
  <si>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</si>
  <si>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</si>
  <si>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</si>
  <si>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</si>
  <si>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</si>
  <si>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</si>
  <si>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</si>
  <si>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</si>
  <si>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</si>
  <si>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</si>
  <si>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</si>
  <si>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</si>
  <si>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</si>
  <si>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</si>
  <si>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</si>
  <si>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</si>
  <si>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</si>
  <si>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</si>
  <si>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</si>
  <si>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</si>
  <si>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</si>
  <si>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</si>
  <si>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</si>
  <si>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</si>
  <si>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</si>
  <si>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</si>
  <si>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</si>
  <si>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</si>
  <si>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</si>
  <si>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</si>
  <si>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</si>
  <si>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</si>
  <si>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</si>
  <si>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</si>
  <si>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</si>
  <si>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</si>
  <si>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</si>
  <si>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</si>
  <si>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</si>
  <si>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</si>
  <si>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</si>
  <si>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</si>
  <si>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</si>
  <si>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</si>
  <si>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</si>
  <si>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</si>
  <si>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</si>
  <si>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</si>
  <si>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</si>
  <si>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</si>
  <si>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</si>
  <si>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</si>
  <si>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</si>
  <si>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</si>
  <si>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</si>
  <si>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</si>
  <si>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</si>
  <si>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</si>
  <si>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</si>
  <si>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</si>
  <si>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</si>
  <si>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</si>
  <si>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</si>
  <si>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</si>
  <si>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</si>
  <si>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</si>
  <si>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</si>
  <si>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</si>
  <si>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</si>
  <si>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</si>
  <si>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</si>
  <si>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</si>
  <si>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</si>
  <si>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</si>
  <si>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</si>
  <si>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</si>
  <si>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</si>
  <si>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</si>
  <si>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</si>
  <si>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</si>
  <si>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</si>
  <si>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</si>
  <si>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</si>
  <si>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</si>
  <si>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</si>
  <si>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</si>
  <si>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</si>
  <si>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</si>
  <si>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</si>
  <si>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</si>
  <si>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</si>
  <si>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</si>
  <si>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</si>
  <si>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</si>
  <si>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</si>
  <si>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</si>
  <si>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</si>
  <si>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</si>
  <si>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</si>
  <si>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</si>
  <si>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</si>
  <si>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</si>
  <si>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</si>
  <si>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</si>
  <si>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</si>
  <si>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</si>
  <si>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</si>
  <si>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</si>
  <si>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</si>
  <si>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</si>
  <si>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</si>
  <si>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</si>
  <si>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</si>
  <si>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</si>
  <si>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</si>
  <si>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</si>
  <si>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</si>
  <si>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</si>
  <si>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</si>
  <si>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</si>
  <si>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</si>
  <si>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</si>
  <si>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</si>
  <si>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</si>
  <si>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</si>
  <si>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</si>
  <si>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</si>
  <si>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</si>
  <si>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</si>
  <si>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</si>
  <si>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</si>
  <si>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</si>
  <si>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</si>
  <si>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</si>
  <si>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</si>
  <si>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</si>
  <si>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</si>
  <si>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</si>
  <si>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</si>
  <si>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</si>
  <si>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</si>
  <si>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</si>
  <si>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</si>
  <si>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</si>
  <si>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</si>
  <si>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</si>
  <si>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</si>
  <si>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</si>
  <si>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</si>
  <si>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</si>
  <si>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</si>
  <si>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</si>
  <si>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</si>
  <si>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</si>
  <si>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</si>
  <si>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</si>
  <si>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</si>
  <si>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</si>
  <si>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</si>
  <si>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</si>
  <si>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</si>
  <si>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</si>
  <si>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</si>
  <si>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</si>
  <si>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</si>
  <si>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</si>
  <si>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</si>
  <si>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</si>
  <si>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</si>
  <si>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</si>
  <si>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</si>
  <si>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</si>
  <si>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</si>
  <si>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</si>
  <si>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</si>
  <si>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</si>
  <si>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</si>
  <si>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</si>
  <si>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</si>
  <si>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</si>
  <si>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</si>
  <si>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</si>
  <si>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</si>
  <si>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</si>
  <si>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</si>
  <si>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</si>
  <si>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</si>
  <si>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</si>
  <si>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</si>
  <si>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</si>
  <si>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</si>
  <si>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</si>
  <si>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</si>
  <si>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</si>
  <si>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</si>
  <si>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</si>
  <si>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</si>
  <si>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</si>
  <si>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</si>
  <si>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</si>
  <si>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</si>
  <si>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</si>
  <si>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</si>
  <si>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</si>
  <si>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</si>
  <si>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</si>
  <si>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</si>
  <si>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</si>
  <si>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</si>
  <si>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</si>
  <si>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</si>
  <si>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</si>
  <si>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</si>
  <si>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</si>
  <si>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</si>
  <si>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</si>
  <si>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</si>
  <si>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</si>
  <si>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</si>
  <si>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</si>
  <si>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</si>
  <si>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</si>
  <si>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</si>
  <si>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</si>
  <si>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</si>
  <si>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</si>
  <si>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</si>
  <si>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</si>
  <si>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</si>
  <si>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</si>
  <si>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</si>
  <si>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</si>
  <si>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</si>
  <si>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</si>
  <si>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</si>
  <si>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</si>
  <si>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</si>
  <si>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</si>
  <si>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</si>
  <si>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</si>
  <si>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</si>
  <si>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</si>
  <si>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</si>
  <si>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</si>
  <si>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</si>
  <si>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</si>
  <si>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</si>
  <si>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</si>
  <si>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</si>
  <si>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</si>
  <si>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</si>
  <si>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</si>
  <si>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</si>
  <si>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</si>
  <si>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</si>
  <si>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</si>
  <si>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</si>
  <si>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</si>
  <si>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</si>
  <si>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</si>
  <si>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</si>
  <si>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</si>
  <si>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</si>
  <si>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</si>
  <si>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</si>
  <si>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</si>
  <si>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</si>
  <si>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</si>
  <si>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</si>
  <si>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</si>
  <si>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</si>
  <si>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</si>
  <si>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</si>
  <si>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</si>
  <si>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</si>
  <si>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</si>
  <si>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</si>
  <si>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</si>
  <si>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</si>
  <si>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</si>
  <si>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</si>
  <si>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</si>
  <si>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</si>
  <si>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</si>
  <si>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</si>
  <si>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</si>
  <si>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</si>
  <si>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</si>
  <si>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</si>
  <si>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</si>
  <si>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</si>
  <si>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</si>
  <si>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</si>
  <si>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</si>
  <si>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</si>
  <si>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</si>
  <si>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</si>
  <si>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</si>
  <si>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</si>
  <si>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</si>
  <si>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</si>
  <si>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</si>
  <si>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</si>
  <si>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</si>
  <si>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</si>
  <si>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</si>
  <si>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</si>
  <si>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</si>
  <si>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</si>
  <si>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</si>
  <si>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</si>
  <si>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</si>
  <si>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</si>
  <si>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</si>
  <si>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</si>
  <si>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</si>
  <si>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</si>
  <si>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</si>
  <si>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</si>
  <si>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</si>
  <si>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</si>
  <si>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</si>
  <si>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</si>
  <si>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</si>
  <si>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</si>
  <si>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</si>
  <si>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</si>
  <si>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</si>
  <si>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</si>
  <si>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</si>
  <si>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</si>
  <si>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</si>
  <si>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</si>
  <si>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</si>
  <si>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</si>
  <si>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</si>
  <si>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</si>
  <si>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</si>
  <si>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</si>
  <si>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</si>
  <si>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</si>
  <si>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</si>
  <si>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</si>
  <si>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</si>
  <si>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</si>
  <si>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</si>
  <si>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</si>
  <si>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</si>
  <si>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</si>
  <si>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</si>
  <si>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</si>
  <si>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</si>
  <si>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</si>
  <si>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</si>
  <si>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</si>
  <si>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</si>
  <si>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</si>
  <si>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</si>
  <si>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</si>
  <si>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</si>
  <si>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</si>
  <si>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</si>
  <si>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</si>
  <si>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</si>
  <si>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</si>
  <si>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</si>
  <si>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</si>
  <si>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</si>
  <si>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</si>
  <si>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</si>
  <si>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</si>
  <si>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</si>
  <si>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</si>
  <si>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</si>
  <si>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</si>
  <si>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</si>
  <si>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</si>
  <si>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</si>
  <si>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</si>
  <si>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</si>
  <si>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</si>
  <si>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</si>
  <si>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</si>
  <si>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</si>
  <si>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</si>
  <si>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</si>
  <si>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</si>
  <si>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</si>
  <si>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</si>
  <si>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</si>
  <si>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</si>
  <si>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</si>
  <si>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</si>
  <si>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</si>
  <si>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</si>
  <si>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</si>
  <si>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</si>
  <si>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</si>
  <si>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</si>
  <si>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</si>
  <si>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</si>
  <si>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</si>
  <si>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</si>
  <si>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</si>
  <si>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</si>
  <si>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</si>
  <si>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</si>
  <si>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</si>
  <si>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</si>
  <si>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</si>
  <si>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</si>
  <si>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</si>
  <si>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</si>
  <si>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</si>
  <si>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</si>
  <si>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</si>
  <si>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</si>
  <si>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</si>
  <si>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</si>
  <si>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</si>
  <si>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</si>
  <si>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</si>
  <si>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</si>
  <si>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</si>
  <si>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</si>
  <si>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</si>
  <si>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</si>
  <si>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</si>
  <si>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</si>
  <si>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</si>
  <si>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</si>
  <si>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</si>
  <si>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</si>
  <si>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</si>
  <si>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</si>
  <si>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</si>
  <si>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</si>
  <si>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</si>
  <si>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</si>
  <si>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</si>
  <si>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</si>
  <si>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</si>
  <si>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</si>
  <si>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</si>
  <si>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</si>
  <si>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</si>
  <si>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</si>
  <si>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</si>
  <si>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</si>
  <si>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</si>
  <si>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</si>
  <si>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</si>
  <si>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</si>
  <si>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</si>
  <si>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</si>
  <si>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</si>
  <si>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</si>
  <si>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</si>
  <si>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</si>
  <si>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</si>
  <si>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</si>
  <si>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</si>
  <si>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</si>
  <si>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</si>
  <si>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</si>
  <si>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</si>
  <si>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</si>
  <si>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</si>
  <si>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</si>
  <si>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CORNISH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</si>
</sst>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62C8-DBB1-4AFC-8E90-41EAF62054DA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I173" sqref="I17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115</v>
      </c>
      <c r="C2" s="21">
        <v>115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-16411+250+4080+15208+113006</f>
        <v>116133</v>
      </c>
      <c r="G9" s="18"/>
      <c r="H9" s="18"/>
      <c r="I9" s="18">
        <f>1488</f>
        <v>1488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110259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662</v>
      </c>
      <c r="G13" s="18">
        <f>168+1481+1036</f>
        <v>2685</v>
      </c>
      <c r="H13" s="18">
        <v>11783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6550</v>
      </c>
      <c r="G14" s="18">
        <v>1778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22155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145500</v>
      </c>
      <c r="G19" s="41">
        <f>SUM(G9:G18)</f>
        <v>4463</v>
      </c>
      <c r="H19" s="41">
        <f>SUM(H9:H18)</f>
        <v>11783</v>
      </c>
      <c r="I19" s="41">
        <f>SUM(I9:I18)</f>
        <v>1488</v>
      </c>
      <c r="J19" s="41">
        <f>SUM(J9:J18)</f>
        <v>110259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-H23-G23</f>
        <v>19408</v>
      </c>
      <c r="G23" s="18">
        <f>4463+5621</f>
        <v>10084</v>
      </c>
      <c r="H23" s="18">
        <f>11783-41275</f>
        <v>-29492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106418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-211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125615</v>
      </c>
      <c r="G33" s="41">
        <f>SUM(G23:G32)</f>
        <v>10084</v>
      </c>
      <c r="H33" s="41">
        <f>SUM(H23:H32)</f>
        <v>-29492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f>13300+550+6000-13300-6000</f>
        <v>550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15289</v>
      </c>
      <c r="G41" s="18">
        <v>-5621</v>
      </c>
      <c r="H41" s="18">
        <f>3605+37670</f>
        <v>41275</v>
      </c>
      <c r="I41" s="18">
        <v>1488</v>
      </c>
      <c r="J41" s="13">
        <f>SUM(I449)</f>
        <v>110259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144838-141454+662</f>
        <v>4046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19885</v>
      </c>
      <c r="G43" s="41">
        <f>SUM(G35:G42)</f>
        <v>-5621</v>
      </c>
      <c r="H43" s="41">
        <f>SUM(H35:H42)</f>
        <v>41275</v>
      </c>
      <c r="I43" s="41">
        <f>SUM(I35:I42)</f>
        <v>1488</v>
      </c>
      <c r="J43" s="41">
        <f>SUM(J35:J42)</f>
        <v>110259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145500</v>
      </c>
      <c r="G44" s="41">
        <f>G43+G33</f>
        <v>4463</v>
      </c>
      <c r="H44" s="41">
        <f>H43+H33</f>
        <v>11783</v>
      </c>
      <c r="I44" s="41">
        <f>I43+I33</f>
        <v>1488</v>
      </c>
      <c r="J44" s="41">
        <f>J43+J33</f>
        <v>110259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2389109-422651</f>
        <v>1966458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1966458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4404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>
        <f>46770-3605</f>
        <v>43165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4404</v>
      </c>
      <c r="G71" s="45" t="s">
        <v>312</v>
      </c>
      <c r="H71" s="41">
        <f>SUM(H55:H70)</f>
        <v>43165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2265</v>
      </c>
      <c r="G88" s="18"/>
      <c r="H88" s="18"/>
      <c r="I88" s="18"/>
      <c r="J88" s="18">
        <v>841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23672-5160+168</f>
        <v>18680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6141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8406</v>
      </c>
      <c r="G103" s="41">
        <f>SUM(G88:G102)</f>
        <v>18680</v>
      </c>
      <c r="H103" s="41">
        <f>SUM(H88:H102)</f>
        <v>0</v>
      </c>
      <c r="I103" s="41">
        <f>SUM(I88:I102)</f>
        <v>0</v>
      </c>
      <c r="J103" s="41">
        <f>SUM(J88:J102)</f>
        <v>841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1979268</v>
      </c>
      <c r="G104" s="41">
        <f>G52+G103</f>
        <v>18680</v>
      </c>
      <c r="H104" s="41">
        <f>H52+H71+H86+H103</f>
        <v>43165</v>
      </c>
      <c r="I104" s="41">
        <f>I52+I103</f>
        <v>0</v>
      </c>
      <c r="J104" s="41">
        <f>J52+J103</f>
        <v>841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534653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422651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205130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1162434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2160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59762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f>12734-G150</f>
        <v>-1976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61922</v>
      </c>
      <c r="G128" s="41">
        <f>SUM(G115:G127)</f>
        <v>-1976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1224356</v>
      </c>
      <c r="G132" s="41">
        <f>G113+SUM(G128:G129)</f>
        <v>-1976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4000-150+3800</f>
        <v>7650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2337+7479+9+40+15126</f>
        <v>24991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1037+1481+1150+1668+879+1238+1148+1265+1435+892+1481+1036</f>
        <v>14710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14152+7983</f>
        <v>22135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f>662+11162</f>
        <v>11824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11824</v>
      </c>
      <c r="G154" s="41">
        <f>SUM(G142:G153)</f>
        <v>14710</v>
      </c>
      <c r="H154" s="41">
        <f>SUM(H142:H153)</f>
        <v>54776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11824</v>
      </c>
      <c r="G161" s="41">
        <f>G139+G154+SUM(G155:G160)</f>
        <v>14710</v>
      </c>
      <c r="H161" s="41">
        <f>H139+H154+SUM(H155:H160)</f>
        <v>54776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22940</v>
      </c>
      <c r="H171" s="18"/>
      <c r="I171" s="18"/>
      <c r="J171" s="18">
        <v>12000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6550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6550</v>
      </c>
      <c r="G175" s="41">
        <f>SUM(G171:G174)</f>
        <v>22940</v>
      </c>
      <c r="H175" s="41">
        <f>SUM(H171:H174)</f>
        <v>0</v>
      </c>
      <c r="I175" s="41">
        <f>SUM(I171:I174)</f>
        <v>0</v>
      </c>
      <c r="J175" s="41">
        <f>SUM(J171:J174)</f>
        <v>12000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>
        <v>8038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8038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6550</v>
      </c>
      <c r="G184" s="41">
        <f>G175+SUM(G180:G183)</f>
        <v>22940</v>
      </c>
      <c r="H184" s="41">
        <f>+H175+SUM(H180:H183)</f>
        <v>0</v>
      </c>
      <c r="I184" s="41">
        <f>I169+I175+SUM(I180:I183)</f>
        <v>8038</v>
      </c>
      <c r="J184" s="41">
        <f>J175</f>
        <v>12000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3221998</v>
      </c>
      <c r="G185" s="47">
        <f>G104+G132+G161+G184</f>
        <v>54354</v>
      </c>
      <c r="H185" s="47">
        <f>H104+H132+H161+H184</f>
        <v>97941</v>
      </c>
      <c r="I185" s="47">
        <f>I104+I132+I161+I184</f>
        <v>8038</v>
      </c>
      <c r="J185" s="47">
        <f>J104+J132+J184</f>
        <v>12841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604446+96972+23840</f>
        <v>725258</v>
      </c>
      <c r="G189" s="18">
        <f>147056+8410+863+3334+1026+9707+41503+44496</f>
        <v>256395</v>
      </c>
      <c r="H189" s="18">
        <f>366+8690+974+14000</f>
        <v>24030</v>
      </c>
      <c r="I189" s="18">
        <f>23385+457+1477+5661+4120+7063+9121</f>
        <v>51284</v>
      </c>
      <c r="J189" s="18">
        <f>28237+1739+520</f>
        <v>30496</v>
      </c>
      <c r="K189" s="18">
        <f>70</f>
        <v>70</v>
      </c>
      <c r="L189" s="19">
        <f>SUM(F189:K189)</f>
        <v>1087533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84851+72662+3010</f>
        <v>160523</v>
      </c>
      <c r="G190" s="18">
        <f>26047+4550+386+873+268+2660+11373+15223+43+185+216</f>
        <v>61824</v>
      </c>
      <c r="H190" s="18">
        <f>15432+37881+620+375</f>
        <v>54308</v>
      </c>
      <c r="I190" s="18">
        <f>958+127+686</f>
        <v>1771</v>
      </c>
      <c r="J190" s="18">
        <f>373</f>
        <v>373</v>
      </c>
      <c r="K190" s="18"/>
      <c r="L190" s="19">
        <f>SUM(F190:K190)</f>
        <v>278799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1500+3112</f>
        <v>4612</v>
      </c>
      <c r="G192" s="18">
        <f>22+93+45+193+110</f>
        <v>463</v>
      </c>
      <c r="H192" s="18">
        <f>4250</f>
        <v>4250</v>
      </c>
      <c r="I192" s="18">
        <f>2650</f>
        <v>2650</v>
      </c>
      <c r="J192" s="18"/>
      <c r="K192" s="18"/>
      <c r="L192" s="19">
        <f>SUM(F192:K192)</f>
        <v>11975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28894+30660</f>
        <v>59554</v>
      </c>
      <c r="G194" s="18">
        <f>5253+239+139+43+286+1223+144+44+445+1901+2296</f>
        <v>12013</v>
      </c>
      <c r="H194" s="18"/>
      <c r="I194" s="18">
        <f>727+82+889+44</f>
        <v>1742</v>
      </c>
      <c r="J194" s="18"/>
      <c r="K194" s="18"/>
      <c r="L194" s="19">
        <f t="shared" ref="L194:L200" si="0">SUM(F194:K194)</f>
        <v>73309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39410</f>
        <v>39410</v>
      </c>
      <c r="G195" s="18">
        <f>397+170+52+540+2310+2952</f>
        <v>6421</v>
      </c>
      <c r="H195" s="18">
        <f>6339</f>
        <v>6339</v>
      </c>
      <c r="I195" s="18">
        <f>2081+3377+367</f>
        <v>5825</v>
      </c>
      <c r="J195" s="18"/>
      <c r="K195" s="18"/>
      <c r="L195" s="19">
        <f t="shared" si="0"/>
        <v>57995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30+15+327+1000</f>
        <v>1372</v>
      </c>
      <c r="G196" s="18">
        <f>22+95</f>
        <v>117</v>
      </c>
      <c r="H196" s="18">
        <f>6666+8950+902+20+162589</f>
        <v>179127</v>
      </c>
      <c r="I196" s="18">
        <f>74</f>
        <v>74</v>
      </c>
      <c r="J196" s="18"/>
      <c r="K196" s="18">
        <f>2461</f>
        <v>2461</v>
      </c>
      <c r="L196" s="19">
        <f t="shared" si="0"/>
        <v>183151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75667+32385</f>
        <v>108052</v>
      </c>
      <c r="G197" s="18">
        <f>31445+1710+214+521+161+1686+7210+8676</f>
        <v>51623</v>
      </c>
      <c r="H197" s="18">
        <f>719+796+1128+1321+377+537+191</f>
        <v>5069</v>
      </c>
      <c r="I197" s="18"/>
      <c r="J197" s="18"/>
      <c r="K197" s="18">
        <f>136+215+351</f>
        <v>702</v>
      </c>
      <c r="L197" s="19">
        <f t="shared" si="0"/>
        <v>165446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70070</f>
        <v>70070</v>
      </c>
      <c r="G199" s="18">
        <f>11638+500+39+309+95+966+4129+4087</f>
        <v>21763</v>
      </c>
      <c r="H199" s="18">
        <f>15431+1699+3605+1631+66167+14750+5486+8995+35+3000</f>
        <v>120799</v>
      </c>
      <c r="I199" s="18">
        <f>14573+25164+29320</f>
        <v>69057</v>
      </c>
      <c r="J199" s="18"/>
      <c r="K199" s="18"/>
      <c r="L199" s="19">
        <f t="shared" si="0"/>
        <v>281689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5190+125813+4092</f>
        <v>135095</v>
      </c>
      <c r="I200" s="18"/>
      <c r="J200" s="18"/>
      <c r="K200" s="18"/>
      <c r="L200" s="19">
        <f t="shared" si="0"/>
        <v>135095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1168851</v>
      </c>
      <c r="G203" s="41">
        <f t="shared" si="1"/>
        <v>410619</v>
      </c>
      <c r="H203" s="41">
        <f t="shared" si="1"/>
        <v>529017</v>
      </c>
      <c r="I203" s="41">
        <f t="shared" si="1"/>
        <v>132403</v>
      </c>
      <c r="J203" s="41">
        <f t="shared" si="1"/>
        <v>30869</v>
      </c>
      <c r="K203" s="41">
        <f t="shared" si="1"/>
        <v>3233</v>
      </c>
      <c r="L203" s="41">
        <f t="shared" si="1"/>
        <v>2274992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575924+212800</f>
        <v>788724</v>
      </c>
      <c r="I225" s="18"/>
      <c r="J225" s="18"/>
      <c r="K225" s="18"/>
      <c r="L225" s="19">
        <f>SUM(F225:K225)</f>
        <v>788724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64035+45898</f>
        <v>109933</v>
      </c>
      <c r="I226" s="18"/>
      <c r="J226" s="18"/>
      <c r="K226" s="18"/>
      <c r="L226" s="19">
        <f>SUM(F226:K226)</f>
        <v>109933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7873</f>
        <v>7873</v>
      </c>
      <c r="I236" s="18"/>
      <c r="J236" s="18"/>
      <c r="K236" s="18"/>
      <c r="L236" s="19">
        <f t="shared" si="4"/>
        <v>7873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906530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906530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1168851</v>
      </c>
      <c r="G249" s="41">
        <f t="shared" si="8"/>
        <v>410619</v>
      </c>
      <c r="H249" s="41">
        <f t="shared" si="8"/>
        <v>1435547</v>
      </c>
      <c r="I249" s="41">
        <f t="shared" si="8"/>
        <v>132403</v>
      </c>
      <c r="J249" s="41">
        <f t="shared" si="8"/>
        <v>30869</v>
      </c>
      <c r="K249" s="41">
        <f t="shared" si="8"/>
        <v>3233</v>
      </c>
      <c r="L249" s="41">
        <f t="shared" si="8"/>
        <v>3181522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f>22940</f>
        <v>22940</v>
      </c>
      <c r="L255" s="19">
        <f>SUM(F255:K255)</f>
        <v>22940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f>12000</f>
        <v>12000</v>
      </c>
      <c r="L258" s="19">
        <f t="shared" si="9"/>
        <v>12000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34940</v>
      </c>
      <c r="L262" s="41">
        <f t="shared" si="9"/>
        <v>34940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1168851</v>
      </c>
      <c r="G263" s="42">
        <f t="shared" si="11"/>
        <v>410619</v>
      </c>
      <c r="H263" s="42">
        <f t="shared" si="11"/>
        <v>1435547</v>
      </c>
      <c r="I263" s="42">
        <f t="shared" si="11"/>
        <v>132403</v>
      </c>
      <c r="J263" s="42">
        <f t="shared" si="11"/>
        <v>30869</v>
      </c>
      <c r="K263" s="42">
        <f t="shared" si="11"/>
        <v>38173</v>
      </c>
      <c r="L263" s="42">
        <f t="shared" si="11"/>
        <v>3216462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10729</f>
        <v>10729</v>
      </c>
      <c r="G268" s="18">
        <f>156+665</f>
        <v>821</v>
      </c>
      <c r="H268" s="18"/>
      <c r="I268" s="18"/>
      <c r="J268" s="18">
        <f>2642+1237</f>
        <v>3879</v>
      </c>
      <c r="K268" s="18">
        <f>610</f>
        <v>610</v>
      </c>
      <c r="L268" s="19">
        <f>SUM(F268:K268)</f>
        <v>16039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22435</v>
      </c>
      <c r="G269" s="18"/>
      <c r="H269" s="18">
        <f>7070</f>
        <v>7070</v>
      </c>
      <c r="I269" s="18"/>
      <c r="J269" s="18"/>
      <c r="K269" s="18">
        <f>428+80</f>
        <v>508</v>
      </c>
      <c r="L269" s="19">
        <f>SUM(F269:K269)</f>
        <v>30013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20633+10086</f>
        <v>30719</v>
      </c>
      <c r="G271" s="18">
        <f>3259+54+281+1203+1250+1381+8+140+599+401</f>
        <v>8576</v>
      </c>
      <c r="H271" s="18">
        <f>1546</f>
        <v>1546</v>
      </c>
      <c r="I271" s="18">
        <f>705+1619</f>
        <v>2324</v>
      </c>
      <c r="J271" s="18"/>
      <c r="K271" s="18"/>
      <c r="L271" s="19">
        <f>SUM(F271:K271)</f>
        <v>43165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2355+890</f>
        <v>3245</v>
      </c>
      <c r="G273" s="18">
        <f>34+14+146+59+144+76</f>
        <v>473</v>
      </c>
      <c r="H273" s="18">
        <f>5052+4422+1387</f>
        <v>10861</v>
      </c>
      <c r="I273" s="18">
        <f>1156</f>
        <v>1156</v>
      </c>
      <c r="J273" s="18"/>
      <c r="K273" s="18">
        <f>165</f>
        <v>165</v>
      </c>
      <c r="L273" s="19">
        <f t="shared" ref="L273:L279" si="12">SUM(F273:K273)</f>
        <v>15900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1000</f>
        <v>1000</v>
      </c>
      <c r="G274" s="18">
        <f>8+23</f>
        <v>31</v>
      </c>
      <c r="H274" s="18">
        <f>3501</f>
        <v>3501</v>
      </c>
      <c r="I274" s="18"/>
      <c r="J274" s="18">
        <f>14152</f>
        <v>14152</v>
      </c>
      <c r="K274" s="18">
        <f>912</f>
        <v>912</v>
      </c>
      <c r="L274" s="19">
        <f t="shared" si="12"/>
        <v>19596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68128</v>
      </c>
      <c r="G282" s="42">
        <f t="shared" si="13"/>
        <v>9901</v>
      </c>
      <c r="H282" s="42">
        <f t="shared" si="13"/>
        <v>22978</v>
      </c>
      <c r="I282" s="42">
        <f t="shared" si="13"/>
        <v>3480</v>
      </c>
      <c r="J282" s="42">
        <f t="shared" si="13"/>
        <v>18031</v>
      </c>
      <c r="K282" s="42">
        <f t="shared" si="13"/>
        <v>2195</v>
      </c>
      <c r="L282" s="41">
        <f t="shared" si="13"/>
        <v>124713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68128</v>
      </c>
      <c r="G330" s="41">
        <f t="shared" si="20"/>
        <v>9901</v>
      </c>
      <c r="H330" s="41">
        <f t="shared" si="20"/>
        <v>22978</v>
      </c>
      <c r="I330" s="41">
        <f t="shared" si="20"/>
        <v>3480</v>
      </c>
      <c r="J330" s="41">
        <f t="shared" si="20"/>
        <v>18031</v>
      </c>
      <c r="K330" s="41">
        <f t="shared" si="20"/>
        <v>2195</v>
      </c>
      <c r="L330" s="41">
        <f t="shared" si="20"/>
        <v>124713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68128</v>
      </c>
      <c r="G344" s="41">
        <f>G330</f>
        <v>9901</v>
      </c>
      <c r="H344" s="41">
        <f>H330</f>
        <v>22978</v>
      </c>
      <c r="I344" s="41">
        <f>I330</f>
        <v>3480</v>
      </c>
      <c r="J344" s="41">
        <f>J330</f>
        <v>18031</v>
      </c>
      <c r="K344" s="47">
        <f>K330+K343</f>
        <v>2195</v>
      </c>
      <c r="L344" s="41">
        <f>L330+L343</f>
        <v>124713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f>-1778+61604</f>
        <v>59826</v>
      </c>
      <c r="I350" s="18"/>
      <c r="J350" s="18"/>
      <c r="K350" s="18"/>
      <c r="L350" s="13">
        <f>SUM(F350:K350)</f>
        <v>59826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59826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59826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6550</v>
      </c>
      <c r="L373" s="13">
        <f t="shared" si="23"/>
        <v>6550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6550</v>
      </c>
      <c r="L374" s="47">
        <f t="shared" si="24"/>
        <v>6550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9000</v>
      </c>
      <c r="H388" s="18"/>
      <c r="I388" s="18"/>
      <c r="J388" s="24" t="s">
        <v>312</v>
      </c>
      <c r="K388" s="24" t="s">
        <v>312</v>
      </c>
      <c r="L388" s="56">
        <f t="shared" si="26"/>
        <v>9000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3000</v>
      </c>
      <c r="H390" s="18"/>
      <c r="I390" s="18"/>
      <c r="J390" s="24" t="s">
        <v>312</v>
      </c>
      <c r="K390" s="24" t="s">
        <v>312</v>
      </c>
      <c r="L390" s="56">
        <f t="shared" si="26"/>
        <v>3000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841</v>
      </c>
      <c r="I392" s="18"/>
      <c r="J392" s="24" t="s">
        <v>312</v>
      </c>
      <c r="K392" s="24" t="s">
        <v>312</v>
      </c>
      <c r="L392" s="56">
        <f t="shared" si="26"/>
        <v>841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12000</v>
      </c>
      <c r="H393" s="47">
        <f>SUM(H387:H392)</f>
        <v>841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12841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12000</v>
      </c>
      <c r="H400" s="47">
        <f>H385+H393+H399</f>
        <v>841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12841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>
        <f>6550+1488</f>
        <v>8038</v>
      </c>
      <c r="L410" s="56">
        <f t="shared" si="27"/>
        <v>8038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8038</v>
      </c>
      <c r="L411" s="47">
        <f t="shared" si="28"/>
        <v>8038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8038</v>
      </c>
      <c r="L426" s="47">
        <f t="shared" si="32"/>
        <v>8038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f>105456+12000+841-6550-1488</f>
        <v>110259</v>
      </c>
      <c r="G432" s="18"/>
      <c r="H432" s="18"/>
      <c r="I432" s="56">
        <f t="shared" si="33"/>
        <v>110259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110259</v>
      </c>
      <c r="G438" s="13">
        <f>SUM(G431:G437)</f>
        <v>0</v>
      </c>
      <c r="H438" s="13">
        <f>SUM(H431:H437)</f>
        <v>0</v>
      </c>
      <c r="I438" s="13">
        <f>SUM(I431:I437)</f>
        <v>110259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105456+12000+841-6550-1488</f>
        <v>110259</v>
      </c>
      <c r="G449" s="18"/>
      <c r="H449" s="18"/>
      <c r="I449" s="56">
        <f>SUM(F449:H449)</f>
        <v>110259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110259</v>
      </c>
      <c r="G450" s="83">
        <f>SUM(G446:G449)</f>
        <v>0</v>
      </c>
      <c r="H450" s="83">
        <f>SUM(H446:H449)</f>
        <v>0</v>
      </c>
      <c r="I450" s="83">
        <f>SUM(I446:I449)</f>
        <v>110259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110259</v>
      </c>
      <c r="G451" s="42">
        <f>G444+G450</f>
        <v>0</v>
      </c>
      <c r="H451" s="42">
        <f>H444+H450</f>
        <v>0</v>
      </c>
      <c r="I451" s="42">
        <f>I444+I450</f>
        <v>110259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124888</v>
      </c>
      <c r="G455" s="18">
        <f>0</f>
        <v>0</v>
      </c>
      <c r="H455" s="18">
        <f>27171</f>
        <v>27171</v>
      </c>
      <c r="I455" s="18"/>
      <c r="J455" s="18">
        <f>105456</f>
        <v>105456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3221998</v>
      </c>
      <c r="G458" s="18">
        <f>G185</f>
        <v>54354</v>
      </c>
      <c r="H458" s="18">
        <f>H185</f>
        <v>97941</v>
      </c>
      <c r="I458" s="18">
        <f>I184</f>
        <v>8038</v>
      </c>
      <c r="J458" s="18">
        <f>L393</f>
        <v>12841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>
        <v>41275</v>
      </c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3221998</v>
      </c>
      <c r="G460" s="53">
        <f>SUM(G458:G459)</f>
        <v>54354</v>
      </c>
      <c r="H460" s="53">
        <f>SUM(H458:H459)</f>
        <v>139216</v>
      </c>
      <c r="I460" s="53">
        <f>SUM(I458:I459)</f>
        <v>8038</v>
      </c>
      <c r="J460" s="53">
        <f>SUM(J458:J459)</f>
        <v>12841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3216462</v>
      </c>
      <c r="G462" s="18">
        <f>L354</f>
        <v>59826</v>
      </c>
      <c r="H462" s="18">
        <f>L344</f>
        <v>124713</v>
      </c>
      <c r="I462" s="18">
        <f>K374</f>
        <v>6550</v>
      </c>
      <c r="J462" s="18">
        <f>L411</f>
        <v>8038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110539</v>
      </c>
      <c r="G463" s="18">
        <v>149</v>
      </c>
      <c r="H463" s="18">
        <f>22834-22435</f>
        <v>399</v>
      </c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3327001</v>
      </c>
      <c r="G464" s="53">
        <f>SUM(G462:G463)</f>
        <v>59975</v>
      </c>
      <c r="H464" s="53">
        <f>SUM(H462:H463)</f>
        <v>125112</v>
      </c>
      <c r="I464" s="53">
        <f>SUM(I462:I463)</f>
        <v>6550</v>
      </c>
      <c r="J464" s="53">
        <f>SUM(J462:J463)</f>
        <v>8038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19885</v>
      </c>
      <c r="G466" s="53">
        <f>(G455+G460)- G464</f>
        <v>-5621</v>
      </c>
      <c r="H466" s="53">
        <f>(H455+H460)- H464</f>
        <v>41275</v>
      </c>
      <c r="I466" s="53">
        <f>(I455+I460)- I464</f>
        <v>1488</v>
      </c>
      <c r="J466" s="53">
        <f>(J455+J460)- J464</f>
        <v>110259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 t="shared" ref="F511:K513" si="35">F190+F269</f>
        <v>182958</v>
      </c>
      <c r="G511" s="18">
        <f t="shared" si="35"/>
        <v>61824</v>
      </c>
      <c r="H511" s="18">
        <f t="shared" si="35"/>
        <v>61378</v>
      </c>
      <c r="I511" s="18">
        <f t="shared" si="35"/>
        <v>1771</v>
      </c>
      <c r="J511" s="18">
        <f t="shared" si="35"/>
        <v>373</v>
      </c>
      <c r="K511" s="18">
        <f t="shared" si="35"/>
        <v>508</v>
      </c>
      <c r="L511" s="88">
        <f>SUM(F511:K511)</f>
        <v>308812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 t="shared" si="35"/>
        <v>0</v>
      </c>
      <c r="G512" s="18">
        <f t="shared" si="35"/>
        <v>0</v>
      </c>
      <c r="H512" s="18">
        <f t="shared" si="35"/>
        <v>0</v>
      </c>
      <c r="I512" s="18">
        <f t="shared" si="35"/>
        <v>0</v>
      </c>
      <c r="J512" s="18">
        <f t="shared" si="35"/>
        <v>0</v>
      </c>
      <c r="K512" s="18">
        <f t="shared" si="35"/>
        <v>0</v>
      </c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 t="shared" si="35"/>
        <v>35331</v>
      </c>
      <c r="G513" s="18">
        <f t="shared" si="35"/>
        <v>9039</v>
      </c>
      <c r="H513" s="18">
        <f t="shared" si="35"/>
        <v>5796</v>
      </c>
      <c r="I513" s="18">
        <f t="shared" si="35"/>
        <v>4974</v>
      </c>
      <c r="J513" s="18">
        <f t="shared" si="35"/>
        <v>0</v>
      </c>
      <c r="K513" s="18">
        <f t="shared" si="35"/>
        <v>0</v>
      </c>
      <c r="L513" s="88">
        <f>SUM(F513:K513)</f>
        <v>55140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218289</v>
      </c>
      <c r="G514" s="108">
        <f t="shared" ref="G514:L514" si="36">SUM(G511:G513)</f>
        <v>70863</v>
      </c>
      <c r="H514" s="108">
        <f t="shared" si="36"/>
        <v>67174</v>
      </c>
      <c r="I514" s="108">
        <f t="shared" si="36"/>
        <v>6745</v>
      </c>
      <c r="J514" s="108">
        <f t="shared" si="36"/>
        <v>373</v>
      </c>
      <c r="K514" s="108">
        <f t="shared" si="36"/>
        <v>508</v>
      </c>
      <c r="L514" s="89">
        <f t="shared" si="36"/>
        <v>363952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37881+15432</f>
        <v>53313</v>
      </c>
      <c r="I516" s="18"/>
      <c r="J516" s="18"/>
      <c r="K516" s="18"/>
      <c r="L516" s="88">
        <f>SUM(F516:K516)</f>
        <v>53313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7">SUM(G516:G518)</f>
        <v>0</v>
      </c>
      <c r="H519" s="89">
        <f t="shared" si="37"/>
        <v>53313</v>
      </c>
      <c r="I519" s="89">
        <f t="shared" si="37"/>
        <v>0</v>
      </c>
      <c r="J519" s="89">
        <f t="shared" si="37"/>
        <v>0</v>
      </c>
      <c r="K519" s="89">
        <f t="shared" si="37"/>
        <v>0</v>
      </c>
      <c r="L519" s="89">
        <f t="shared" si="37"/>
        <v>53313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12769</f>
        <v>12769</v>
      </c>
      <c r="G521" s="18">
        <f>19393-12769</f>
        <v>6624</v>
      </c>
      <c r="H521" s="18"/>
      <c r="I521" s="18">
        <v>100</v>
      </c>
      <c r="J521" s="18"/>
      <c r="K521" s="18"/>
      <c r="L521" s="88">
        <f>SUM(F521:K521)</f>
        <v>19493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12769</v>
      </c>
      <c r="G524" s="89">
        <f t="shared" ref="G524:L524" si="38">SUM(G521:G523)</f>
        <v>6624</v>
      </c>
      <c r="H524" s="89">
        <f t="shared" si="38"/>
        <v>0</v>
      </c>
      <c r="I524" s="89">
        <f t="shared" si="38"/>
        <v>100</v>
      </c>
      <c r="J524" s="89">
        <f t="shared" si="38"/>
        <v>0</v>
      </c>
      <c r="K524" s="89">
        <f t="shared" si="38"/>
        <v>0</v>
      </c>
      <c r="L524" s="89">
        <f t="shared" si="38"/>
        <v>19493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400</v>
      </c>
      <c r="I526" s="18"/>
      <c r="J526" s="18"/>
      <c r="K526" s="18"/>
      <c r="L526" s="88">
        <f>SUM(F526:K526)</f>
        <v>400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9">SUM(G526:G528)</f>
        <v>0</v>
      </c>
      <c r="H529" s="89">
        <f t="shared" si="39"/>
        <v>400</v>
      </c>
      <c r="I529" s="89">
        <f t="shared" si="39"/>
        <v>0</v>
      </c>
      <c r="J529" s="89">
        <f t="shared" si="39"/>
        <v>0</v>
      </c>
      <c r="K529" s="89">
        <f t="shared" si="39"/>
        <v>0</v>
      </c>
      <c r="L529" s="89">
        <f t="shared" si="39"/>
        <v>400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4092</v>
      </c>
      <c r="I531" s="18"/>
      <c r="J531" s="18"/>
      <c r="K531" s="18"/>
      <c r="L531" s="88">
        <f>SUM(F531:K531)</f>
        <v>4092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7873</v>
      </c>
      <c r="I533" s="18"/>
      <c r="J533" s="18"/>
      <c r="K533" s="18"/>
      <c r="L533" s="88">
        <f>SUM(F533:K533)</f>
        <v>7873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40">SUM(G531:G533)</f>
        <v>0</v>
      </c>
      <c r="H534" s="194">
        <f t="shared" si="40"/>
        <v>11965</v>
      </c>
      <c r="I534" s="194">
        <f t="shared" si="40"/>
        <v>0</v>
      </c>
      <c r="J534" s="194">
        <f t="shared" si="40"/>
        <v>0</v>
      </c>
      <c r="K534" s="194">
        <f t="shared" si="40"/>
        <v>0</v>
      </c>
      <c r="L534" s="194">
        <f t="shared" si="40"/>
        <v>11965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231058</v>
      </c>
      <c r="G535" s="89">
        <f t="shared" ref="G535:L535" si="41">G514+G519+G524+G529+G534</f>
        <v>77487</v>
      </c>
      <c r="H535" s="89">
        <f t="shared" si="41"/>
        <v>132852</v>
      </c>
      <c r="I535" s="89">
        <f t="shared" si="41"/>
        <v>6845</v>
      </c>
      <c r="J535" s="89">
        <f t="shared" si="41"/>
        <v>373</v>
      </c>
      <c r="K535" s="89">
        <f t="shared" si="41"/>
        <v>508</v>
      </c>
      <c r="L535" s="89">
        <f t="shared" si="41"/>
        <v>449123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308812</v>
      </c>
      <c r="G539" s="87">
        <f>L516</f>
        <v>53313</v>
      </c>
      <c r="H539" s="87">
        <f>L521</f>
        <v>19493</v>
      </c>
      <c r="I539" s="87">
        <f>L526</f>
        <v>400</v>
      </c>
      <c r="J539" s="87">
        <f>L531</f>
        <v>4092</v>
      </c>
      <c r="K539" s="87">
        <f>SUM(F539:J539)</f>
        <v>386110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55140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7873</v>
      </c>
      <c r="K541" s="87">
        <f>SUM(F541:J541)</f>
        <v>63013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2">SUM(F539:F541)</f>
        <v>363952</v>
      </c>
      <c r="G542" s="89">
        <f t="shared" si="42"/>
        <v>53313</v>
      </c>
      <c r="H542" s="89">
        <f t="shared" si="42"/>
        <v>19493</v>
      </c>
      <c r="I542" s="89">
        <f t="shared" si="42"/>
        <v>400</v>
      </c>
      <c r="J542" s="89">
        <f t="shared" si="42"/>
        <v>11965</v>
      </c>
      <c r="K542" s="89">
        <f t="shared" si="42"/>
        <v>449123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3">SUM(F547:F549)</f>
        <v>0</v>
      </c>
      <c r="G550" s="108">
        <f t="shared" si="43"/>
        <v>0</v>
      </c>
      <c r="H550" s="108">
        <f t="shared" si="43"/>
        <v>0</v>
      </c>
      <c r="I550" s="108">
        <f t="shared" si="43"/>
        <v>0</v>
      </c>
      <c r="J550" s="108">
        <f t="shared" si="43"/>
        <v>0</v>
      </c>
      <c r="K550" s="108">
        <f t="shared" si="43"/>
        <v>0</v>
      </c>
      <c r="L550" s="89">
        <f t="shared" si="43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4">SUM(F552:F554)</f>
        <v>0</v>
      </c>
      <c r="G555" s="89">
        <f t="shared" si="44"/>
        <v>0</v>
      </c>
      <c r="H555" s="89">
        <f t="shared" si="44"/>
        <v>0</v>
      </c>
      <c r="I555" s="89">
        <f t="shared" si="44"/>
        <v>0</v>
      </c>
      <c r="J555" s="89">
        <f t="shared" si="44"/>
        <v>0</v>
      </c>
      <c r="K555" s="89">
        <f t="shared" si="44"/>
        <v>0</v>
      </c>
      <c r="L555" s="89">
        <f t="shared" si="44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5">SUM(G557:G559)</f>
        <v>0</v>
      </c>
      <c r="H560" s="194">
        <f t="shared" si="45"/>
        <v>0</v>
      </c>
      <c r="I560" s="194">
        <f t="shared" si="45"/>
        <v>0</v>
      </c>
      <c r="J560" s="194">
        <f t="shared" si="45"/>
        <v>0</v>
      </c>
      <c r="K560" s="194">
        <f t="shared" si="45"/>
        <v>0</v>
      </c>
      <c r="L560" s="194">
        <f t="shared" si="45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6">G550+G555+G560</f>
        <v>0</v>
      </c>
      <c r="H561" s="89">
        <f t="shared" si="46"/>
        <v>0</v>
      </c>
      <c r="I561" s="89">
        <f t="shared" si="46"/>
        <v>0</v>
      </c>
      <c r="J561" s="89">
        <f t="shared" si="46"/>
        <v>0</v>
      </c>
      <c r="K561" s="89">
        <f t="shared" si="46"/>
        <v>0</v>
      </c>
      <c r="L561" s="89">
        <f t="shared" si="46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f>212800</f>
        <v>212800</v>
      </c>
      <c r="I565" s="87">
        <f>SUM(F565:H565)</f>
        <v>212800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f>575924</f>
        <v>575924</v>
      </c>
      <c r="I566" s="87">
        <f t="shared" ref="I566:I577" si="47">SUM(F566:H566)</f>
        <v>575924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7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14000</v>
      </c>
      <c r="G568" s="18"/>
      <c r="H568" s="18"/>
      <c r="I568" s="87">
        <f t="shared" si="47"/>
        <v>14000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7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>
        <v>64035</v>
      </c>
      <c r="I570" s="87">
        <f t="shared" si="47"/>
        <v>64035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7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f>45898</f>
        <v>45898</v>
      </c>
      <c r="I572" s="87">
        <f t="shared" si="47"/>
        <v>45898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7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7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7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7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125813</f>
        <v>125813</v>
      </c>
      <c r="I581" s="18"/>
      <c r="J581" s="18"/>
      <c r="K581" s="104">
        <f t="shared" ref="K581:K587" si="48">SUM(H581:J581)</f>
        <v>125813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4092</v>
      </c>
      <c r="I582" s="18"/>
      <c r="J582" s="18">
        <v>7873</v>
      </c>
      <c r="K582" s="104">
        <f t="shared" si="48"/>
        <v>11965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8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8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5190</v>
      </c>
      <c r="I585" s="18"/>
      <c r="J585" s="18"/>
      <c r="K585" s="104">
        <f t="shared" si="48"/>
        <v>5190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8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8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135095</v>
      </c>
      <c r="I588" s="108">
        <f>SUM(I581:I587)</f>
        <v>0</v>
      </c>
      <c r="J588" s="108">
        <f>SUM(J581:J587)</f>
        <v>7873</v>
      </c>
      <c r="K588" s="108">
        <f>SUM(K581:K587)</f>
        <v>142968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28237+1739+520+373+2642+1237+14152</f>
        <v>48900</v>
      </c>
      <c r="I594" s="18"/>
      <c r="J594" s="18"/>
      <c r="K594" s="104">
        <f>SUM(H594:J594)</f>
        <v>48900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48900</v>
      </c>
      <c r="I595" s="108">
        <f>SUM(I592:I594)</f>
        <v>0</v>
      </c>
      <c r="J595" s="108">
        <f>SUM(J592:J594)</f>
        <v>0</v>
      </c>
      <c r="K595" s="108">
        <f>SUM(K592:K594)</f>
        <v>48900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3113</v>
      </c>
      <c r="G601" s="18">
        <f>45+193+110</f>
        <v>348</v>
      </c>
      <c r="H601" s="18"/>
      <c r="I601" s="18"/>
      <c r="J601" s="18"/>
      <c r="K601" s="18"/>
      <c r="L601" s="88">
        <f>SUM(F601:K601)</f>
        <v>3461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9">SUM(F601:F603)</f>
        <v>3113</v>
      </c>
      <c r="G604" s="108">
        <f t="shared" si="49"/>
        <v>348</v>
      </c>
      <c r="H604" s="108">
        <f t="shared" si="49"/>
        <v>0</v>
      </c>
      <c r="I604" s="108">
        <f t="shared" si="49"/>
        <v>0</v>
      </c>
      <c r="J604" s="108">
        <f t="shared" si="49"/>
        <v>0</v>
      </c>
      <c r="K604" s="108">
        <f t="shared" si="49"/>
        <v>0</v>
      </c>
      <c r="L604" s="89">
        <f t="shared" si="49"/>
        <v>3461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145500</v>
      </c>
      <c r="H607" s="109">
        <f>SUM(F44)</f>
        <v>145500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4463</v>
      </c>
      <c r="H608" s="109">
        <f>SUM(G44)</f>
        <v>4463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11783</v>
      </c>
      <c r="H609" s="109">
        <f>SUM(H44)</f>
        <v>11783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1488</v>
      </c>
      <c r="H610" s="109">
        <f>SUM(I44)</f>
        <v>1488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110259</v>
      </c>
      <c r="H611" s="109">
        <f>SUM(J44)</f>
        <v>110259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19885</v>
      </c>
      <c r="H612" s="109">
        <f>F466</f>
        <v>19885</v>
      </c>
      <c r="I612" s="121" t="s">
        <v>106</v>
      </c>
      <c r="J612" s="109">
        <f t="shared" ref="J612:J645" si="50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-5621</v>
      </c>
      <c r="H613" s="109">
        <f>G466</f>
        <v>-5621</v>
      </c>
      <c r="I613" s="121" t="s">
        <v>108</v>
      </c>
      <c r="J613" s="109">
        <f t="shared" si="50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41275</v>
      </c>
      <c r="H614" s="109">
        <f>H466</f>
        <v>41275</v>
      </c>
      <c r="I614" s="121" t="s">
        <v>110</v>
      </c>
      <c r="J614" s="109">
        <f t="shared" si="50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1488</v>
      </c>
      <c r="H615" s="109">
        <f>I466</f>
        <v>1488</v>
      </c>
      <c r="I615" s="121" t="s">
        <v>112</v>
      </c>
      <c r="J615" s="109">
        <f t="shared" si="50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110259</v>
      </c>
      <c r="H616" s="109">
        <f>J466</f>
        <v>110259</v>
      </c>
      <c r="I616" s="140" t="s">
        <v>114</v>
      </c>
      <c r="J616" s="109">
        <f t="shared" si="50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3221998</v>
      </c>
      <c r="H617" s="104">
        <f>SUM(F458)</f>
        <v>3221998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54354</v>
      </c>
      <c r="H618" s="104">
        <f>SUM(G458)</f>
        <v>54354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97941</v>
      </c>
      <c r="H619" s="104">
        <f>SUM(H458)</f>
        <v>97941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8038</v>
      </c>
      <c r="H620" s="104">
        <f>SUM(I458)</f>
        <v>8038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12841</v>
      </c>
      <c r="H621" s="104">
        <f>SUM(J458)</f>
        <v>12841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3216462</v>
      </c>
      <c r="H622" s="104">
        <f>SUM(F462)</f>
        <v>3216462</v>
      </c>
      <c r="I622" s="140" t="s">
        <v>120</v>
      </c>
      <c r="J622" s="109">
        <f t="shared" si="50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124713</v>
      </c>
      <c r="H623" s="104">
        <f>SUM(H462)</f>
        <v>124713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59826</v>
      </c>
      <c r="H625" s="104">
        <f>SUM(G462)</f>
        <v>59826</v>
      </c>
      <c r="I625" s="140" t="s">
        <v>123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6550</v>
      </c>
      <c r="H626" s="104">
        <f>SUM(I462)</f>
        <v>6550</v>
      </c>
      <c r="I626" s="140" t="s">
        <v>125</v>
      </c>
      <c r="J626" s="109">
        <f t="shared" si="50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12841</v>
      </c>
      <c r="H627" s="164">
        <f>SUM(J458)</f>
        <v>12841</v>
      </c>
      <c r="I627" s="165" t="s">
        <v>119</v>
      </c>
      <c r="J627" s="151">
        <f t="shared" si="50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8038</v>
      </c>
      <c r="H628" s="164">
        <f>SUM(J462)</f>
        <v>8038</v>
      </c>
      <c r="I628" s="165" t="s">
        <v>126</v>
      </c>
      <c r="J628" s="151">
        <f t="shared" si="50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110259</v>
      </c>
      <c r="H629" s="104">
        <f>SUM(F451)</f>
        <v>110259</v>
      </c>
      <c r="I629" s="140" t="s">
        <v>128</v>
      </c>
      <c r="J629" s="109">
        <f t="shared" si="50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50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110259</v>
      </c>
      <c r="H632" s="104">
        <f>SUM(I451)</f>
        <v>110259</v>
      </c>
      <c r="I632" s="140" t="s">
        <v>134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0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841</v>
      </c>
      <c r="H634" s="104">
        <f>H400</f>
        <v>841</v>
      </c>
      <c r="I634" s="140" t="s">
        <v>504</v>
      </c>
      <c r="J634" s="109">
        <f t="shared" si="50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12000</v>
      </c>
      <c r="H635" s="104">
        <f>G400</f>
        <v>12000</v>
      </c>
      <c r="I635" s="140" t="s">
        <v>505</v>
      </c>
      <c r="J635" s="109">
        <f t="shared" si="50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12841</v>
      </c>
      <c r="H636" s="104">
        <f>L400</f>
        <v>12841</v>
      </c>
      <c r="I636" s="140" t="s">
        <v>501</v>
      </c>
      <c r="J636" s="109">
        <f t="shared" si="50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142968</v>
      </c>
      <c r="H637" s="104">
        <f>L200+L218+L236</f>
        <v>142968</v>
      </c>
      <c r="I637" s="140" t="s">
        <v>420</v>
      </c>
      <c r="J637" s="109">
        <f t="shared" si="50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48900</v>
      </c>
      <c r="H638" s="104">
        <f>(J249+J330)-(J247+J328)</f>
        <v>48900</v>
      </c>
      <c r="I638" s="140" t="s">
        <v>734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135095</v>
      </c>
      <c r="H639" s="104">
        <f>H588</f>
        <v>135095</v>
      </c>
      <c r="I639" s="140" t="s">
        <v>412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7873</v>
      </c>
      <c r="H641" s="104">
        <f>J588</f>
        <v>7873</v>
      </c>
      <c r="I641" s="140" t="s">
        <v>414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22940</v>
      </c>
      <c r="H642" s="104">
        <f>K255+K337</f>
        <v>22940</v>
      </c>
      <c r="I642" s="140" t="s">
        <v>421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12000</v>
      </c>
      <c r="H645" s="104">
        <f>K258+K339</f>
        <v>12000</v>
      </c>
      <c r="I645" s="140" t="s">
        <v>424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2459531</v>
      </c>
      <c r="G650" s="19">
        <f>(L221+L301+L351)</f>
        <v>0</v>
      </c>
      <c r="H650" s="19">
        <f>(L239+L320+L352)</f>
        <v>906530</v>
      </c>
      <c r="I650" s="19">
        <f>SUM(F650:H650)</f>
        <v>3366061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18680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18680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135095</v>
      </c>
      <c r="G652" s="19">
        <f>(L218+L298)-(J218+J298)</f>
        <v>0</v>
      </c>
      <c r="H652" s="19">
        <f>(L236+L317)-(J236+J317)</f>
        <v>7873</v>
      </c>
      <c r="I652" s="19">
        <f>SUM(F652:H652)</f>
        <v>142968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66361</v>
      </c>
      <c r="G653" s="200">
        <f>SUM(G565:G577)+SUM(I592:I594)+L602</f>
        <v>0</v>
      </c>
      <c r="H653" s="200">
        <f>SUM(H565:H577)+SUM(J592:J594)+L603</f>
        <v>898657</v>
      </c>
      <c r="I653" s="19">
        <f>SUM(F653:H653)</f>
        <v>965018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2239395</v>
      </c>
      <c r="G654" s="19">
        <f>G650-SUM(G651:G653)</f>
        <v>0</v>
      </c>
      <c r="H654" s="19">
        <f>H650-SUM(H651:H653)</f>
        <v>0</v>
      </c>
      <c r="I654" s="19">
        <f>I650-SUM(I651:I653)</f>
        <v>2239395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129.94</v>
      </c>
      <c r="G655" s="249"/>
      <c r="H655" s="249"/>
      <c r="I655" s="19">
        <f>SUM(F655:H655)</f>
        <v>129.94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17234.07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17234.07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17234.07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17234.07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167E-CED2-4541-A14C-60D2C65CFC0F}">
  <sheetPr>
    <tabColor indexed="20"/>
  </sheetPr>
  <dimension ref="A1:C52"/>
  <sheetViews>
    <sheetView topLeftCell="A16"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CORNISH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735987</v>
      </c>
      <c r="C9" s="230">
        <f>'DOE25'!G189+'DOE25'!G207+'DOE25'!G225+'DOE25'!G268+'DOE25'!G287+'DOE25'!G306</f>
        <v>257216</v>
      </c>
    </row>
    <row r="10" spans="1:3" x14ac:dyDescent="0.2">
      <c r="A10" t="s">
        <v>813</v>
      </c>
      <c r="B10" s="241">
        <v>604446</v>
      </c>
      <c r="C10" s="241">
        <f>235352-2831-326-41-2575-249</f>
        <v>229330</v>
      </c>
    </row>
    <row r="11" spans="1:3" x14ac:dyDescent="0.2">
      <c r="A11" t="s">
        <v>814</v>
      </c>
      <c r="B11" s="241">
        <f>(735987-725258)+96972</f>
        <v>107701</v>
      </c>
      <c r="C11" s="241">
        <f>257216-231428</f>
        <v>25788</v>
      </c>
    </row>
    <row r="12" spans="1:3" x14ac:dyDescent="0.2">
      <c r="A12" t="s">
        <v>815</v>
      </c>
      <c r="B12" s="241">
        <v>23840</v>
      </c>
      <c r="C12" s="241">
        <v>2098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735987</v>
      </c>
      <c r="C13" s="232">
        <f>SUM(C10:C12)</f>
        <v>257216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182958</v>
      </c>
      <c r="C18" s="230">
        <f>'DOE25'!G190+'DOE25'!G208+'DOE25'!G226+'DOE25'!G269+'DOE25'!G288+'DOE25'!G307</f>
        <v>61824</v>
      </c>
    </row>
    <row r="19" spans="1:3" x14ac:dyDescent="0.2">
      <c r="A19" t="s">
        <v>813</v>
      </c>
      <c r="B19" s="241">
        <f>3010+84850+22435</f>
        <v>110295</v>
      </c>
      <c r="C19" s="241">
        <f>19662+43+185+216</f>
        <v>20106</v>
      </c>
    </row>
    <row r="20" spans="1:3" x14ac:dyDescent="0.2">
      <c r="A20" t="s">
        <v>814</v>
      </c>
      <c r="B20" s="241">
        <v>72663</v>
      </c>
      <c r="C20" s="241">
        <f>61824-20106</f>
        <v>41718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182958</v>
      </c>
      <c r="C22" s="232">
        <f>SUM(C19:C21)</f>
        <v>61824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35331</v>
      </c>
      <c r="C36" s="236">
        <f>'DOE25'!G192+'DOE25'!G210+'DOE25'!G228+'DOE25'!G271+'DOE25'!G290+'DOE25'!G309</f>
        <v>9039</v>
      </c>
    </row>
    <row r="37" spans="1:3" x14ac:dyDescent="0.2">
      <c r="A37" t="s">
        <v>813</v>
      </c>
      <c r="B37" s="241">
        <v>3112</v>
      </c>
      <c r="C37" s="241">
        <v>348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32219</v>
      </c>
      <c r="C39" s="241">
        <v>8691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35331</v>
      </c>
      <c r="C40" s="232">
        <f>SUM(C37:C39)</f>
        <v>9039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D46-42FB-4814-8B9B-1E2116D7454A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CORNISH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2276964</v>
      </c>
      <c r="D5" s="20">
        <f>SUM('DOE25'!L189:L192)+SUM('DOE25'!L207:L210)+SUM('DOE25'!L225:L228)-F5-G5</f>
        <v>2246025</v>
      </c>
      <c r="E5" s="244"/>
      <c r="F5" s="256">
        <f>SUM('DOE25'!J189:J192)+SUM('DOE25'!J207:J210)+SUM('DOE25'!J225:J228)</f>
        <v>30869</v>
      </c>
      <c r="G5" s="53">
        <f>SUM('DOE25'!K189:K192)+SUM('DOE25'!K207:K210)+SUM('DOE25'!K225:K228)</f>
        <v>70</v>
      </c>
      <c r="H5" s="260"/>
    </row>
    <row r="6" spans="1:9" x14ac:dyDescent="0.2">
      <c r="A6" s="32">
        <v>2100</v>
      </c>
      <c r="B6" t="s">
        <v>835</v>
      </c>
      <c r="C6" s="246">
        <f t="shared" si="0"/>
        <v>73309</v>
      </c>
      <c r="D6" s="20">
        <f>'DOE25'!L194+'DOE25'!L212+'DOE25'!L230-F6-G6</f>
        <v>73309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57995</v>
      </c>
      <c r="D7" s="20">
        <f>'DOE25'!L195+'DOE25'!L213+'DOE25'!L231-F7-G7</f>
        <v>57995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139033</v>
      </c>
      <c r="D8" s="244"/>
      <c r="E8" s="20">
        <f>'DOE25'!L196+'DOE25'!L214+'DOE25'!L232-F8-G8-D9-D11</f>
        <v>136572</v>
      </c>
      <c r="F8" s="256">
        <f>'DOE25'!J196+'DOE25'!J214+'DOE25'!J232</f>
        <v>0</v>
      </c>
      <c r="G8" s="53">
        <f>'DOE25'!K196+'DOE25'!K214+'DOE25'!K232</f>
        <v>2461</v>
      </c>
      <c r="H8" s="260"/>
    </row>
    <row r="9" spans="1:9" x14ac:dyDescent="0.2">
      <c r="A9" s="32">
        <v>2310</v>
      </c>
      <c r="B9" t="s">
        <v>852</v>
      </c>
      <c r="C9" s="246">
        <f t="shared" si="0"/>
        <v>20562</v>
      </c>
      <c r="D9" s="245">
        <f>30+15+327+1000+22+95+6666+8950+902+20+74+2461</f>
        <v>20562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8950</v>
      </c>
      <c r="D10" s="244"/>
      <c r="E10" s="245">
        <v>8950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23556</v>
      </c>
      <c r="D11" s="245">
        <v>23556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165446</v>
      </c>
      <c r="D12" s="20">
        <f>'DOE25'!L197+'DOE25'!L215+'DOE25'!L233-F12-G12</f>
        <v>164744</v>
      </c>
      <c r="E12" s="244"/>
      <c r="F12" s="256">
        <f>'DOE25'!J197+'DOE25'!J215+'DOE25'!J233</f>
        <v>0</v>
      </c>
      <c r="G12" s="53">
        <f>'DOE25'!K197+'DOE25'!K215+'DOE25'!K233</f>
        <v>702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281689</v>
      </c>
      <c r="D14" s="20">
        <f>'DOE25'!L199+'DOE25'!L217+'DOE25'!L235-F14-G14</f>
        <v>281689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142968</v>
      </c>
      <c r="D15" s="20">
        <f>'DOE25'!L200+'DOE25'!L218+'DOE25'!L236-F15-G15</f>
        <v>142968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59826</v>
      </c>
      <c r="D29" s="20">
        <f>'DOE25'!L350+'DOE25'!L351+'DOE25'!L352-'DOE25'!I359-F29-G29</f>
        <v>59826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124713</v>
      </c>
      <c r="D31" s="20">
        <f>'DOE25'!L282+'DOE25'!L301+'DOE25'!L320+'DOE25'!L325+'DOE25'!L326+'DOE25'!L327-F31-G31</f>
        <v>104487</v>
      </c>
      <c r="E31" s="244"/>
      <c r="F31" s="256">
        <f>'DOE25'!J282+'DOE25'!J301+'DOE25'!J320+'DOE25'!J325+'DOE25'!J326+'DOE25'!J327</f>
        <v>18031</v>
      </c>
      <c r="G31" s="53">
        <f>'DOE25'!K282+'DOE25'!K301+'DOE25'!K320+'DOE25'!K325+'DOE25'!K326+'DOE25'!K327</f>
        <v>2195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3175161</v>
      </c>
      <c r="E33" s="247">
        <f>SUM(E5:E31)</f>
        <v>145522</v>
      </c>
      <c r="F33" s="247">
        <f>SUM(F5:F31)</f>
        <v>48900</v>
      </c>
      <c r="G33" s="247">
        <f>SUM(G5:G31)</f>
        <v>5428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145522</v>
      </c>
      <c r="E35" s="250"/>
    </row>
    <row r="36" spans="2:8" ht="12" thickTop="1" x14ac:dyDescent="0.2">
      <c r="B36" t="s">
        <v>849</v>
      </c>
      <c r="D36" s="20">
        <f>D33</f>
        <v>3175161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92DF-9554-4BA9-B015-08D0CF46B054}">
  <sheetPr transitionEvaluation="1" codeName="Sheet2">
    <tabColor indexed="10"/>
  </sheetPr>
  <dimension ref="A1:I156"/>
  <sheetViews>
    <sheetView zoomScale="75" workbookViewId="0">
      <pane ySplit="2" topLeftCell="A7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CORNISH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116133</v>
      </c>
      <c r="D9" s="95">
        <f>'DOE25'!G9</f>
        <v>0</v>
      </c>
      <c r="E9" s="95">
        <f>'DOE25'!H9</f>
        <v>0</v>
      </c>
      <c r="F9" s="95">
        <f>'DOE25'!I9</f>
        <v>1488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110259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662</v>
      </c>
      <c r="D13" s="95">
        <f>'DOE25'!G13</f>
        <v>2685</v>
      </c>
      <c r="E13" s="95">
        <f>'DOE25'!H13</f>
        <v>11783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6550</v>
      </c>
      <c r="D14" s="95">
        <f>'DOE25'!G14</f>
        <v>1778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22155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145500</v>
      </c>
      <c r="D19" s="41">
        <f>SUM(D9:D18)</f>
        <v>4463</v>
      </c>
      <c r="E19" s="41">
        <f>SUM(E9:E18)</f>
        <v>11783</v>
      </c>
      <c r="F19" s="41">
        <f>SUM(F9:F18)</f>
        <v>1488</v>
      </c>
      <c r="G19" s="41">
        <f>SUM(G9:G18)</f>
        <v>110259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19408</v>
      </c>
      <c r="D22" s="95">
        <f>'DOE25'!G23</f>
        <v>10084</v>
      </c>
      <c r="E22" s="95">
        <f>'DOE25'!H23</f>
        <v>-29492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106418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-211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125615</v>
      </c>
      <c r="D32" s="41">
        <f>SUM(D22:D31)</f>
        <v>10084</v>
      </c>
      <c r="E32" s="41">
        <f>SUM(E22:E31)</f>
        <v>-29492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550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15289</v>
      </c>
      <c r="D40" s="95">
        <f>'DOE25'!G41</f>
        <v>-5621</v>
      </c>
      <c r="E40" s="95">
        <f>'DOE25'!H41</f>
        <v>41275</v>
      </c>
      <c r="F40" s="95">
        <f>'DOE25'!I41</f>
        <v>1488</v>
      </c>
      <c r="G40" s="95">
        <f>'DOE25'!J41</f>
        <v>110259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4046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19885</v>
      </c>
      <c r="D42" s="41">
        <f>SUM(D34:D41)</f>
        <v>-5621</v>
      </c>
      <c r="E42" s="41">
        <f>SUM(E34:E41)</f>
        <v>41275</v>
      </c>
      <c r="F42" s="41">
        <f>SUM(F34:F41)</f>
        <v>1488</v>
      </c>
      <c r="G42" s="41">
        <f>SUM(G34:G41)</f>
        <v>110259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145500</v>
      </c>
      <c r="D43" s="41">
        <f>D42+D32</f>
        <v>4463</v>
      </c>
      <c r="E43" s="41">
        <f>E42+E32</f>
        <v>11783</v>
      </c>
      <c r="F43" s="41">
        <f>F42+F32</f>
        <v>1488</v>
      </c>
      <c r="G43" s="41">
        <f>G42+G32</f>
        <v>110259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1966458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4404</v>
      </c>
      <c r="D49" s="24" t="s">
        <v>312</v>
      </c>
      <c r="E49" s="95">
        <f>'DOE25'!H71</f>
        <v>43165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2265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841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18680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6141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12810</v>
      </c>
      <c r="D54" s="130">
        <f>SUM(D49:D53)</f>
        <v>18680</v>
      </c>
      <c r="E54" s="130">
        <f>SUM(E49:E53)</f>
        <v>43165</v>
      </c>
      <c r="F54" s="130">
        <f>SUM(F49:F53)</f>
        <v>0</v>
      </c>
      <c r="G54" s="130">
        <f>SUM(G49:G53)</f>
        <v>841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1979268</v>
      </c>
      <c r="D55" s="22">
        <f>D48+D54</f>
        <v>18680</v>
      </c>
      <c r="E55" s="22">
        <f>E48+E54</f>
        <v>43165</v>
      </c>
      <c r="F55" s="22">
        <f>F48+F54</f>
        <v>0</v>
      </c>
      <c r="G55" s="22">
        <f>G48+G54</f>
        <v>841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534653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422651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205130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1162434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2160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59762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-1976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61922</v>
      </c>
      <c r="D70" s="130">
        <f>SUM(D64:D69)</f>
        <v>-1976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1224356</v>
      </c>
      <c r="D73" s="130">
        <f>SUM(D71:D72)+D70+D62</f>
        <v>-1976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11824</v>
      </c>
      <c r="D80" s="95">
        <f>SUM('DOE25'!G145:G153)</f>
        <v>14710</v>
      </c>
      <c r="E80" s="95">
        <f>SUM('DOE25'!H145:H153)</f>
        <v>54776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11824</v>
      </c>
      <c r="D83" s="131">
        <f>SUM(D77:D82)</f>
        <v>14710</v>
      </c>
      <c r="E83" s="131">
        <f>SUM(E77:E82)</f>
        <v>54776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22940</v>
      </c>
      <c r="E88" s="95">
        <f>'DOE25'!H171</f>
        <v>0</v>
      </c>
      <c r="F88" s="95">
        <f>'DOE25'!I171</f>
        <v>0</v>
      </c>
      <c r="G88" s="95">
        <f>'DOE25'!J171</f>
        <v>12000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6550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8038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6550</v>
      </c>
      <c r="D95" s="86">
        <f>SUM(D85:D94)</f>
        <v>22940</v>
      </c>
      <c r="E95" s="86">
        <f>SUM(E85:E94)</f>
        <v>0</v>
      </c>
      <c r="F95" s="86">
        <f>SUM(F85:F94)</f>
        <v>8038</v>
      </c>
      <c r="G95" s="86">
        <f>SUM(G85:G94)</f>
        <v>12000</v>
      </c>
    </row>
    <row r="96" spans="1:7" ht="12.75" thickTop="1" thickBot="1" x14ac:dyDescent="0.25">
      <c r="A96" s="33" t="s">
        <v>797</v>
      </c>
      <c r="C96" s="86">
        <f>C55+C73+C83+C95</f>
        <v>3221998</v>
      </c>
      <c r="D96" s="86">
        <f>D55+D73+D83+D95</f>
        <v>54354</v>
      </c>
      <c r="E96" s="86">
        <f>E55+E73+E83+E95</f>
        <v>97941</v>
      </c>
      <c r="F96" s="86">
        <f>F55+F73+F83+F95</f>
        <v>8038</v>
      </c>
      <c r="G96" s="86">
        <f>G55+G73+G95</f>
        <v>12841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1876257</v>
      </c>
      <c r="D101" s="24" t="s">
        <v>312</v>
      </c>
      <c r="E101" s="95">
        <f>('DOE25'!L268)+('DOE25'!L287)+('DOE25'!L306)</f>
        <v>16039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388732</v>
      </c>
      <c r="D102" s="24" t="s">
        <v>312</v>
      </c>
      <c r="E102" s="95">
        <f>('DOE25'!L269)+('DOE25'!L288)+('DOE25'!L307)</f>
        <v>30013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11975</v>
      </c>
      <c r="D104" s="24" t="s">
        <v>312</v>
      </c>
      <c r="E104" s="95">
        <f>+('DOE25'!L271)+('DOE25'!L290)+('DOE25'!L309)</f>
        <v>43165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2276964</v>
      </c>
      <c r="D107" s="86">
        <f>SUM(D101:D106)</f>
        <v>0</v>
      </c>
      <c r="E107" s="86">
        <f>SUM(E101:E106)</f>
        <v>89217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73309</v>
      </c>
      <c r="D110" s="24" t="s">
        <v>312</v>
      </c>
      <c r="E110" s="95">
        <f>+('DOE25'!L273)+('DOE25'!L292)+('DOE25'!L311)</f>
        <v>15900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57995</v>
      </c>
      <c r="D111" s="24" t="s">
        <v>312</v>
      </c>
      <c r="E111" s="95">
        <f>+('DOE25'!L274)+('DOE25'!L293)+('DOE25'!L312)</f>
        <v>19596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183151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165446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281689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142968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59826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904558</v>
      </c>
      <c r="D120" s="86">
        <f>SUM(D110:D119)</f>
        <v>59826</v>
      </c>
      <c r="E120" s="86">
        <f>SUM(E110:E119)</f>
        <v>35496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6550</v>
      </c>
      <c r="G126" s="95">
        <f>'DOE25'!K426</f>
        <v>8038</v>
      </c>
    </row>
    <row r="127" spans="1:7" x14ac:dyDescent="0.2">
      <c r="A127" t="s">
        <v>256</v>
      </c>
      <c r="B127" s="32" t="s">
        <v>257</v>
      </c>
      <c r="C127" s="95">
        <f>'DOE25'!L255</f>
        <v>22940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12841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-841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34940</v>
      </c>
      <c r="D136" s="141">
        <f>SUM(D122:D135)</f>
        <v>0</v>
      </c>
      <c r="E136" s="141">
        <f>SUM(E122:E135)</f>
        <v>0</v>
      </c>
      <c r="F136" s="141">
        <f>SUM(F122:F135)</f>
        <v>6550</v>
      </c>
      <c r="G136" s="141">
        <f>SUM(G122:G135)</f>
        <v>8038</v>
      </c>
    </row>
    <row r="137" spans="1:9" ht="12.75" thickTop="1" thickBot="1" x14ac:dyDescent="0.25">
      <c r="A137" s="33" t="s">
        <v>267</v>
      </c>
      <c r="C137" s="86">
        <f>(C107+C120+C136)</f>
        <v>3216462</v>
      </c>
      <c r="D137" s="86">
        <f>(D107+D120+D136)</f>
        <v>59826</v>
      </c>
      <c r="E137" s="86">
        <f>(E107+E120+E136)</f>
        <v>124713</v>
      </c>
      <c r="F137" s="86">
        <f>(F107+F120+F136)</f>
        <v>6550</v>
      </c>
      <c r="G137" s="86">
        <f>(G107+G120+G136)</f>
        <v>8038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C6FC-7113-44ED-A27D-442AAE270A22}">
  <sheetPr codeName="Sheet3">
    <tabColor indexed="43"/>
  </sheetPr>
  <dimension ref="A1:D42"/>
  <sheetViews>
    <sheetView topLeftCell="A11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CORNISH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17234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17234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1892296</v>
      </c>
      <c r="D10" s="182">
        <f>ROUND((C10/$C$28)*100,1)</f>
        <v>56.5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418745</v>
      </c>
      <c r="D11" s="182">
        <f>ROUND((C11/$C$28)*100,1)</f>
        <v>12.5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55140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89209</v>
      </c>
      <c r="D15" s="182">
        <f t="shared" ref="D15:D27" si="0">ROUND((C15/$C$28)*100,1)</f>
        <v>2.7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77591</v>
      </c>
      <c r="D16" s="182">
        <f t="shared" si="0"/>
        <v>2.2999999999999998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183151</v>
      </c>
      <c r="D17" s="182">
        <f t="shared" si="0"/>
        <v>5.5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165446</v>
      </c>
      <c r="D18" s="182">
        <f t="shared" si="0"/>
        <v>4.9000000000000004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281689</v>
      </c>
      <c r="D20" s="182">
        <f t="shared" si="0"/>
        <v>8.4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142968</v>
      </c>
      <c r="D21" s="182">
        <f t="shared" si="0"/>
        <v>4.3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41146</v>
      </c>
      <c r="D27" s="182">
        <f t="shared" si="0"/>
        <v>1.2</v>
      </c>
    </row>
    <row r="28" spans="1:4" x14ac:dyDescent="0.2">
      <c r="B28" s="187" t="s">
        <v>754</v>
      </c>
      <c r="C28" s="180">
        <f>SUM(C10:C27)</f>
        <v>3347381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3347381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1966458</v>
      </c>
      <c r="D35" s="182">
        <f t="shared" ref="D35:D40" si="1">ROUND((C35/$C$41)*100,1)</f>
        <v>59.1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56816</v>
      </c>
      <c r="D36" s="182">
        <f t="shared" si="1"/>
        <v>1.7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957304</v>
      </c>
      <c r="D37" s="182">
        <f t="shared" si="1"/>
        <v>28.8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265076</v>
      </c>
      <c r="D38" s="182">
        <f t="shared" si="1"/>
        <v>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81310</v>
      </c>
      <c r="D39" s="182">
        <f t="shared" si="1"/>
        <v>2.4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3326964</v>
      </c>
      <c r="D41" s="184">
        <f>SUM(D35:D40)</f>
        <v>100.00000000000001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8275-0111-4EEC-8020-8F07D354187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CORNISH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2010-09-21T15:42:00Z</cp:lastPrinted>
  <dcterms:created xsi:type="dcterms:W3CDTF">1997-12-04T19:04:30Z</dcterms:created>
  <dcterms:modified xsi:type="dcterms:W3CDTF">2025-01-02T14:20:36Z</dcterms:modified>
</cp:coreProperties>
</file>