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5CA729E-CDB3-4B3C-8F1C-48DADA19A734}" xr6:coauthVersionLast="47" xr6:coauthVersionMax="47" xr10:uidLastSave="{00000000-0000-0000-0000-000000000000}"/>
  <workbookProtection workbookPassword="B70A" lockStructure="1"/>
  <bookViews>
    <workbookView xWindow="1560" yWindow="1560" windowWidth="21600" windowHeight="11505" tabRatio="855" xr2:uid="{BAEF64CE-983B-4F10-98A9-C7076C73B86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B19" i="12"/>
  <c r="B21" i="12"/>
  <c r="B20" i="12"/>
  <c r="B10" i="12"/>
  <c r="B11" i="12"/>
  <c r="J171" i="1"/>
  <c r="G511" i="1"/>
  <c r="F511" i="1"/>
  <c r="H513" i="1"/>
  <c r="I511" i="1"/>
  <c r="F226" i="1"/>
  <c r="F513" i="1" s="1"/>
  <c r="L513" i="1" s="1"/>
  <c r="F541" i="1" s="1"/>
  <c r="K541" i="1" s="1"/>
  <c r="H226" i="1"/>
  <c r="H236" i="1"/>
  <c r="G190" i="1"/>
  <c r="F190" i="1"/>
  <c r="H190" i="1"/>
  <c r="H511" i="1" s="1"/>
  <c r="F152" i="1"/>
  <c r="C80" i="2" s="1"/>
  <c r="F102" i="1"/>
  <c r="H594" i="1"/>
  <c r="H595" i="1" s="1"/>
  <c r="F449" i="1"/>
  <c r="H279" i="1"/>
  <c r="H274" i="1"/>
  <c r="G516" i="1"/>
  <c r="H533" i="1"/>
  <c r="H147" i="1"/>
  <c r="H154" i="1" s="1"/>
  <c r="H161" i="1" s="1"/>
  <c r="G268" i="1"/>
  <c r="G282" i="1" s="1"/>
  <c r="G330" i="1" s="1"/>
  <c r="G344" i="1" s="1"/>
  <c r="G269" i="1"/>
  <c r="I268" i="1"/>
  <c r="I282" i="1" s="1"/>
  <c r="I330" i="1" s="1"/>
  <c r="I344" i="1" s="1"/>
  <c r="H268" i="1"/>
  <c r="F268" i="1"/>
  <c r="G226" i="1"/>
  <c r="G513" i="1" s="1"/>
  <c r="G514" i="1" s="1"/>
  <c r="G535" i="1" s="1"/>
  <c r="I199" i="1"/>
  <c r="G199" i="1"/>
  <c r="L199" i="1" s="1"/>
  <c r="G197" i="1"/>
  <c r="C60" i="2"/>
  <c r="B2" i="13"/>
  <c r="F8" i="13"/>
  <c r="L196" i="1"/>
  <c r="C112" i="2" s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17" i="2" s="1"/>
  <c r="L219" i="1"/>
  <c r="L237" i="1"/>
  <c r="F5" i="13"/>
  <c r="G5" i="13"/>
  <c r="L189" i="1"/>
  <c r="L191" i="1"/>
  <c r="L192" i="1"/>
  <c r="L207" i="1"/>
  <c r="L208" i="1"/>
  <c r="L209" i="1"/>
  <c r="L210" i="1"/>
  <c r="L225" i="1"/>
  <c r="L227" i="1"/>
  <c r="C103" i="2" s="1"/>
  <c r="L228" i="1"/>
  <c r="F6" i="13"/>
  <c r="G6" i="13"/>
  <c r="L194" i="1"/>
  <c r="L212" i="1"/>
  <c r="L230" i="1"/>
  <c r="F7" i="13"/>
  <c r="G7" i="13"/>
  <c r="L195" i="1"/>
  <c r="L213" i="1"/>
  <c r="C111" i="2" s="1"/>
  <c r="L231" i="1"/>
  <c r="F12" i="13"/>
  <c r="D12" i="13" s="1"/>
  <c r="C12" i="13" s="1"/>
  <c r="G12" i="13"/>
  <c r="L197" i="1"/>
  <c r="L215" i="1"/>
  <c r="L233" i="1"/>
  <c r="F14" i="13"/>
  <c r="G14" i="13"/>
  <c r="L217" i="1"/>
  <c r="L235" i="1"/>
  <c r="F15" i="13"/>
  <c r="G15" i="13"/>
  <c r="L200" i="1"/>
  <c r="C21" i="10" s="1"/>
  <c r="L218" i="1"/>
  <c r="I581" i="1" s="1"/>
  <c r="I588" i="1" s="1"/>
  <c r="H640" i="1" s="1"/>
  <c r="J640" i="1" s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D29" i="13" s="1"/>
  <c r="C29" i="13" s="1"/>
  <c r="L352" i="1"/>
  <c r="D119" i="2" s="1"/>
  <c r="D120" i="2" s="1"/>
  <c r="D137" i="2" s="1"/>
  <c r="I359" i="1"/>
  <c r="I361" i="1" s="1"/>
  <c r="H624" i="1" s="1"/>
  <c r="J282" i="1"/>
  <c r="F31" i="13" s="1"/>
  <c r="J301" i="1"/>
  <c r="J320" i="1"/>
  <c r="K282" i="1"/>
  <c r="K301" i="1"/>
  <c r="K320" i="1"/>
  <c r="K330" i="1" s="1"/>
  <c r="K344" i="1" s="1"/>
  <c r="G31" i="13"/>
  <c r="L269" i="1"/>
  <c r="E102" i="2" s="1"/>
  <c r="L270" i="1"/>
  <c r="L271" i="1"/>
  <c r="L273" i="1"/>
  <c r="C15" i="10" s="1"/>
  <c r="L274" i="1"/>
  <c r="L275" i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C25" i="10" s="1"/>
  <c r="L333" i="1"/>
  <c r="L343" i="1" s="1"/>
  <c r="L334" i="1"/>
  <c r="L247" i="1"/>
  <c r="F22" i="13" s="1"/>
  <c r="C22" i="13" s="1"/>
  <c r="L328" i="1"/>
  <c r="C29" i="10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 s="1"/>
  <c r="B9" i="12"/>
  <c r="B13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53" i="2"/>
  <c r="F2" i="11"/>
  <c r="L603" i="1"/>
  <c r="H653" i="1"/>
  <c r="L602" i="1"/>
  <c r="G653" i="1" s="1"/>
  <c r="L601" i="1"/>
  <c r="C40" i="10"/>
  <c r="F52" i="1"/>
  <c r="C48" i="2"/>
  <c r="G52" i="1"/>
  <c r="H52" i="1"/>
  <c r="H104" i="1" s="1"/>
  <c r="E48" i="2"/>
  <c r="E55" i="2" s="1"/>
  <c r="E96" i="2" s="1"/>
  <c r="I52" i="1"/>
  <c r="F71" i="1"/>
  <c r="C49" i="2" s="1"/>
  <c r="C54" i="2" s="1"/>
  <c r="C55" i="2" s="1"/>
  <c r="F86" i="1"/>
  <c r="C50" i="2" s="1"/>
  <c r="F103" i="1"/>
  <c r="G103" i="1"/>
  <c r="G104" i="1"/>
  <c r="H71" i="1"/>
  <c r="H86" i="1"/>
  <c r="H103" i="1"/>
  <c r="I103" i="1"/>
  <c r="I104" i="1" s="1"/>
  <c r="C37" i="10"/>
  <c r="F113" i="1"/>
  <c r="F132" i="1" s="1"/>
  <c r="C38" i="10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E77" i="2" s="1"/>
  <c r="E83" i="2" s="1"/>
  <c r="I139" i="1"/>
  <c r="I161" i="1" s="1"/>
  <c r="I154" i="1"/>
  <c r="C19" i="10"/>
  <c r="L242" i="1"/>
  <c r="L324" i="1"/>
  <c r="C23" i="10" s="1"/>
  <c r="L246" i="1"/>
  <c r="L260" i="1"/>
  <c r="L261" i="1"/>
  <c r="L341" i="1"/>
  <c r="L342" i="1"/>
  <c r="E135" i="2" s="1"/>
  <c r="I655" i="1"/>
  <c r="I660" i="1"/>
  <c r="I659" i="1"/>
  <c r="C42" i="10"/>
  <c r="C32" i="10"/>
  <c r="L366" i="1"/>
  <c r="L374" i="1" s="1"/>
  <c r="G626" i="1" s="1"/>
  <c r="J626" i="1" s="1"/>
  <c r="L367" i="1"/>
  <c r="L368" i="1"/>
  <c r="F122" i="2" s="1"/>
  <c r="F136" i="2" s="1"/>
  <c r="L369" i="1"/>
  <c r="L370" i="1"/>
  <c r="L371" i="1"/>
  <c r="L372" i="1"/>
  <c r="B2" i="10"/>
  <c r="L336" i="1"/>
  <c r="L337" i="1"/>
  <c r="L338" i="1"/>
  <c r="E129" i="2" s="1"/>
  <c r="L339" i="1"/>
  <c r="K343" i="1"/>
  <c r="L512" i="1"/>
  <c r="F540" i="1"/>
  <c r="L516" i="1"/>
  <c r="G539" i="1"/>
  <c r="L517" i="1"/>
  <c r="G540" i="1" s="1"/>
  <c r="G542" i="1" s="1"/>
  <c r="L518" i="1"/>
  <c r="G541" i="1" s="1"/>
  <c r="L521" i="1"/>
  <c r="H539" i="1"/>
  <c r="L522" i="1"/>
  <c r="H540" i="1"/>
  <c r="L523" i="1"/>
  <c r="H541" i="1" s="1"/>
  <c r="H542" i="1" s="1"/>
  <c r="L526" i="1"/>
  <c r="I539" i="1"/>
  <c r="L527" i="1"/>
  <c r="I540" i="1" s="1"/>
  <c r="L528" i="1"/>
  <c r="I541" i="1" s="1"/>
  <c r="L531" i="1"/>
  <c r="J539" i="1"/>
  <c r="J542" i="1" s="1"/>
  <c r="L532" i="1"/>
  <c r="J540" i="1" s="1"/>
  <c r="L533" i="1"/>
  <c r="J541" i="1" s="1"/>
  <c r="E124" i="2"/>
  <c r="E123" i="2"/>
  <c r="K262" i="1"/>
  <c r="J262" i="1"/>
  <c r="L262" i="1" s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I438" i="1" s="1"/>
  <c r="G632" i="1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F32" i="2" s="1"/>
  <c r="I440" i="1"/>
  <c r="J23" i="1" s="1"/>
  <c r="C23" i="2"/>
  <c r="C32" i="2" s="1"/>
  <c r="D23" i="2"/>
  <c r="E23" i="2"/>
  <c r="E32" i="2" s="1"/>
  <c r="F23" i="2"/>
  <c r="I441" i="1"/>
  <c r="J24" i="1" s="1"/>
  <c r="G23" i="2" s="1"/>
  <c r="C24" i="2"/>
  <c r="C25" i="2"/>
  <c r="C26" i="2"/>
  <c r="C27" i="2"/>
  <c r="C28" i="2"/>
  <c r="C29" i="2"/>
  <c r="C30" i="2"/>
  <c r="C31" i="2"/>
  <c r="D24" i="2"/>
  <c r="D32" i="2" s="1"/>
  <c r="E24" i="2"/>
  <c r="F24" i="2"/>
  <c r="I442" i="1"/>
  <c r="J25" i="1" s="1"/>
  <c r="G24" i="2" s="1"/>
  <c r="D25" i="2"/>
  <c r="E25" i="2"/>
  <c r="F25" i="2"/>
  <c r="F26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 s="1"/>
  <c r="G31" i="2" s="1"/>
  <c r="C34" i="2"/>
  <c r="D34" i="2"/>
  <c r="E34" i="2"/>
  <c r="F34" i="2"/>
  <c r="C35" i="2"/>
  <c r="C42" i="2" s="1"/>
  <c r="C43" i="2" s="1"/>
  <c r="D35" i="2"/>
  <c r="E35" i="2"/>
  <c r="F35" i="2"/>
  <c r="C36" i="2"/>
  <c r="D36" i="2"/>
  <c r="D42" i="2" s="1"/>
  <c r="D43" i="2" s="1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C38" i="2"/>
  <c r="D38" i="2"/>
  <c r="E38" i="2"/>
  <c r="E42" i="2" s="1"/>
  <c r="E43" i="2" s="1"/>
  <c r="F38" i="2"/>
  <c r="I448" i="1"/>
  <c r="J40" i="1"/>
  <c r="G39" i="2" s="1"/>
  <c r="C40" i="2"/>
  <c r="D40" i="2"/>
  <c r="E40" i="2"/>
  <c r="F40" i="2"/>
  <c r="I449" i="1"/>
  <c r="I450" i="1" s="1"/>
  <c r="J41" i="1"/>
  <c r="G40" i="2" s="1"/>
  <c r="C41" i="2"/>
  <c r="D41" i="2"/>
  <c r="E41" i="2"/>
  <c r="F41" i="2"/>
  <c r="D48" i="2"/>
  <c r="F48" i="2"/>
  <c r="E49" i="2"/>
  <c r="E54" i="2" s="1"/>
  <c r="E50" i="2"/>
  <c r="E51" i="2"/>
  <c r="E53" i="2"/>
  <c r="C51" i="2"/>
  <c r="D51" i="2"/>
  <c r="F51" i="2"/>
  <c r="F53" i="2"/>
  <c r="F54" i="2" s="1"/>
  <c r="F55" i="2" s="1"/>
  <c r="D52" i="2"/>
  <c r="C53" i="2"/>
  <c r="D53" i="2"/>
  <c r="C58" i="2"/>
  <c r="C59" i="2"/>
  <c r="C62" i="2" s="1"/>
  <c r="C61" i="2"/>
  <c r="D61" i="2"/>
  <c r="D62" i="2" s="1"/>
  <c r="D73" i="2" s="1"/>
  <c r="E61" i="2"/>
  <c r="E62" i="2"/>
  <c r="E71" i="2"/>
  <c r="E72" i="2"/>
  <c r="E68" i="2"/>
  <c r="E70" i="2" s="1"/>
  <c r="E73" i="2" s="1"/>
  <c r="E69" i="2"/>
  <c r="F61" i="2"/>
  <c r="F62" i="2" s="1"/>
  <c r="F64" i="2"/>
  <c r="F70" i="2" s="1"/>
  <c r="F73" i="2" s="1"/>
  <c r="F65" i="2"/>
  <c r="F68" i="2"/>
  <c r="F69" i="2"/>
  <c r="G61" i="2"/>
  <c r="G62" i="2"/>
  <c r="C64" i="2"/>
  <c r="C65" i="2"/>
  <c r="C70" i="2" s="1"/>
  <c r="C66" i="2"/>
  <c r="C67" i="2"/>
  <c r="C68" i="2"/>
  <c r="C69" i="2"/>
  <c r="D69" i="2"/>
  <c r="D70" i="2"/>
  <c r="G69" i="2"/>
  <c r="G70" i="2"/>
  <c r="C71" i="2"/>
  <c r="D71" i="2"/>
  <c r="C72" i="2"/>
  <c r="C77" i="2"/>
  <c r="F77" i="2"/>
  <c r="F83" i="2" s="1"/>
  <c r="C79" i="2"/>
  <c r="E79" i="2"/>
  <c r="F79" i="2"/>
  <c r="D80" i="2"/>
  <c r="E80" i="2"/>
  <c r="F80" i="2"/>
  <c r="C81" i="2"/>
  <c r="D81" i="2"/>
  <c r="E81" i="2"/>
  <c r="F81" i="2"/>
  <c r="C82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C101" i="2"/>
  <c r="E103" i="2"/>
  <c r="C104" i="2"/>
  <c r="E104" i="2"/>
  <c r="C105" i="2"/>
  <c r="E106" i="2"/>
  <c r="D107" i="2"/>
  <c r="F107" i="2"/>
  <c r="F137" i="2" s="1"/>
  <c r="G107" i="2"/>
  <c r="C110" i="2"/>
  <c r="E110" i="2"/>
  <c r="E111" i="2"/>
  <c r="E112" i="2"/>
  <c r="C113" i="2"/>
  <c r="E113" i="2"/>
  <c r="C114" i="2"/>
  <c r="E114" i="2"/>
  <c r="E115" i="2"/>
  <c r="F120" i="2"/>
  <c r="G120" i="2"/>
  <c r="D126" i="2"/>
  <c r="E126" i="2"/>
  <c r="F126" i="2"/>
  <c r="K411" i="1"/>
  <c r="K426" i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 s="1"/>
  <c r="G490" i="1"/>
  <c r="C153" i="2"/>
  <c r="H490" i="1"/>
  <c r="D153" i="2"/>
  <c r="I490" i="1"/>
  <c r="E153" i="2" s="1"/>
  <c r="J490" i="1"/>
  <c r="F153" i="2"/>
  <c r="B154" i="2"/>
  <c r="C154" i="2"/>
  <c r="D154" i="2"/>
  <c r="G154" i="2" s="1"/>
  <c r="E154" i="2"/>
  <c r="F154" i="2"/>
  <c r="B155" i="2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607" i="1" s="1"/>
  <c r="G19" i="1"/>
  <c r="H19" i="1"/>
  <c r="G609" i="1"/>
  <c r="I19" i="1"/>
  <c r="F33" i="1"/>
  <c r="F44" i="1" s="1"/>
  <c r="H607" i="1" s="1"/>
  <c r="G33" i="1"/>
  <c r="H33" i="1"/>
  <c r="I33" i="1"/>
  <c r="F43" i="1"/>
  <c r="G43" i="1"/>
  <c r="G613" i="1" s="1"/>
  <c r="H43" i="1"/>
  <c r="H44" i="1"/>
  <c r="H609" i="1"/>
  <c r="I43" i="1"/>
  <c r="I44" i="1" s="1"/>
  <c r="H610" i="1" s="1"/>
  <c r="G44" i="1"/>
  <c r="H608" i="1" s="1"/>
  <c r="J608" i="1" s="1"/>
  <c r="F169" i="1"/>
  <c r="F184" i="1"/>
  <c r="I169" i="1"/>
  <c r="I184" i="1" s="1"/>
  <c r="F175" i="1"/>
  <c r="G175" i="1"/>
  <c r="H175" i="1"/>
  <c r="H184" i="1" s="1"/>
  <c r="I175" i="1"/>
  <c r="J175" i="1"/>
  <c r="J184" i="1"/>
  <c r="F180" i="1"/>
  <c r="G180" i="1"/>
  <c r="G184" i="1" s="1"/>
  <c r="H180" i="1"/>
  <c r="I180" i="1"/>
  <c r="F203" i="1"/>
  <c r="G203" i="1"/>
  <c r="H203" i="1"/>
  <c r="I203" i="1"/>
  <c r="I249" i="1" s="1"/>
  <c r="I263" i="1" s="1"/>
  <c r="J203" i="1"/>
  <c r="K203" i="1"/>
  <c r="F221" i="1"/>
  <c r="G221" i="1"/>
  <c r="H221" i="1"/>
  <c r="I221" i="1"/>
  <c r="J221" i="1"/>
  <c r="J249" i="1" s="1"/>
  <c r="F239" i="1"/>
  <c r="G239" i="1"/>
  <c r="H239" i="1"/>
  <c r="H249" i="1" s="1"/>
  <c r="H263" i="1" s="1"/>
  <c r="I239" i="1"/>
  <c r="J239" i="1"/>
  <c r="K239" i="1"/>
  <c r="F248" i="1"/>
  <c r="G248" i="1"/>
  <c r="L248" i="1" s="1"/>
  <c r="H248" i="1"/>
  <c r="I248" i="1"/>
  <c r="J248" i="1"/>
  <c r="K248" i="1"/>
  <c r="F249" i="1"/>
  <c r="F263" i="1"/>
  <c r="F282" i="1"/>
  <c r="F330" i="1" s="1"/>
  <c r="F344" i="1" s="1"/>
  <c r="H282" i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L329" i="1" s="1"/>
  <c r="J329" i="1"/>
  <c r="J330" i="1" s="1"/>
  <c r="J344" i="1" s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I393" i="1"/>
  <c r="F399" i="1"/>
  <c r="F400" i="1" s="1"/>
  <c r="H633" i="1" s="1"/>
  <c r="J633" i="1" s="1"/>
  <c r="G399" i="1"/>
  <c r="H399" i="1"/>
  <c r="I399" i="1"/>
  <c r="I400" i="1" s="1"/>
  <c r="L405" i="1"/>
  <c r="L406" i="1"/>
  <c r="L411" i="1" s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G426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H426" i="1"/>
  <c r="J426" i="1"/>
  <c r="F438" i="1"/>
  <c r="G629" i="1"/>
  <c r="G438" i="1"/>
  <c r="H438" i="1"/>
  <c r="G631" i="1"/>
  <c r="J631" i="1" s="1"/>
  <c r="F444" i="1"/>
  <c r="F451" i="1" s="1"/>
  <c r="H629" i="1" s="1"/>
  <c r="G444" i="1"/>
  <c r="H444" i="1"/>
  <c r="F450" i="1"/>
  <c r="G450" i="1"/>
  <c r="H450" i="1"/>
  <c r="H451" i="1" s="1"/>
  <c r="H631" i="1" s="1"/>
  <c r="G451" i="1"/>
  <c r="G460" i="1"/>
  <c r="G466" i="1" s="1"/>
  <c r="H613" i="1" s="1"/>
  <c r="I460" i="1"/>
  <c r="I466" i="1" s="1"/>
  <c r="H615" i="1" s="1"/>
  <c r="J615" i="1" s="1"/>
  <c r="G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I514" i="1"/>
  <c r="I535" i="1" s="1"/>
  <c r="J514" i="1"/>
  <c r="J535" i="1" s="1"/>
  <c r="K514" i="1"/>
  <c r="F519" i="1"/>
  <c r="F524" i="1"/>
  <c r="G519" i="1"/>
  <c r="H519" i="1"/>
  <c r="I519" i="1"/>
  <c r="J519" i="1"/>
  <c r="K519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K592" i="1"/>
  <c r="K595" i="1" s="1"/>
  <c r="G638" i="1" s="1"/>
  <c r="K593" i="1"/>
  <c r="K594" i="1"/>
  <c r="I595" i="1"/>
  <c r="J595" i="1"/>
  <c r="F604" i="1"/>
  <c r="G604" i="1"/>
  <c r="H604" i="1"/>
  <c r="I604" i="1"/>
  <c r="J604" i="1"/>
  <c r="K604" i="1"/>
  <c r="L604" i="1"/>
  <c r="G608" i="1"/>
  <c r="G610" i="1"/>
  <c r="G612" i="1"/>
  <c r="G614" i="1"/>
  <c r="G615" i="1"/>
  <c r="H618" i="1"/>
  <c r="H620" i="1"/>
  <c r="G624" i="1"/>
  <c r="J624" i="1" s="1"/>
  <c r="H625" i="1"/>
  <c r="H626" i="1"/>
  <c r="H628" i="1"/>
  <c r="G630" i="1"/>
  <c r="H630" i="1"/>
  <c r="J630" i="1" s="1"/>
  <c r="G633" i="1"/>
  <c r="G640" i="1"/>
  <c r="G641" i="1"/>
  <c r="J641" i="1" s="1"/>
  <c r="G642" i="1"/>
  <c r="H642" i="1"/>
  <c r="J642" i="1"/>
  <c r="G643" i="1"/>
  <c r="H643" i="1"/>
  <c r="J643" i="1"/>
  <c r="G644" i="1"/>
  <c r="H644" i="1"/>
  <c r="J644" i="1" s="1"/>
  <c r="G645" i="1"/>
  <c r="H645" i="1"/>
  <c r="J645" i="1"/>
  <c r="G152" i="2"/>
  <c r="G148" i="2"/>
  <c r="C95" i="2"/>
  <c r="E19" i="2"/>
  <c r="D6" i="13"/>
  <c r="C6" i="13" s="1"/>
  <c r="G635" i="1"/>
  <c r="E105" i="2"/>
  <c r="C18" i="10"/>
  <c r="G37" i="2"/>
  <c r="G73" i="2"/>
  <c r="C35" i="10"/>
  <c r="L393" i="1"/>
  <c r="H25" i="13"/>
  <c r="H651" i="1"/>
  <c r="C13" i="10"/>
  <c r="G155" i="2"/>
  <c r="D54" i="2"/>
  <c r="D55" i="2"/>
  <c r="E16" i="13"/>
  <c r="C16" i="13" s="1"/>
  <c r="H652" i="1"/>
  <c r="C6" i="10"/>
  <c r="C131" i="2"/>
  <c r="G249" i="1"/>
  <c r="G263" i="1" s="1"/>
  <c r="C25" i="13"/>
  <c r="H33" i="13"/>
  <c r="K221" i="1"/>
  <c r="K249" i="1" s="1"/>
  <c r="K263" i="1" s="1"/>
  <c r="G8" i="13"/>
  <c r="G33" i="13" s="1"/>
  <c r="L214" i="1"/>
  <c r="L221" i="1"/>
  <c r="G650" i="1" s="1"/>
  <c r="C5" i="10"/>
  <c r="A22" i="12"/>
  <c r="J609" i="1"/>
  <c r="J588" i="1"/>
  <c r="H641" i="1" s="1"/>
  <c r="J607" i="1" l="1"/>
  <c r="C120" i="2"/>
  <c r="J610" i="1"/>
  <c r="L561" i="1"/>
  <c r="F96" i="2"/>
  <c r="C39" i="10"/>
  <c r="H185" i="1"/>
  <c r="J638" i="1"/>
  <c r="J613" i="1"/>
  <c r="G153" i="2"/>
  <c r="I185" i="1"/>
  <c r="G620" i="1" s="1"/>
  <c r="J620" i="1" s="1"/>
  <c r="D14" i="13"/>
  <c r="C14" i="13" s="1"/>
  <c r="C20" i="10"/>
  <c r="C115" i="2"/>
  <c r="J88" i="1"/>
  <c r="H634" i="1"/>
  <c r="C83" i="2"/>
  <c r="C73" i="2"/>
  <c r="I542" i="1"/>
  <c r="K540" i="1"/>
  <c r="F514" i="1"/>
  <c r="F535" i="1" s="1"/>
  <c r="J19" i="1"/>
  <c r="G611" i="1" s="1"/>
  <c r="G9" i="2"/>
  <c r="G19" i="2" s="1"/>
  <c r="C130" i="2"/>
  <c r="C133" i="2" s="1"/>
  <c r="L400" i="1"/>
  <c r="J635" i="1"/>
  <c r="E120" i="2"/>
  <c r="G654" i="1"/>
  <c r="H514" i="1"/>
  <c r="H535" i="1" s="1"/>
  <c r="L511" i="1"/>
  <c r="L426" i="1"/>
  <c r="G628" i="1" s="1"/>
  <c r="J628" i="1" s="1"/>
  <c r="F33" i="13"/>
  <c r="J263" i="1"/>
  <c r="H638" i="1"/>
  <c r="G36" i="2"/>
  <c r="G42" i="2" s="1"/>
  <c r="J43" i="1"/>
  <c r="J33" i="1"/>
  <c r="G22" i="2"/>
  <c r="G32" i="2" s="1"/>
  <c r="J629" i="1"/>
  <c r="G185" i="1"/>
  <c r="G618" i="1" s="1"/>
  <c r="J618" i="1" s="1"/>
  <c r="C96" i="2"/>
  <c r="L239" i="1"/>
  <c r="H650" i="1" s="1"/>
  <c r="H654" i="1" s="1"/>
  <c r="C17" i="10"/>
  <c r="C156" i="2"/>
  <c r="G156" i="2" s="1"/>
  <c r="J13" i="1"/>
  <c r="G13" i="2" s="1"/>
  <c r="L268" i="1"/>
  <c r="L354" i="1"/>
  <c r="L226" i="1"/>
  <c r="C26" i="10"/>
  <c r="C16" i="10"/>
  <c r="I444" i="1"/>
  <c r="I451" i="1" s="1"/>
  <c r="H632" i="1" s="1"/>
  <c r="J632" i="1" s="1"/>
  <c r="E122" i="2"/>
  <c r="E136" i="2" s="1"/>
  <c r="C106" i="2"/>
  <c r="C10" i="10"/>
  <c r="C122" i="2"/>
  <c r="C136" i="2" s="1"/>
  <c r="H581" i="1"/>
  <c r="L519" i="1"/>
  <c r="K490" i="1"/>
  <c r="C12" i="10"/>
  <c r="F104" i="1"/>
  <c r="G639" i="1"/>
  <c r="L534" i="1"/>
  <c r="D77" i="2"/>
  <c r="D83" i="2" s="1"/>
  <c r="D96" i="2" s="1"/>
  <c r="C24" i="10"/>
  <c r="H637" i="1"/>
  <c r="C116" i="2"/>
  <c r="G48" i="2"/>
  <c r="F651" i="1"/>
  <c r="I651" i="1" s="1"/>
  <c r="G651" i="1"/>
  <c r="D7" i="13"/>
  <c r="C7" i="13" s="1"/>
  <c r="F652" i="1"/>
  <c r="I652" i="1" s="1"/>
  <c r="F653" i="1"/>
  <c r="I653" i="1" s="1"/>
  <c r="E8" i="13"/>
  <c r="D15" i="13"/>
  <c r="C15" i="13" s="1"/>
  <c r="C9" i="12"/>
  <c r="A13" i="12" s="1"/>
  <c r="L190" i="1"/>
  <c r="D5" i="13" s="1"/>
  <c r="C5" i="13" l="1"/>
  <c r="F185" i="1"/>
  <c r="C36" i="10"/>
  <c r="G619" i="1"/>
  <c r="H458" i="1"/>
  <c r="G657" i="1"/>
  <c r="G662" i="1"/>
  <c r="C27" i="10"/>
  <c r="G625" i="1"/>
  <c r="J625" i="1" s="1"/>
  <c r="J44" i="1"/>
  <c r="H611" i="1" s="1"/>
  <c r="G616" i="1"/>
  <c r="E101" i="2"/>
  <c r="E107" i="2" s="1"/>
  <c r="E137" i="2" s="1"/>
  <c r="L282" i="1"/>
  <c r="G43" i="2"/>
  <c r="H588" i="1"/>
  <c r="H639" i="1" s="1"/>
  <c r="J639" i="1" s="1"/>
  <c r="K581" i="1"/>
  <c r="K588" i="1" s="1"/>
  <c r="G637" i="1" s="1"/>
  <c r="J637" i="1" s="1"/>
  <c r="H636" i="1"/>
  <c r="G627" i="1"/>
  <c r="G634" i="1"/>
  <c r="J634" i="1" s="1"/>
  <c r="J103" i="1"/>
  <c r="J104" i="1" s="1"/>
  <c r="J185" i="1" s="1"/>
  <c r="G51" i="2"/>
  <c r="G54" i="2" s="1"/>
  <c r="G55" i="2" s="1"/>
  <c r="G96" i="2" s="1"/>
  <c r="C28" i="10"/>
  <c r="D16" i="10" s="1"/>
  <c r="H662" i="1"/>
  <c r="H657" i="1"/>
  <c r="C102" i="2"/>
  <c r="C107" i="2" s="1"/>
  <c r="C137" i="2" s="1"/>
  <c r="L203" i="1"/>
  <c r="C11" i="10"/>
  <c r="F539" i="1"/>
  <c r="L514" i="1"/>
  <c r="L535" i="1" s="1"/>
  <c r="J611" i="1"/>
  <c r="E33" i="13"/>
  <c r="D35" i="13" s="1"/>
  <c r="C8" i="13"/>
  <c r="D24" i="10" l="1"/>
  <c r="D11" i="10"/>
  <c r="D27" i="10"/>
  <c r="F650" i="1"/>
  <c r="L249" i="1"/>
  <c r="L263" i="1" s="1"/>
  <c r="D12" i="10"/>
  <c r="D20" i="10"/>
  <c r="H619" i="1"/>
  <c r="H460" i="1"/>
  <c r="J619" i="1"/>
  <c r="C30" i="10"/>
  <c r="D13" i="10"/>
  <c r="D22" i="10"/>
  <c r="D18" i="10"/>
  <c r="D25" i="10"/>
  <c r="D23" i="10"/>
  <c r="D15" i="10"/>
  <c r="D21" i="10"/>
  <c r="D19" i="10"/>
  <c r="D31" i="13"/>
  <c r="L330" i="1"/>
  <c r="L344" i="1" s="1"/>
  <c r="D26" i="10"/>
  <c r="D10" i="10"/>
  <c r="C41" i="10"/>
  <c r="D17" i="10"/>
  <c r="G617" i="1"/>
  <c r="F458" i="1"/>
  <c r="K539" i="1"/>
  <c r="K542" i="1" s="1"/>
  <c r="F542" i="1"/>
  <c r="G621" i="1"/>
  <c r="G636" i="1"/>
  <c r="J636" i="1" s="1"/>
  <c r="J458" i="1"/>
  <c r="D28" i="10" l="1"/>
  <c r="F460" i="1"/>
  <c r="H617" i="1"/>
  <c r="J617" i="1" s="1"/>
  <c r="J460" i="1"/>
  <c r="J466" i="1" s="1"/>
  <c r="H616" i="1" s="1"/>
  <c r="J616" i="1" s="1"/>
  <c r="H627" i="1"/>
  <c r="J627" i="1" s="1"/>
  <c r="H621" i="1"/>
  <c r="J621" i="1"/>
  <c r="H462" i="1"/>
  <c r="G623" i="1"/>
  <c r="C31" i="13"/>
  <c r="D33" i="13"/>
  <c r="D36" i="13" s="1"/>
  <c r="F654" i="1"/>
  <c r="I650" i="1"/>
  <c r="I654" i="1" s="1"/>
  <c r="G622" i="1"/>
  <c r="F462" i="1"/>
  <c r="D35" i="10"/>
  <c r="D41" i="10" s="1"/>
  <c r="D40" i="10"/>
  <c r="D37" i="10"/>
  <c r="D38" i="10"/>
  <c r="D39" i="10"/>
  <c r="D36" i="10"/>
  <c r="F466" i="1" l="1"/>
  <c r="H612" i="1" s="1"/>
  <c r="F657" i="1"/>
  <c r="F662" i="1"/>
  <c r="C4" i="10" s="1"/>
  <c r="H464" i="1"/>
  <c r="H466" i="1" s="1"/>
  <c r="H614" i="1" s="1"/>
  <c r="J614" i="1" s="1"/>
  <c r="H623" i="1"/>
  <c r="J623" i="1" s="1"/>
  <c r="H622" i="1"/>
  <c r="F464" i="1"/>
  <c r="J622" i="1"/>
  <c r="I662" i="1"/>
  <c r="C7" i="10" s="1"/>
  <c r="I657" i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178BCB3-2865-4B0A-AF12-A994AB0A5B8F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3D39E42-673F-49BE-BDAF-FF722691415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EFC2D76-E2BB-4D43-865D-83C118AAF7EB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FF78EFC-3F62-4839-AA1C-7896AE39E552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297E256-A745-4307-94F5-0095DECB913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CAA656F-498E-4C6B-B57F-3F5B0F6CB28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2A9AF77B-8B18-42DC-9D6E-A794034B6AF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1AE6A9A-982D-4698-AA12-A1593F89B7B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3CAAF40-21AA-46BC-84AB-60AA1D48D56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6F822FF3-A7D0-4131-A346-CB8437BF947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4C6DFE6C-C001-47F5-9E9C-B34E06AE2AC2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C500A32-9A57-46A7-B8DF-D99E67C9A2EA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<sst xmlns="http://schemas.openxmlformats.org/spreadsheetml/2006/main" count="3858" uniqueCount="895">
  <si>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</si>
  <si>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</si>
  <si>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</si>
  <si>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</si>
  <si>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</si>
  <si>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</si>
  <si>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</si>
  <si>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</si>
  <si>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</si>
  <si>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</si>
  <si>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</si>
  <si>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</si>
  <si>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</si>
  <si>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</si>
  <si>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</si>
  <si>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</si>
  <si>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</si>
  <si>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</si>
  <si>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</si>
  <si>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</si>
  <si>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</si>
  <si>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</si>
  <si>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</si>
  <si>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</si>
  <si>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</si>
  <si>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</si>
  <si>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</si>
  <si>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</si>
  <si>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</si>
  <si>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</si>
  <si>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</si>
  <si>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</si>
  <si>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</si>
  <si>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</si>
  <si>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</si>
  <si>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</si>
  <si>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</si>
  <si>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</si>
  <si>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</si>
  <si>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</si>
  <si>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</si>
  <si>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</si>
  <si>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</si>
  <si>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</si>
  <si>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</si>
  <si>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</si>
  <si>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</si>
  <si>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</si>
  <si>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</si>
  <si>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</si>
  <si>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</si>
  <si>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</si>
  <si>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</si>
  <si>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</si>
  <si>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</si>
  <si>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</si>
  <si>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</si>
  <si>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</si>
  <si>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</si>
  <si>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</si>
  <si>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</si>
  <si>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</si>
  <si>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</si>
  <si>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</si>
  <si>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</si>
  <si>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</si>
  <si>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</si>
  <si>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</si>
  <si>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</si>
  <si>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</si>
  <si>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</si>
  <si>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</si>
  <si>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</si>
  <si>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</si>
  <si>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</si>
  <si>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</si>
  <si>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</si>
  <si>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</si>
  <si>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</si>
  <si>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</si>
  <si>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</si>
  <si>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</si>
  <si>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</si>
  <si>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</si>
  <si>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</si>
  <si>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</si>
  <si>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</si>
  <si>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</si>
  <si>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</si>
  <si>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</si>
  <si>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</si>
  <si>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</si>
  <si>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</si>
  <si>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</si>
  <si>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</si>
  <si>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</si>
  <si>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</si>
  <si>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</si>
  <si>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</si>
  <si>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</si>
  <si>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</si>
  <si>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</si>
  <si>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</si>
  <si>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</si>
  <si>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</si>
  <si>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</si>
  <si>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</si>
  <si>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</si>
  <si>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</si>
  <si>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</si>
  <si>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</si>
  <si>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</si>
  <si>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</si>
  <si>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</si>
  <si>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</si>
  <si>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</si>
  <si>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</si>
  <si>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</si>
  <si>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</si>
  <si>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</si>
  <si>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</si>
  <si>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</si>
  <si>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</si>
  <si>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</si>
  <si>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</si>
  <si>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</si>
  <si>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</si>
  <si>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</si>
  <si>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</si>
  <si>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</si>
  <si>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</si>
  <si>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</si>
  <si>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</si>
  <si>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</si>
  <si>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</si>
  <si>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</si>
  <si>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</si>
  <si>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</si>
  <si>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</si>
  <si>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</si>
  <si>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</si>
  <si>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</si>
  <si>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</si>
  <si>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</si>
  <si>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</si>
  <si>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</si>
  <si>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</si>
  <si>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</si>
  <si>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</si>
  <si>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</si>
  <si>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</si>
  <si>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</si>
  <si>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</si>
  <si>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</si>
  <si>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</si>
  <si>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</si>
  <si>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</si>
  <si>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</si>
  <si>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</si>
  <si>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</si>
  <si>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</si>
  <si>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</si>
  <si>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</si>
  <si>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</si>
  <si>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</si>
  <si>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</si>
  <si>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</si>
  <si>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</si>
  <si>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</si>
  <si>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</si>
  <si>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</si>
  <si>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</si>
  <si>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</si>
  <si>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</si>
  <si>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</si>
  <si>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</si>
  <si>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</si>
  <si>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</si>
  <si>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</si>
  <si>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</si>
  <si>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</si>
  <si>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</si>
  <si>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</si>
  <si>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</si>
  <si>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</si>
  <si>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</si>
  <si>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</si>
  <si>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</si>
  <si>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</si>
  <si>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</si>
  <si>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</si>
  <si>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</si>
  <si>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</si>
  <si>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</si>
  <si>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</si>
  <si>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</si>
  <si>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</si>
  <si>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</si>
  <si>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</si>
  <si>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</si>
  <si>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</si>
  <si>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</si>
  <si>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</si>
  <si>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</si>
  <si>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</si>
  <si>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</si>
  <si>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</si>
  <si>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</si>
  <si>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</si>
  <si>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</si>
  <si>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</si>
  <si>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</si>
  <si>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</si>
  <si>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</si>
  <si>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</si>
  <si>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</si>
  <si>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</si>
  <si>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</si>
  <si>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</si>
  <si>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</si>
  <si>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</si>
  <si>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</si>
  <si>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</si>
  <si>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</si>
  <si>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</si>
  <si>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</si>
  <si>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</si>
  <si>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</si>
  <si>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</si>
  <si>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</si>
  <si>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</si>
  <si>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</si>
  <si>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</si>
  <si>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</si>
  <si>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</si>
  <si>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</si>
  <si>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</si>
  <si>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</si>
  <si>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</si>
  <si>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</si>
  <si>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</si>
  <si>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</si>
  <si>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</si>
  <si>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</si>
  <si>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</si>
  <si>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</si>
  <si>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</si>
  <si>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</si>
  <si>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</si>
  <si>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</si>
  <si>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</si>
  <si>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</si>
  <si>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</si>
  <si>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</si>
  <si>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</si>
  <si>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</si>
  <si>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</si>
  <si>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</si>
  <si>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</si>
  <si>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</si>
  <si>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</si>
  <si>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</si>
  <si>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</si>
  <si>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</si>
  <si>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</si>
  <si>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</si>
  <si>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</si>
  <si>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</si>
  <si>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</si>
  <si>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</si>
  <si>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</si>
  <si>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</si>
  <si>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</si>
  <si>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</si>
  <si>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</si>
  <si>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</si>
  <si>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</si>
  <si>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</si>
  <si>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</si>
  <si>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</si>
  <si>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</si>
  <si>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</si>
  <si>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</si>
  <si>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</si>
  <si>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</si>
  <si>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</si>
  <si>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</si>
  <si>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</si>
  <si>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</si>
  <si>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</si>
  <si>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</si>
  <si>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</si>
  <si>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</si>
  <si>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</si>
  <si>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</si>
  <si>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</si>
  <si>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</si>
  <si>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</si>
  <si>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</si>
  <si>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</si>
  <si>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</si>
  <si>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</si>
  <si>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</si>
  <si>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</si>
  <si>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</si>
  <si>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</si>
  <si>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</si>
  <si>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</si>
  <si>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</si>
  <si>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</si>
  <si>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</si>
  <si>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</si>
  <si>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</si>
  <si>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</si>
  <si>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</si>
  <si>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</si>
  <si>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</si>
  <si>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</si>
  <si>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</si>
  <si>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</si>
  <si>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</si>
  <si>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</si>
  <si>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</si>
  <si>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</si>
  <si>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</si>
  <si>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</si>
  <si>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</si>
  <si>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</si>
  <si>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</si>
  <si>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</si>
  <si>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</si>
  <si>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</si>
  <si>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</si>
  <si>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</si>
  <si>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</si>
  <si>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</si>
  <si>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</si>
  <si>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</si>
  <si>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</si>
  <si>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</si>
  <si>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</si>
  <si>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</si>
  <si>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</si>
  <si>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</si>
  <si>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</si>
  <si>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</si>
  <si>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</si>
  <si>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</si>
  <si>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</si>
  <si>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</si>
  <si>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</si>
  <si>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</si>
  <si>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</si>
  <si>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</si>
  <si>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</si>
  <si>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</si>
  <si>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</si>
  <si>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</si>
  <si>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</si>
  <si>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</si>
  <si>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</si>
  <si>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</si>
  <si>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</si>
  <si>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</si>
  <si>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</si>
  <si>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</si>
  <si>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</si>
  <si>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</si>
  <si>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</si>
  <si>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</si>
  <si>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</si>
  <si>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</si>
  <si>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</si>
  <si>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</si>
  <si>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</si>
  <si>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</si>
  <si>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</si>
  <si>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</si>
  <si>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</si>
  <si>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</si>
  <si>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</si>
  <si>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</si>
  <si>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</si>
  <si>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</si>
  <si>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</si>
  <si>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</si>
  <si>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</si>
  <si>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</si>
  <si>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</si>
  <si>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</si>
  <si>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</si>
  <si>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</si>
  <si>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</si>
  <si>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</si>
  <si>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</si>
  <si>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</si>
  <si>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</si>
  <si>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</si>
  <si>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</si>
  <si>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</si>
  <si>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</si>
  <si>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</si>
  <si>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</si>
  <si>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</si>
  <si>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</si>
  <si>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</si>
  <si>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</si>
  <si>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</si>
  <si>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</si>
  <si>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</si>
  <si>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</si>
  <si>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</si>
  <si>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</si>
  <si>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</si>
  <si>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</si>
  <si>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</si>
  <si>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</si>
  <si>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</si>
  <si>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</si>
  <si>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</si>
  <si>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</si>
  <si>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</si>
  <si>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</si>
  <si>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</si>
  <si>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</si>
  <si>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</si>
  <si>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</si>
  <si>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</si>
  <si>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</si>
  <si>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</si>
  <si>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</si>
  <si>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</si>
  <si>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</si>
  <si>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</si>
  <si>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</si>
  <si>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</si>
  <si>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</si>
  <si>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</si>
  <si>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</si>
  <si>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</si>
  <si>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</si>
  <si>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</si>
  <si>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</si>
  <si>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</si>
  <si>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</si>
  <si>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</si>
  <si>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</si>
  <si>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</si>
  <si>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</si>
  <si>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</si>
  <si>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</si>
  <si>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</si>
  <si>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</si>
  <si>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</si>
  <si>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</si>
  <si>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</si>
  <si>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</si>
  <si>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</si>
  <si>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</si>
  <si>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</si>
  <si>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</si>
  <si>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</si>
  <si>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</si>
  <si>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</si>
  <si>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</si>
  <si>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</si>
  <si>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</si>
  <si>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</si>
  <si>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</si>
  <si>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</si>
  <si>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</si>
  <si>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</si>
  <si>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</si>
  <si>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</si>
  <si>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</si>
  <si>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</si>
  <si>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</si>
  <si>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</si>
  <si>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</si>
  <si>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</si>
  <si>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</si>
  <si>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</si>
  <si>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</si>
  <si>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</si>
  <si>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</si>
  <si>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</si>
  <si>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</si>
  <si>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</si>
  <si>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</si>
  <si>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</si>
  <si>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</si>
  <si>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</si>
  <si>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</si>
  <si>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</si>
  <si>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</si>
  <si>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</si>
  <si>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</si>
  <si>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</si>
  <si>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</si>
  <si>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</si>
  <si>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</si>
  <si>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</si>
  <si>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</si>
  <si>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</si>
  <si>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</si>
  <si>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</si>
  <si>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</si>
  <si>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</si>
  <si>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</si>
  <si>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</si>
  <si>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</si>
  <si>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</si>
  <si>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</si>
  <si>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</si>
  <si>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</si>
  <si>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</si>
  <si>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</si>
  <si>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</si>
  <si>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</si>
  <si>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</si>
  <si>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</si>
  <si>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</si>
  <si>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</si>
  <si>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</si>
  <si>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</si>
  <si>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</si>
  <si>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</si>
  <si>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</si>
  <si>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</si>
  <si>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</si>
  <si>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</si>
  <si>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</si>
  <si>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</si>
  <si>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</si>
  <si>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</si>
  <si>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</si>
  <si>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</si>
  <si>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</si>
  <si>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</si>
  <si>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</si>
  <si>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</si>
  <si>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</si>
  <si>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</si>
  <si>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</si>
  <si>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</si>
  <si>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</si>
  <si>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</si>
  <si>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</si>
  <si>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</si>
  <si>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</si>
  <si>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</si>
  <si>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</si>
  <si>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</si>
  <si>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</si>
  <si>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</si>
  <si>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</si>
  <si>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</si>
  <si>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</si>
  <si>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</si>
  <si>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</si>
  <si>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</si>
  <si>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</si>
  <si>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</si>
  <si>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</si>
  <si>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</si>
  <si>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</si>
  <si>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</si>
  <si>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</si>
  <si>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</si>
  <si>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</si>
  <si>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</si>
  <si>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</si>
  <si>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</si>
  <si>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</si>
  <si>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</si>
  <si>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</si>
  <si>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</si>
  <si>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</si>
  <si>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</si>
  <si>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</si>
  <si>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</si>
  <si>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</si>
  <si>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</si>
  <si>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</si>
  <si>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</si>
  <si>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</si>
  <si>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</si>
  <si>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</si>
  <si>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</si>
  <si>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</si>
  <si>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</si>
  <si>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</si>
  <si>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</si>
  <si>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</si>
  <si>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</si>
  <si>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</si>
  <si>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</si>
  <si>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</si>
  <si>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</si>
  <si>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</si>
  <si>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</si>
  <si>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</si>
  <si>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</si>
  <si>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</si>
  <si>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</si>
  <si>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</si>
  <si>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</si>
  <si>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</si>
  <si>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</si>
  <si>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</si>
  <si>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</si>
  <si>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</si>
  <si>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</si>
  <si>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</si>
  <si>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</si>
  <si>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</si>
  <si>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</si>
  <si>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</si>
  <si>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</si>
  <si>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</si>
  <si>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</si>
  <si>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</si>
  <si>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</si>
  <si>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</si>
  <si>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</si>
  <si>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</si>
  <si>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</si>
  <si>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</si>
  <si>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</si>
  <si>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</si>
  <si>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</si>
  <si>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</si>
  <si>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</si>
  <si>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</si>
  <si>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</si>
  <si>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</si>
  <si>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</si>
  <si>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</si>
  <si>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</si>
  <si>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</si>
  <si>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</si>
  <si>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</si>
  <si>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</si>
  <si>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</si>
  <si>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</si>
  <si>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</si>
  <si>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</si>
  <si>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</si>
  <si>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</si>
  <si>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</si>
  <si>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</si>
  <si>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</si>
  <si>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</si>
  <si>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</si>
  <si>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</si>
  <si>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</si>
  <si>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</si>
  <si>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</si>
  <si>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</si>
  <si>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</si>
  <si>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</si>
  <si>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</si>
  <si>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</si>
  <si>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</si>
  <si>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</si>
  <si>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</si>
  <si>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</si>
  <si>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</si>
  <si>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</si>
  <si>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</si>
  <si>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</si>
  <si>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</si>
  <si>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</si>
  <si>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</si>
  <si>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</si>
  <si>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</si>
  <si>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</si>
  <si>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</si>
  <si>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</si>
  <si>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</si>
  <si>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</si>
  <si>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</si>
  <si>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</si>
  <si>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</si>
  <si>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</si>
  <si>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</si>
  <si>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</si>
  <si>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</si>
  <si>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</si>
  <si>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</si>
  <si>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</si>
  <si>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</si>
  <si>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</si>
  <si>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</si>
  <si>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</si>
  <si>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</si>
  <si>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</si>
  <si>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</si>
  <si>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</si>
  <si>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</si>
  <si>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</si>
  <si>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</si>
  <si>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</si>
  <si>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</si>
  <si>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</si>
  <si>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</si>
  <si>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</si>
  <si>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</si>
  <si>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</si>
  <si>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</si>
  <si>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</si>
  <si>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</si>
  <si>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</si>
  <si>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</si>
  <si>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</si>
  <si>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</si>
  <si>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</si>
  <si>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</si>
  <si>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</si>
  <si>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</si>
  <si>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</si>
  <si>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</si>
  <si>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</si>
  <si>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</si>
  <si>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</si>
  <si>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</si>
  <si>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</si>
  <si>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</si>
  <si>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</si>
  <si>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</si>
  <si>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</si>
  <si>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</si>
  <si>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</si>
  <si>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</si>
  <si>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</si>
  <si>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</si>
  <si>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</si>
  <si>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</si>
  <si>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</si>
  <si>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</si>
  <si>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</si>
  <si>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</si>
  <si>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</si>
  <si>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</si>
  <si>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</si>
  <si>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</si>
  <si>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</si>
  <si>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</si>
  <si>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</si>
  <si>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</si>
  <si>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</si>
  <si>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</si>
  <si>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</si>
  <si>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</si>
  <si>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</si>
  <si>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</si>
  <si>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</si>
  <si>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</si>
  <si>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</si>
  <si>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</si>
  <si>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</si>
  <si>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</si>
  <si>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</si>
  <si>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</si>
  <si>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</si>
  <si>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</si>
  <si>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</si>
  <si>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</si>
  <si>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</si>
  <si>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</si>
  <si>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</si>
  <si>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</si>
  <si>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</si>
  <si>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</si>
  <si>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</si>
  <si>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</si>
  <si>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</si>
  <si>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</si>
  <si>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</si>
  <si>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</si>
  <si>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</si>
  <si>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</si>
  <si>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</si>
  <si>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</si>
  <si>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</si>
  <si>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</si>
  <si>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</si>
  <si>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</si>
  <si>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</si>
  <si>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</si>
  <si>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</si>
  <si>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</si>
  <si>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</si>
  <si>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</si>
  <si>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</si>
  <si>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</si>
  <si>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</si>
  <si>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</si>
  <si>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</si>
  <si>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</si>
  <si>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</si>
  <si>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</si>
  <si>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</si>
  <si>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</si>
  <si>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</si>
  <si>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</si>
  <si>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</si>
  <si>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</si>
  <si>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</si>
  <si>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</si>
  <si>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</si>
  <si>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</si>
  <si>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</si>
  <si>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</si>
  <si>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</si>
  <si>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</si>
  <si>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</si>
  <si>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</si>
  <si>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</si>
  <si>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</si>
  <si>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</si>
  <si>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</si>
  <si>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</si>
  <si>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</si>
  <si>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</si>
  <si>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</si>
  <si>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</si>
  <si>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</si>
  <si>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</si>
  <si>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</si>
  <si>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</si>
  <si>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</si>
  <si>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</si>
  <si>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</si>
  <si>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</si>
  <si>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</si>
  <si>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</si>
  <si>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</si>
  <si>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</si>
  <si>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</si>
  <si>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</si>
  <si>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</si>
  <si>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</si>
  <si>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</si>
  <si>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</si>
  <si>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</si>
  <si>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</si>
  <si>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</si>
  <si>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</si>
  <si>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</si>
  <si>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</si>
  <si>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</si>
  <si>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</si>
  <si>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</si>
  <si>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</si>
  <si>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</si>
  <si>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</si>
  <si>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</si>
  <si>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</si>
  <si>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</si>
  <si>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</si>
  <si>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</si>
  <si>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</si>
  <si>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</si>
  <si>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</si>
  <si>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</si>
  <si>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</si>
  <si>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</si>
  <si>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</si>
  <si>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</si>
  <si>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</si>
  <si>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</si>
  <si>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</si>
  <si>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</si>
  <si>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</si>
  <si>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</si>
  <si>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</si>
  <si>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</si>
  <si>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</si>
  <si>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</si>
  <si>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</si>
  <si>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</si>
  <si>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</si>
  <si>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</si>
  <si>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</si>
  <si>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</si>
  <si>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</si>
  <si>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</si>
  <si>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</si>
  <si>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</si>
  <si>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</si>
  <si>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</si>
  <si>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</si>
  <si>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</si>
  <si>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Croydon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</si>
</sst>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5161-C83E-4B86-900D-5AC9699A6AD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K582" sqref="K58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117</v>
      </c>
      <c r="C2" s="21">
        <v>117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8851.4500000000007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257344.79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54.19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4490.6400000000003</v>
      </c>
      <c r="G13" s="18"/>
      <c r="H13" s="18">
        <v>5000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13396.280000000002</v>
      </c>
      <c r="G19" s="41">
        <f>SUM(G9:G18)</f>
        <v>0</v>
      </c>
      <c r="H19" s="41">
        <f>SUM(H9:H18)</f>
        <v>5000</v>
      </c>
      <c r="I19" s="41">
        <f>SUM(I9:I18)</f>
        <v>0</v>
      </c>
      <c r="J19" s="41">
        <f>SUM(J9:J18)</f>
        <v>257344.79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5889.14</v>
      </c>
      <c r="G24" s="18"/>
      <c r="H24" s="18">
        <v>5000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3758.03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9647.17</v>
      </c>
      <c r="G33" s="41">
        <f>SUM(G23:G32)</f>
        <v>0</v>
      </c>
      <c r="H33" s="41">
        <f>SUM(H23:H32)</f>
        <v>5000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257344.79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3749.11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3749.11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257344.79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13396.28</v>
      </c>
      <c r="G44" s="41">
        <f>G43+G33</f>
        <v>0</v>
      </c>
      <c r="H44" s="41">
        <f>H43+H33</f>
        <v>5000</v>
      </c>
      <c r="I44" s="41">
        <f>I43+I33</f>
        <v>0</v>
      </c>
      <c r="J44" s="41">
        <f>J43+J33</f>
        <v>257344.79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547062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547062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109</v>
      </c>
      <c r="G88" s="18"/>
      <c r="H88" s="18"/>
      <c r="I88" s="18"/>
      <c r="J88" s="18">
        <f>H400</f>
        <v>3757.49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1327</f>
        <v>1327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1436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3757.49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548498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3757.49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231520.54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223250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88826.46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543597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2511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2511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546108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14836+8866.05</f>
        <v>23702.05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14552+4437.61</f>
        <v>18989.61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18989.61</v>
      </c>
      <c r="G154" s="41">
        <f>SUM(G142:G153)</f>
        <v>0</v>
      </c>
      <c r="H154" s="41">
        <f>SUM(H142:H153)</f>
        <v>23702.05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18989.61</v>
      </c>
      <c r="G161" s="41">
        <f>G139+G154+SUM(G155:G160)</f>
        <v>0</v>
      </c>
      <c r="H161" s="41">
        <f>H139+H154+SUM(H155:H160)</f>
        <v>23702.05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f>12500+43000</f>
        <v>55500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55500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55500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1113595.6100000001</v>
      </c>
      <c r="G185" s="47">
        <f>G104+G132+G161+G184</f>
        <v>0</v>
      </c>
      <c r="H185" s="47">
        <f>H104+H132+H161+H184</f>
        <v>23702.05</v>
      </c>
      <c r="I185" s="47">
        <f>I104+I132+I161+I184</f>
        <v>0</v>
      </c>
      <c r="J185" s="47">
        <f>J104+J132+J184</f>
        <v>59257.49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61539</v>
      </c>
      <c r="G189" s="18">
        <v>21014</v>
      </c>
      <c r="H189" s="18">
        <v>295827</v>
      </c>
      <c r="I189" s="18">
        <v>1687</v>
      </c>
      <c r="J189" s="18"/>
      <c r="K189" s="18"/>
      <c r="L189" s="19">
        <f>SUM(F189:K189)</f>
        <v>380067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24260+1444</f>
        <v>25704</v>
      </c>
      <c r="G190" s="18">
        <f>6199+115</f>
        <v>6314</v>
      </c>
      <c r="H190" s="18">
        <f>60000+28934+9902+2723</f>
        <v>101559</v>
      </c>
      <c r="I190" s="18">
        <v>380</v>
      </c>
      <c r="J190" s="18"/>
      <c r="K190" s="18"/>
      <c r="L190" s="19">
        <f>SUM(F190:K190)</f>
        <v>133957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112</v>
      </c>
      <c r="G194" s="18">
        <v>16</v>
      </c>
      <c r="H194" s="18">
        <v>84</v>
      </c>
      <c r="I194" s="18"/>
      <c r="J194" s="18"/>
      <c r="K194" s="18"/>
      <c r="L194" s="19">
        <f t="shared" ref="L194:L199" si="0">SUM(F194:K194)</f>
        <v>212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6153.26</v>
      </c>
      <c r="G196" s="18">
        <v>2589.8200000000002</v>
      </c>
      <c r="H196" s="18">
        <v>25524.94</v>
      </c>
      <c r="I196" s="18">
        <v>52.86</v>
      </c>
      <c r="J196" s="18"/>
      <c r="K196" s="18"/>
      <c r="L196" s="19">
        <f t="shared" si="0"/>
        <v>34320.879999999997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3000</v>
      </c>
      <c r="G197" s="18">
        <f>230+225+9</f>
        <v>464</v>
      </c>
      <c r="H197" s="18"/>
      <c r="I197" s="18"/>
      <c r="J197" s="18"/>
      <c r="K197" s="18"/>
      <c r="L197" s="19">
        <f t="shared" si="0"/>
        <v>3464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5058</v>
      </c>
      <c r="G199" s="18">
        <f>387+92+81</f>
        <v>560</v>
      </c>
      <c r="H199" s="18">
        <v>18415</v>
      </c>
      <c r="I199" s="18">
        <f>2955+1413+1692</f>
        <v>6060</v>
      </c>
      <c r="J199" s="18"/>
      <c r="K199" s="18"/>
      <c r="L199" s="19">
        <f t="shared" si="0"/>
        <v>30093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7802.46</v>
      </c>
      <c r="G200" s="18">
        <v>1062.72</v>
      </c>
      <c r="H200" s="18">
        <v>2383.02</v>
      </c>
      <c r="I200" s="18">
        <v>5417.82</v>
      </c>
      <c r="J200" s="18"/>
      <c r="K200" s="18"/>
      <c r="L200" s="19">
        <f>SUM(F200:K200)</f>
        <v>16666.02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109368.72</v>
      </c>
      <c r="G203" s="41">
        <f t="shared" si="1"/>
        <v>32020.54</v>
      </c>
      <c r="H203" s="41">
        <f t="shared" si="1"/>
        <v>443792.96</v>
      </c>
      <c r="I203" s="41">
        <f t="shared" si="1"/>
        <v>13597.68</v>
      </c>
      <c r="J203" s="41">
        <f t="shared" si="1"/>
        <v>0</v>
      </c>
      <c r="K203" s="41">
        <f t="shared" si="1"/>
        <v>0</v>
      </c>
      <c r="L203" s="41">
        <f t="shared" si="1"/>
        <v>598779.9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160898</v>
      </c>
      <c r="I207" s="18"/>
      <c r="J207" s="18"/>
      <c r="K207" s="18"/>
      <c r="L207" s="19">
        <f>SUM(F207:K207)</f>
        <v>160898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109.47</v>
      </c>
      <c r="G214" s="18">
        <v>8.76</v>
      </c>
      <c r="H214" s="18">
        <v>11071.33</v>
      </c>
      <c r="I214" s="18">
        <v>17.350000000000001</v>
      </c>
      <c r="J214" s="18"/>
      <c r="K214" s="18"/>
      <c r="L214" s="19">
        <f t="shared" si="2"/>
        <v>11206.91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2311.84</v>
      </c>
      <c r="G218" s="18">
        <v>314.88</v>
      </c>
      <c r="H218" s="18">
        <v>706.08</v>
      </c>
      <c r="I218" s="18">
        <v>1605.28</v>
      </c>
      <c r="J218" s="18"/>
      <c r="K218" s="18"/>
      <c r="L218" s="19">
        <f t="shared" si="2"/>
        <v>4938.08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2421.31</v>
      </c>
      <c r="G221" s="41">
        <f>SUM(G207:G220)</f>
        <v>323.64</v>
      </c>
      <c r="H221" s="41">
        <f>SUM(H207:H220)</f>
        <v>172675.40999999997</v>
      </c>
      <c r="I221" s="41">
        <f>SUM(I207:I220)</f>
        <v>1622.6299999999999</v>
      </c>
      <c r="J221" s="41">
        <f>SUM(J207:J220)</f>
        <v>0</v>
      </c>
      <c r="K221" s="41">
        <f t="shared" si="3"/>
        <v>0</v>
      </c>
      <c r="L221" s="41">
        <f t="shared" si="3"/>
        <v>177042.99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322948</v>
      </c>
      <c r="I225" s="18"/>
      <c r="J225" s="18"/>
      <c r="K225" s="18"/>
      <c r="L225" s="19">
        <f>SUM(F225:K225)</f>
        <v>322948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1140+890.35</f>
        <v>2030.35</v>
      </c>
      <c r="G226" s="18">
        <f>155+82+6</f>
        <v>243</v>
      </c>
      <c r="H226" s="18">
        <f>7372+57019-2273.25</f>
        <v>62117.75</v>
      </c>
      <c r="I226" s="18"/>
      <c r="J226" s="18"/>
      <c r="K226" s="18"/>
      <c r="L226" s="19">
        <f>SUM(F226:K226)</f>
        <v>64391.1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205.26</v>
      </c>
      <c r="G232" s="18">
        <v>16.420000000000002</v>
      </c>
      <c r="H232" s="18">
        <v>20758.740000000002</v>
      </c>
      <c r="I232" s="18">
        <v>32.53</v>
      </c>
      <c r="J232" s="18"/>
      <c r="K232" s="18"/>
      <c r="L232" s="19">
        <f t="shared" si="4"/>
        <v>21012.95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4334.7</v>
      </c>
      <c r="G236" s="18">
        <v>590.4</v>
      </c>
      <c r="H236" s="18">
        <f>1323.9+326</f>
        <v>1649.9</v>
      </c>
      <c r="I236" s="18">
        <v>3009.9</v>
      </c>
      <c r="J236" s="18"/>
      <c r="K236" s="18"/>
      <c r="L236" s="19">
        <f t="shared" si="4"/>
        <v>9584.9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6570.3099999999995</v>
      </c>
      <c r="G239" s="41">
        <f t="shared" si="5"/>
        <v>849.81999999999994</v>
      </c>
      <c r="H239" s="41">
        <f t="shared" si="5"/>
        <v>407474.39</v>
      </c>
      <c r="I239" s="41">
        <f t="shared" si="5"/>
        <v>3042.4300000000003</v>
      </c>
      <c r="J239" s="41">
        <f t="shared" si="5"/>
        <v>0</v>
      </c>
      <c r="K239" s="41">
        <f t="shared" si="5"/>
        <v>0</v>
      </c>
      <c r="L239" s="41">
        <f t="shared" si="5"/>
        <v>417936.95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118360.34</v>
      </c>
      <c r="G249" s="41">
        <f t="shared" si="8"/>
        <v>33194</v>
      </c>
      <c r="H249" s="41">
        <f t="shared" si="8"/>
        <v>1023942.76</v>
      </c>
      <c r="I249" s="41">
        <f t="shared" si="8"/>
        <v>18262.739999999998</v>
      </c>
      <c r="J249" s="41">
        <f t="shared" si="8"/>
        <v>0</v>
      </c>
      <c r="K249" s="41">
        <f t="shared" si="8"/>
        <v>0</v>
      </c>
      <c r="L249" s="41">
        <f t="shared" si="8"/>
        <v>1193759.8400000001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55500</v>
      </c>
      <c r="L258" s="19">
        <f t="shared" si="9"/>
        <v>55500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55500</v>
      </c>
      <c r="L262" s="41">
        <f t="shared" si="9"/>
        <v>55500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118360.34</v>
      </c>
      <c r="G263" s="42">
        <f t="shared" si="11"/>
        <v>33194</v>
      </c>
      <c r="H263" s="42">
        <f t="shared" si="11"/>
        <v>1023942.76</v>
      </c>
      <c r="I263" s="42">
        <f t="shared" si="11"/>
        <v>18262.739999999998</v>
      </c>
      <c r="J263" s="42">
        <f t="shared" si="11"/>
        <v>0</v>
      </c>
      <c r="K263" s="42">
        <f t="shared" si="11"/>
        <v>55500</v>
      </c>
      <c r="L263" s="42">
        <f t="shared" si="11"/>
        <v>1249259.8400000001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2000+794+5885</f>
        <v>8679</v>
      </c>
      <c r="G268" s="18">
        <f>214+450+150+13+27+2.05</f>
        <v>856.05</v>
      </c>
      <c r="H268" s="18">
        <f>260</f>
        <v>260</v>
      </c>
      <c r="I268" s="18">
        <f>5099+792</f>
        <v>5891</v>
      </c>
      <c r="J268" s="18">
        <v>700</v>
      </c>
      <c r="K268" s="18">
        <v>166</v>
      </c>
      <c r="L268" s="19">
        <f>SUM(F268:K268)</f>
        <v>16552.05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1026</v>
      </c>
      <c r="G269" s="18">
        <f>78+77+5</f>
        <v>160</v>
      </c>
      <c r="H269" s="18"/>
      <c r="I269" s="18"/>
      <c r="J269" s="18"/>
      <c r="K269" s="18"/>
      <c r="L269" s="19">
        <f>SUM(F269:K269)</f>
        <v>1186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3418+565+748</f>
        <v>4731</v>
      </c>
      <c r="I274" s="18"/>
      <c r="J274" s="18"/>
      <c r="K274" s="18"/>
      <c r="L274" s="19">
        <f t="shared" si="12"/>
        <v>4731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397+836</f>
        <v>1233</v>
      </c>
      <c r="I279" s="18"/>
      <c r="J279" s="18"/>
      <c r="K279" s="18"/>
      <c r="L279" s="19">
        <f t="shared" si="12"/>
        <v>1233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9705</v>
      </c>
      <c r="G282" s="42">
        <f t="shared" si="13"/>
        <v>1016.05</v>
      </c>
      <c r="H282" s="42">
        <f t="shared" si="13"/>
        <v>6224</v>
      </c>
      <c r="I282" s="42">
        <f t="shared" si="13"/>
        <v>5891</v>
      </c>
      <c r="J282" s="42">
        <f t="shared" si="13"/>
        <v>700</v>
      </c>
      <c r="K282" s="42">
        <f t="shared" si="13"/>
        <v>166</v>
      </c>
      <c r="L282" s="41">
        <f t="shared" si="13"/>
        <v>23702.05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9705</v>
      </c>
      <c r="G330" s="41">
        <f t="shared" si="20"/>
        <v>1016.05</v>
      </c>
      <c r="H330" s="41">
        <f t="shared" si="20"/>
        <v>6224</v>
      </c>
      <c r="I330" s="41">
        <f t="shared" si="20"/>
        <v>5891</v>
      </c>
      <c r="J330" s="41">
        <f t="shared" si="20"/>
        <v>700</v>
      </c>
      <c r="K330" s="41">
        <f t="shared" si="20"/>
        <v>166</v>
      </c>
      <c r="L330" s="41">
        <f t="shared" si="20"/>
        <v>23702.05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9705</v>
      </c>
      <c r="G344" s="41">
        <f>G330</f>
        <v>1016.05</v>
      </c>
      <c r="H344" s="41">
        <f>H330</f>
        <v>6224</v>
      </c>
      <c r="I344" s="41">
        <f>I330</f>
        <v>5891</v>
      </c>
      <c r="J344" s="41">
        <f>J330</f>
        <v>700</v>
      </c>
      <c r="K344" s="47">
        <f>K330+K343</f>
        <v>166</v>
      </c>
      <c r="L344" s="41">
        <f>L330+L343</f>
        <v>23702.05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2500</v>
      </c>
      <c r="H381" s="18">
        <v>290.93</v>
      </c>
      <c r="I381" s="18"/>
      <c r="J381" s="24" t="s">
        <v>312</v>
      </c>
      <c r="K381" s="24" t="s">
        <v>312</v>
      </c>
      <c r="L381" s="56">
        <f t="shared" si="25"/>
        <v>2790.93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20000</v>
      </c>
      <c r="H382" s="18">
        <v>747.95</v>
      </c>
      <c r="I382" s="18"/>
      <c r="J382" s="24" t="s">
        <v>312</v>
      </c>
      <c r="K382" s="24" t="s">
        <v>312</v>
      </c>
      <c r="L382" s="56">
        <f t="shared" si="25"/>
        <v>20747.95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22500</v>
      </c>
      <c r="H385" s="139">
        <f>SUM(H379:H384)</f>
        <v>1038.8800000000001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23538.880000000001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2422.1999999999998</v>
      </c>
      <c r="I389" s="18"/>
      <c r="J389" s="24" t="s">
        <v>312</v>
      </c>
      <c r="K389" s="24" t="s">
        <v>312</v>
      </c>
      <c r="L389" s="56">
        <f t="shared" si="26"/>
        <v>2422.1999999999998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33000</v>
      </c>
      <c r="H390" s="18">
        <v>296.41000000000003</v>
      </c>
      <c r="I390" s="18"/>
      <c r="J390" s="24" t="s">
        <v>312</v>
      </c>
      <c r="K390" s="24" t="s">
        <v>312</v>
      </c>
      <c r="L390" s="56">
        <f t="shared" si="26"/>
        <v>33296.410000000003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33000</v>
      </c>
      <c r="H393" s="47">
        <f>SUM(H387:H392)</f>
        <v>2718.6099999999997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35718.61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55500</v>
      </c>
      <c r="H400" s="47">
        <f>H385+H393+H399</f>
        <v>3757.49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59257.490000000005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257344.79</v>
      </c>
      <c r="G432" s="18"/>
      <c r="H432" s="18"/>
      <c r="I432" s="56">
        <f t="shared" si="33"/>
        <v>257344.79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257344.79</v>
      </c>
      <c r="G438" s="13">
        <f>SUM(G431:G437)</f>
        <v>0</v>
      </c>
      <c r="H438" s="13">
        <f>SUM(H431:H437)</f>
        <v>0</v>
      </c>
      <c r="I438" s="13">
        <f>SUM(I431:I437)</f>
        <v>257344.79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257344.79</v>
      </c>
      <c r="G449" s="18"/>
      <c r="H449" s="18"/>
      <c r="I449" s="56">
        <f>SUM(F449:H449)</f>
        <v>257344.79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257344.79</v>
      </c>
      <c r="G450" s="83">
        <f>SUM(G446:G449)</f>
        <v>0</v>
      </c>
      <c r="H450" s="83">
        <f>SUM(H446:H449)</f>
        <v>0</v>
      </c>
      <c r="I450" s="83">
        <f>SUM(I446:I449)</f>
        <v>257344.79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257344.79</v>
      </c>
      <c r="G451" s="42">
        <f>G444+G450</f>
        <v>0</v>
      </c>
      <c r="H451" s="42">
        <f>H444+H450</f>
        <v>0</v>
      </c>
      <c r="I451" s="42">
        <f>I444+I450</f>
        <v>257344.79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139413.34</v>
      </c>
      <c r="G455" s="18">
        <v>0</v>
      </c>
      <c r="H455" s="18">
        <v>0</v>
      </c>
      <c r="I455" s="18">
        <v>0</v>
      </c>
      <c r="J455" s="18">
        <v>198087.3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1113595.6100000001</v>
      </c>
      <c r="G458" s="18"/>
      <c r="H458" s="18">
        <f>H185</f>
        <v>23702.05</v>
      </c>
      <c r="I458" s="18"/>
      <c r="J458" s="18">
        <f>J185</f>
        <v>59257.49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1113595.6100000001</v>
      </c>
      <c r="G460" s="53">
        <f>SUM(G458:G459)</f>
        <v>0</v>
      </c>
      <c r="H460" s="53">
        <f>SUM(H458:H459)</f>
        <v>23702.05</v>
      </c>
      <c r="I460" s="53">
        <f>SUM(I458:I459)</f>
        <v>0</v>
      </c>
      <c r="J460" s="53">
        <f>SUM(J458:J459)</f>
        <v>59257.49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1249259.8400000001</v>
      </c>
      <c r="G462" s="18"/>
      <c r="H462" s="18">
        <f>L344</f>
        <v>23702.05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1249259.8400000001</v>
      </c>
      <c r="G464" s="53">
        <f>SUM(G462:G463)</f>
        <v>0</v>
      </c>
      <c r="H464" s="53">
        <f>SUM(H462:H463)</f>
        <v>23702.05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3749.1100000001024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257344.78999999998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F269+F190-F516</f>
        <v>25286</v>
      </c>
      <c r="G511" s="18">
        <f>G269+G190-G516</f>
        <v>6359</v>
      </c>
      <c r="H511" s="18">
        <f>H190</f>
        <v>101559</v>
      </c>
      <c r="I511" s="18">
        <f>I190</f>
        <v>380</v>
      </c>
      <c r="J511" s="18"/>
      <c r="K511" s="18"/>
      <c r="L511" s="88">
        <f>SUM(F511:K511)</f>
        <v>133584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</f>
        <v>2030.35</v>
      </c>
      <c r="G513" s="18">
        <f>G226</f>
        <v>243</v>
      </c>
      <c r="H513" s="18">
        <f>H226</f>
        <v>62117.75</v>
      </c>
      <c r="I513" s="18"/>
      <c r="J513" s="18"/>
      <c r="K513" s="18"/>
      <c r="L513" s="88">
        <f>SUM(F513:K513)</f>
        <v>64391.1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27316.35</v>
      </c>
      <c r="G514" s="108">
        <f t="shared" ref="G514:L514" si="35">SUM(G511:G513)</f>
        <v>6602</v>
      </c>
      <c r="H514" s="108">
        <f t="shared" si="35"/>
        <v>163676.75</v>
      </c>
      <c r="I514" s="108">
        <f t="shared" si="35"/>
        <v>380</v>
      </c>
      <c r="J514" s="108">
        <f t="shared" si="35"/>
        <v>0</v>
      </c>
      <c r="K514" s="108">
        <f t="shared" si="35"/>
        <v>0</v>
      </c>
      <c r="L514" s="89">
        <f t="shared" si="35"/>
        <v>197975.1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1444</v>
      </c>
      <c r="G516" s="18">
        <f>110+5</f>
        <v>115</v>
      </c>
      <c r="H516" s="18"/>
      <c r="I516" s="18"/>
      <c r="J516" s="18"/>
      <c r="K516" s="18"/>
      <c r="L516" s="88">
        <f>SUM(F516:K516)</f>
        <v>1559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1444</v>
      </c>
      <c r="G519" s="89">
        <f t="shared" ref="G519:L519" si="36">SUM(G516:G518)</f>
        <v>115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1559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5818</v>
      </c>
      <c r="G521" s="18">
        <v>2563</v>
      </c>
      <c r="H521" s="18"/>
      <c r="I521" s="18"/>
      <c r="J521" s="18"/>
      <c r="K521" s="18"/>
      <c r="L521" s="88">
        <f>SUM(F521:K521)</f>
        <v>8381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5818</v>
      </c>
      <c r="G524" s="89">
        <f t="shared" ref="G524:L524" si="37">SUM(G521:G523)</f>
        <v>2563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8381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3288</v>
      </c>
      <c r="I531" s="18"/>
      <c r="J531" s="18"/>
      <c r="K531" s="18"/>
      <c r="L531" s="88">
        <f>SUM(F531:K531)</f>
        <v>3288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3287+398</f>
        <v>3685</v>
      </c>
      <c r="I533" s="18"/>
      <c r="J533" s="18"/>
      <c r="K533" s="18"/>
      <c r="L533" s="88">
        <f>SUM(F533:K533)</f>
        <v>3685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6973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6973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34578.35</v>
      </c>
      <c r="G535" s="89">
        <f t="shared" ref="G535:L535" si="40">G514+G519+G524+G529+G534</f>
        <v>9280</v>
      </c>
      <c r="H535" s="89">
        <f t="shared" si="40"/>
        <v>170649.75</v>
      </c>
      <c r="I535" s="89">
        <f t="shared" si="40"/>
        <v>380</v>
      </c>
      <c r="J535" s="89">
        <f t="shared" si="40"/>
        <v>0</v>
      </c>
      <c r="K535" s="89">
        <f t="shared" si="40"/>
        <v>0</v>
      </c>
      <c r="L535" s="89">
        <f t="shared" si="40"/>
        <v>214888.1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133584</v>
      </c>
      <c r="G539" s="87">
        <f>L516</f>
        <v>1559</v>
      </c>
      <c r="H539" s="87">
        <f>L521</f>
        <v>8381</v>
      </c>
      <c r="I539" s="87">
        <f>L526</f>
        <v>0</v>
      </c>
      <c r="J539" s="87">
        <f>L531</f>
        <v>3288</v>
      </c>
      <c r="K539" s="87">
        <f>SUM(F539:J539)</f>
        <v>146812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64391.1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3685</v>
      </c>
      <c r="K541" s="87">
        <f>SUM(F541:J541)</f>
        <v>68076.100000000006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197975.1</v>
      </c>
      <c r="G542" s="89">
        <f t="shared" si="41"/>
        <v>1559</v>
      </c>
      <c r="H542" s="89">
        <f t="shared" si="41"/>
        <v>8381</v>
      </c>
      <c r="I542" s="89">
        <f t="shared" si="41"/>
        <v>0</v>
      </c>
      <c r="J542" s="89">
        <f t="shared" si="41"/>
        <v>6973</v>
      </c>
      <c r="K542" s="89">
        <f t="shared" si="41"/>
        <v>214888.1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295771</v>
      </c>
      <c r="G565" s="18">
        <v>160898</v>
      </c>
      <c r="H565" s="18">
        <v>322948</v>
      </c>
      <c r="I565" s="87">
        <f>SUM(F565:H565)</f>
        <v>779617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28934</v>
      </c>
      <c r="G569" s="18"/>
      <c r="H569" s="18"/>
      <c r="I569" s="87">
        <f t="shared" si="46"/>
        <v>28934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9902</v>
      </c>
      <c r="I572" s="87">
        <f t="shared" si="46"/>
        <v>9902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L200-H582</f>
        <v>13378.02</v>
      </c>
      <c r="I581" s="18">
        <f>L218</f>
        <v>4938.08</v>
      </c>
      <c r="J581" s="18">
        <v>5899.9</v>
      </c>
      <c r="K581" s="104">
        <f t="shared" ref="K581:K587" si="47">SUM(H581:J581)</f>
        <v>24216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3288</v>
      </c>
      <c r="I582" s="18"/>
      <c r="J582" s="18">
        <v>3685</v>
      </c>
      <c r="K582" s="104">
        <f t="shared" si="47"/>
        <v>6973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16666.02</v>
      </c>
      <c r="I588" s="108">
        <f>SUM(I581:I587)</f>
        <v>4938.08</v>
      </c>
      <c r="J588" s="108">
        <f>SUM(J581:J587)</f>
        <v>9584.9</v>
      </c>
      <c r="K588" s="108">
        <f>SUM(K581:K587)</f>
        <v>31189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J268</f>
        <v>700</v>
      </c>
      <c r="I594" s="18"/>
      <c r="J594" s="18"/>
      <c r="K594" s="104">
        <f>SUM(H594:J594)</f>
        <v>700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700</v>
      </c>
      <c r="I595" s="108">
        <f>SUM(I592:I594)</f>
        <v>0</v>
      </c>
      <c r="J595" s="108">
        <f>SUM(J592:J594)</f>
        <v>0</v>
      </c>
      <c r="K595" s="108">
        <f>SUM(K592:K594)</f>
        <v>700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13396.280000000002</v>
      </c>
      <c r="H607" s="109">
        <f>SUM(F44)</f>
        <v>13396.28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5000</v>
      </c>
      <c r="H609" s="109">
        <f>SUM(H44)</f>
        <v>5000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257344.79</v>
      </c>
      <c r="H611" s="109">
        <f>SUM(J44)</f>
        <v>257344.79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3749.11</v>
      </c>
      <c r="H612" s="109">
        <f>F466</f>
        <v>3749.1100000001024</v>
      </c>
      <c r="I612" s="121" t="s">
        <v>106</v>
      </c>
      <c r="J612" s="109">
        <f t="shared" ref="J612:J645" si="49">G612-H612</f>
        <v>-1.0231815394945443E-10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257344.79</v>
      </c>
      <c r="H616" s="109">
        <f>J466</f>
        <v>257344.78999999998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1113595.6100000001</v>
      </c>
      <c r="H617" s="104">
        <f>SUM(F458)</f>
        <v>1113595.6100000001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23702.05</v>
      </c>
      <c r="H619" s="104">
        <f>SUM(H458)</f>
        <v>23702.05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59257.49</v>
      </c>
      <c r="H621" s="104">
        <f>SUM(J458)</f>
        <v>59257.49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1249259.8400000001</v>
      </c>
      <c r="H622" s="104">
        <f>SUM(F462)</f>
        <v>1249259.8400000001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23702.05</v>
      </c>
      <c r="H623" s="104">
        <f>SUM(H462)</f>
        <v>23702.05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59257.490000000005</v>
      </c>
      <c r="H627" s="164">
        <f>SUM(J458)</f>
        <v>59257.49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257344.79</v>
      </c>
      <c r="H629" s="104">
        <f>SUM(F451)</f>
        <v>257344.79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257344.79</v>
      </c>
      <c r="H632" s="104">
        <f>SUM(I451)</f>
        <v>257344.79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3757.49</v>
      </c>
      <c r="H634" s="104">
        <f>H400</f>
        <v>3757.49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55500</v>
      </c>
      <c r="H635" s="104">
        <f>G400</f>
        <v>55500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59257.49</v>
      </c>
      <c r="H636" s="104">
        <f>L400</f>
        <v>59257.490000000005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31189</v>
      </c>
      <c r="H637" s="104">
        <f>L200+L218+L236</f>
        <v>31189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700</v>
      </c>
      <c r="H638" s="104">
        <f>(J249+J330)-(J247+J328)</f>
        <v>700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16666.02</v>
      </c>
      <c r="H639" s="104">
        <f>H588</f>
        <v>16666.02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4938.08</v>
      </c>
      <c r="H640" s="104">
        <f>I588</f>
        <v>4938.08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9584.9</v>
      </c>
      <c r="H641" s="104">
        <f>J588</f>
        <v>9584.9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55500</v>
      </c>
      <c r="H645" s="104">
        <f>K258+K339</f>
        <v>55500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622481.95000000007</v>
      </c>
      <c r="G650" s="19">
        <f>(L221+L301+L351)</f>
        <v>177042.99</v>
      </c>
      <c r="H650" s="19">
        <f>(L239+L320+L352)</f>
        <v>417936.95</v>
      </c>
      <c r="I650" s="19">
        <f>SUM(F650:H650)</f>
        <v>1217461.8900000001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17899.02</v>
      </c>
      <c r="G652" s="19">
        <f>(L218+L298)-(J218+J298)</f>
        <v>4938.08</v>
      </c>
      <c r="H652" s="19">
        <f>(L236+L317)-(J236+J317)</f>
        <v>9584.9</v>
      </c>
      <c r="I652" s="19">
        <f>SUM(F652:H652)</f>
        <v>32422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325405</v>
      </c>
      <c r="G653" s="200">
        <f>SUM(G565:G577)+SUM(I592:I594)+L602</f>
        <v>160898</v>
      </c>
      <c r="H653" s="200">
        <f>SUM(H565:H577)+SUM(J592:J594)+L603</f>
        <v>332850</v>
      </c>
      <c r="I653" s="19">
        <f>SUM(F653:H653)</f>
        <v>819153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279177.93000000005</v>
      </c>
      <c r="G654" s="19">
        <f>G650-SUM(G651:G653)</f>
        <v>11206.910000000003</v>
      </c>
      <c r="H654" s="19">
        <f>H650-SUM(H651:H653)</f>
        <v>75502.049999999988</v>
      </c>
      <c r="I654" s="19">
        <f>I650-SUM(I651:I653)</f>
        <v>365886.89000000013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24</v>
      </c>
      <c r="G655" s="249"/>
      <c r="H655" s="249"/>
      <c r="I655" s="19">
        <f>SUM(F655:H655)</f>
        <v>24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11632.41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15245.29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-11206.91</v>
      </c>
      <c r="H659" s="18">
        <v>-75502.05</v>
      </c>
      <c r="I659" s="19">
        <f>SUM(F659:H659)</f>
        <v>-86708.96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11632.41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11632.41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98B0-7F1E-47DB-B50A-11F43FFAA6DC}">
  <sheetPr>
    <tabColor indexed="20"/>
  </sheetPr>
  <dimension ref="A1:C52"/>
  <sheetViews>
    <sheetView topLeftCell="A19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Croydon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70218</v>
      </c>
      <c r="C9" s="230">
        <f>'DOE25'!G189+'DOE25'!G207+'DOE25'!G225+'DOE25'!G268+'DOE25'!G287+'DOE25'!G306</f>
        <v>21870.05</v>
      </c>
    </row>
    <row r="10" spans="1:3" x14ac:dyDescent="0.2">
      <c r="A10" t="s">
        <v>813</v>
      </c>
      <c r="B10" s="241">
        <f>57186+2000</f>
        <v>59186</v>
      </c>
      <c r="C10" s="241">
        <v>18434.03</v>
      </c>
    </row>
    <row r="11" spans="1:3" x14ac:dyDescent="0.2">
      <c r="A11" t="s">
        <v>814</v>
      </c>
      <c r="B11" s="241">
        <f>3735+794+5885</f>
        <v>10414</v>
      </c>
      <c r="C11" s="241">
        <v>3243.54</v>
      </c>
    </row>
    <row r="12" spans="1:3" x14ac:dyDescent="0.2">
      <c r="A12" t="s">
        <v>815</v>
      </c>
      <c r="B12" s="241">
        <v>618</v>
      </c>
      <c r="C12" s="241">
        <v>192.48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70218</v>
      </c>
      <c r="C13" s="232">
        <f>SUM(C10:C12)</f>
        <v>21870.05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28760.35</v>
      </c>
      <c r="C18" s="230">
        <f>'DOE25'!G190+'DOE25'!G208+'DOE25'!G226+'DOE25'!G269+'DOE25'!G288+'DOE25'!G307</f>
        <v>6717</v>
      </c>
    </row>
    <row r="19" spans="1:3" x14ac:dyDescent="0.2">
      <c r="A19" t="s">
        <v>813</v>
      </c>
      <c r="B19" s="241">
        <f>13038+1140+1026+2030.35</f>
        <v>17234.349999999999</v>
      </c>
      <c r="C19" s="241">
        <v>4025.1</v>
      </c>
    </row>
    <row r="20" spans="1:3" x14ac:dyDescent="0.2">
      <c r="A20" t="s">
        <v>814</v>
      </c>
      <c r="B20" s="241">
        <f>3245+2064+890</f>
        <v>6199</v>
      </c>
      <c r="C20" s="241">
        <v>1447.78</v>
      </c>
    </row>
    <row r="21" spans="1:3" x14ac:dyDescent="0.2">
      <c r="A21" t="s">
        <v>815</v>
      </c>
      <c r="B21" s="241">
        <f>3500+383+1444</f>
        <v>5327</v>
      </c>
      <c r="C21" s="241">
        <v>1244.1199999999999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28760.35</v>
      </c>
      <c r="C22" s="232">
        <f>SUM(C19:C21)</f>
        <v>6717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C89C-52FA-460C-8076-28BD6E5BED8D}">
  <sheetPr>
    <tabColor indexed="11"/>
  </sheetPr>
  <dimension ref="A1:I51"/>
  <sheetViews>
    <sheetView workbookViewId="0">
      <pane ySplit="4" topLeftCell="A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Croydon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1062261.1000000001</v>
      </c>
      <c r="D5" s="20">
        <f>SUM('DOE25'!L189:L192)+SUM('DOE25'!L207:L210)+SUM('DOE25'!L225:L228)-F5-G5</f>
        <v>1062261.1000000001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212</v>
      </c>
      <c r="D6" s="20">
        <f>'DOE25'!L194+'DOE25'!L212+'DOE25'!L230-F6-G6</f>
        <v>212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41442.639999999992</v>
      </c>
      <c r="D8" s="244"/>
      <c r="E8" s="20">
        <f>'DOE25'!L196+'DOE25'!L214+'DOE25'!L232-F8-G8-D9-D11</f>
        <v>41442.639999999992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9023</v>
      </c>
      <c r="D9" s="245">
        <v>9023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7700</v>
      </c>
      <c r="D10" s="244"/>
      <c r="E10" s="245">
        <v>7700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16075.1</v>
      </c>
      <c r="D11" s="245">
        <f>160751*0.1</f>
        <v>16075.1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3464</v>
      </c>
      <c r="D12" s="20">
        <f>'DOE25'!L197+'DOE25'!L215+'DOE25'!L233-F12-G12</f>
        <v>3464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30093</v>
      </c>
      <c r="D14" s="20">
        <f>'DOE25'!L199+'DOE25'!L217+'DOE25'!L235-F14-G14</f>
        <v>30093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31189</v>
      </c>
      <c r="D15" s="20">
        <f>'DOE25'!L200+'DOE25'!L218+'DOE25'!L236-F15-G15</f>
        <v>31189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23702.05</v>
      </c>
      <c r="D31" s="20">
        <f>'DOE25'!L282+'DOE25'!L301+'DOE25'!L320+'DOE25'!L325+'DOE25'!L326+'DOE25'!L327-F31-G31</f>
        <v>22836.05</v>
      </c>
      <c r="E31" s="244"/>
      <c r="F31" s="256">
        <f>'DOE25'!J282+'DOE25'!J301+'DOE25'!J320+'DOE25'!J325+'DOE25'!J326+'DOE25'!J327</f>
        <v>700</v>
      </c>
      <c r="G31" s="53">
        <f>'DOE25'!K282+'DOE25'!K301+'DOE25'!K320+'DOE25'!K325+'DOE25'!K326+'DOE25'!K327</f>
        <v>166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1175153.2500000002</v>
      </c>
      <c r="E33" s="247">
        <f>SUM(E5:E31)</f>
        <v>49142.639999999992</v>
      </c>
      <c r="F33" s="247">
        <f>SUM(F5:F31)</f>
        <v>700</v>
      </c>
      <c r="G33" s="247">
        <f>SUM(G5:G31)</f>
        <v>166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49142.639999999992</v>
      </c>
      <c r="E35" s="250"/>
    </row>
    <row r="36" spans="2:8" ht="12" thickTop="1" x14ac:dyDescent="0.2">
      <c r="B36" t="s">
        <v>849</v>
      </c>
      <c r="D36" s="20">
        <f>D33</f>
        <v>1175153.2500000002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00CA-4EC4-4DC1-811C-D698086BDD0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Croydon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8851.4500000000007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257344.79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54.19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4490.6400000000003</v>
      </c>
      <c r="D13" s="95">
        <f>'DOE25'!G13</f>
        <v>0</v>
      </c>
      <c r="E13" s="95">
        <f>'DOE25'!H13</f>
        <v>5000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13396.280000000002</v>
      </c>
      <c r="D19" s="41">
        <f>SUM(D9:D18)</f>
        <v>0</v>
      </c>
      <c r="E19" s="41">
        <f>SUM(E9:E18)</f>
        <v>5000</v>
      </c>
      <c r="F19" s="41">
        <f>SUM(F9:F18)</f>
        <v>0</v>
      </c>
      <c r="G19" s="41">
        <f>SUM(G9:G18)</f>
        <v>257344.79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5889.14</v>
      </c>
      <c r="D23" s="95">
        <f>'DOE25'!G24</f>
        <v>0</v>
      </c>
      <c r="E23" s="95">
        <f>'DOE25'!H24</f>
        <v>5000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3758.03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9647.17</v>
      </c>
      <c r="D32" s="41">
        <f>SUM(D22:D31)</f>
        <v>0</v>
      </c>
      <c r="E32" s="41">
        <f>SUM(E22:E31)</f>
        <v>5000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257344.79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3749.11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3749.11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257344.79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13396.28</v>
      </c>
      <c r="D43" s="41">
        <f>D42+D32</f>
        <v>0</v>
      </c>
      <c r="E43" s="41">
        <f>E42+E32</f>
        <v>5000</v>
      </c>
      <c r="F43" s="41">
        <f>F42+F32</f>
        <v>0</v>
      </c>
      <c r="G43" s="41">
        <f>G42+G32</f>
        <v>257344.79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547062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3757.49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1327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1436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3757.49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548498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3757.49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231520.54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223250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88826.46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543597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2511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2511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546108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18989.61</v>
      </c>
      <c r="D80" s="95">
        <f>SUM('DOE25'!G145:G153)</f>
        <v>0</v>
      </c>
      <c r="E80" s="95">
        <f>SUM('DOE25'!H145:H153)</f>
        <v>23702.05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18989.61</v>
      </c>
      <c r="D83" s="131">
        <f>SUM(D77:D82)</f>
        <v>0</v>
      </c>
      <c r="E83" s="131">
        <f>SUM(E77:E82)</f>
        <v>23702.05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55500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55500</v>
      </c>
    </row>
    <row r="96" spans="1:7" ht="12.75" thickTop="1" thickBot="1" x14ac:dyDescent="0.25">
      <c r="A96" s="33" t="s">
        <v>797</v>
      </c>
      <c r="C96" s="86">
        <f>C55+C73+C83+C95</f>
        <v>1113595.6100000001</v>
      </c>
      <c r="D96" s="86">
        <f>D55+D73+D83+D95</f>
        <v>0</v>
      </c>
      <c r="E96" s="86">
        <f>E55+E73+E83+E95</f>
        <v>23702.05</v>
      </c>
      <c r="F96" s="86">
        <f>F55+F73+F83+F95</f>
        <v>0</v>
      </c>
      <c r="G96" s="86">
        <f>G55+G73+G95</f>
        <v>59257.49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863913</v>
      </c>
      <c r="D101" s="24" t="s">
        <v>312</v>
      </c>
      <c r="E101" s="95">
        <f>('DOE25'!L268)+('DOE25'!L287)+('DOE25'!L306)</f>
        <v>16552.05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198348.1</v>
      </c>
      <c r="D102" s="24" t="s">
        <v>312</v>
      </c>
      <c r="E102" s="95">
        <f>('DOE25'!L269)+('DOE25'!L288)+('DOE25'!L307)</f>
        <v>1186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1062261.1000000001</v>
      </c>
      <c r="D107" s="86">
        <f>SUM(D101:D106)</f>
        <v>0</v>
      </c>
      <c r="E107" s="86">
        <f>SUM(E101:E106)</f>
        <v>17738.05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212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4731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66540.739999999991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3464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30093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31189</v>
      </c>
      <c r="D116" s="24" t="s">
        <v>312</v>
      </c>
      <c r="E116" s="95">
        <f>+('DOE25'!L279)+('DOE25'!L298)+('DOE25'!L317)</f>
        <v>1233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131498.74</v>
      </c>
      <c r="D120" s="86">
        <f>SUM(D110:D119)</f>
        <v>0</v>
      </c>
      <c r="E120" s="86">
        <f>SUM(E110:E119)</f>
        <v>5964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23538.880000000001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35718.61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-3757.4900000000052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55500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1249259.8400000001</v>
      </c>
      <c r="D137" s="86">
        <f>(D107+D120+D136)</f>
        <v>0</v>
      </c>
      <c r="E137" s="86">
        <f>(E107+E120+E136)</f>
        <v>23702.05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40E1-FD72-4CE2-9490-AA16482E8CE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Croydon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11632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11632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880465</v>
      </c>
      <c r="D10" s="182">
        <f>ROUND((C10/$C$28)*100,1)</f>
        <v>72.3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199534</v>
      </c>
      <c r="D11" s="182">
        <f>ROUND((C11/$C$28)*100,1)</f>
        <v>16.399999999999999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212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4731</v>
      </c>
      <c r="D16" s="182">
        <f t="shared" si="0"/>
        <v>0.4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66541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3464</v>
      </c>
      <c r="D18" s="182">
        <f t="shared" si="0"/>
        <v>0.3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30093</v>
      </c>
      <c r="D20" s="182">
        <f t="shared" si="0"/>
        <v>2.5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32422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1217462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1217462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547062</v>
      </c>
      <c r="D35" s="182">
        <f t="shared" ref="D35:D40" si="1">ROUND((C35/$C$41)*100,1)</f>
        <v>47.9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5193.4899999999907</v>
      </c>
      <c r="D36" s="182">
        <f t="shared" si="1"/>
        <v>0.5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454771</v>
      </c>
      <c r="D37" s="182">
        <f t="shared" si="1"/>
        <v>39.9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91337</v>
      </c>
      <c r="D38" s="182">
        <f t="shared" si="1"/>
        <v>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42692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1141055.49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7EBE-B4E5-4461-B897-3A1F0C13030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Croydon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2010-08-24T15:28:35Z</cp:lastPrinted>
  <dcterms:created xsi:type="dcterms:W3CDTF">1997-12-04T19:04:30Z</dcterms:created>
  <dcterms:modified xsi:type="dcterms:W3CDTF">2025-01-02T14:20:56Z</dcterms:modified>
</cp:coreProperties>
</file>