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79E209B-A9A1-4DE4-BCDE-87CD03C1B9F5}" xr6:coauthVersionLast="47" xr6:coauthVersionMax="47" xr10:uidLastSave="{00000000-0000-0000-0000-000000000000}"/>
  <workbookProtection workbookPassword="B70A" lockStructure="1"/>
  <bookViews>
    <workbookView xWindow="2595" yWindow="2595" windowWidth="21600" windowHeight="11505" tabRatio="855" xr2:uid="{61E65C6F-A246-45F2-BEA5-6CB5B5F59F4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2" l="1"/>
  <c r="C39" i="12"/>
  <c r="C19" i="12"/>
  <c r="C20" i="12"/>
  <c r="B20" i="12"/>
  <c r="B19" i="12"/>
  <c r="C11" i="12"/>
  <c r="C10" i="12"/>
  <c r="D11" i="13"/>
  <c r="D9" i="13"/>
  <c r="C9" i="13" s="1"/>
  <c r="F109" i="1"/>
  <c r="F455" i="1"/>
  <c r="I602" i="1"/>
  <c r="G602" i="1"/>
  <c r="F602" i="1"/>
  <c r="I517" i="1"/>
  <c r="I516" i="1"/>
  <c r="H517" i="1"/>
  <c r="H516" i="1"/>
  <c r="H518" i="1"/>
  <c r="J517" i="1"/>
  <c r="J516" i="1"/>
  <c r="F511" i="1"/>
  <c r="F516" i="1"/>
  <c r="L516" i="1" s="1"/>
  <c r="G511" i="1"/>
  <c r="G516" i="1"/>
  <c r="G517" i="1"/>
  <c r="J511" i="1"/>
  <c r="I511" i="1"/>
  <c r="G512" i="1"/>
  <c r="J512" i="1"/>
  <c r="H511" i="1"/>
  <c r="H512" i="1"/>
  <c r="H513" i="1"/>
  <c r="F512" i="1"/>
  <c r="H236" i="1"/>
  <c r="L236" i="1" s="1"/>
  <c r="H218" i="1"/>
  <c r="H200" i="1"/>
  <c r="J455" i="1"/>
  <c r="H455" i="1"/>
  <c r="G455" i="1"/>
  <c r="H462" i="1"/>
  <c r="H458" i="1"/>
  <c r="H273" i="1"/>
  <c r="H292" i="1"/>
  <c r="H325" i="1"/>
  <c r="L325" i="1" s="1"/>
  <c r="E106" i="2" s="1"/>
  <c r="H311" i="1"/>
  <c r="L311" i="1" s="1"/>
  <c r="K213" i="1"/>
  <c r="G7" i="13" s="1"/>
  <c r="J215" i="1"/>
  <c r="J208" i="1"/>
  <c r="J197" i="1"/>
  <c r="F12" i="13" s="1"/>
  <c r="J190" i="1"/>
  <c r="I207" i="1"/>
  <c r="I189" i="1"/>
  <c r="I214" i="1"/>
  <c r="I199" i="1"/>
  <c r="I217" i="1"/>
  <c r="I195" i="1"/>
  <c r="I213" i="1"/>
  <c r="I212" i="1"/>
  <c r="I194" i="1"/>
  <c r="I190" i="1"/>
  <c r="I208" i="1"/>
  <c r="H217" i="1"/>
  <c r="H199" i="1"/>
  <c r="H215" i="1"/>
  <c r="H197" i="1"/>
  <c r="H195" i="1"/>
  <c r="H213" i="1"/>
  <c r="H230" i="1"/>
  <c r="L230" i="1" s="1"/>
  <c r="H212" i="1"/>
  <c r="L212" i="1" s="1"/>
  <c r="H194" i="1"/>
  <c r="L194" i="1" s="1"/>
  <c r="H210" i="1"/>
  <c r="H226" i="1"/>
  <c r="L226" i="1" s="1"/>
  <c r="H208" i="1"/>
  <c r="L208" i="1" s="1"/>
  <c r="L221" i="1" s="1"/>
  <c r="G650" i="1" s="1"/>
  <c r="G654" i="1" s="1"/>
  <c r="H190" i="1"/>
  <c r="L190" i="1" s="1"/>
  <c r="H225" i="1"/>
  <c r="L225" i="1" s="1"/>
  <c r="H207" i="1"/>
  <c r="H189" i="1"/>
  <c r="H243" i="1"/>
  <c r="G199" i="1"/>
  <c r="G217" i="1"/>
  <c r="G215" i="1"/>
  <c r="L215" i="1" s="1"/>
  <c r="G197" i="1"/>
  <c r="L197" i="1" s="1"/>
  <c r="G213" i="1"/>
  <c r="G195" i="1"/>
  <c r="G212" i="1"/>
  <c r="G194" i="1"/>
  <c r="G210" i="1"/>
  <c r="G192" i="1"/>
  <c r="G208" i="1"/>
  <c r="G190" i="1"/>
  <c r="G207" i="1"/>
  <c r="G189" i="1"/>
  <c r="C9" i="12" s="1"/>
  <c r="F217" i="1"/>
  <c r="F199" i="1"/>
  <c r="L199" i="1" s="1"/>
  <c r="F213" i="1"/>
  <c r="F195" i="1"/>
  <c r="L195" i="1" s="1"/>
  <c r="F212" i="1"/>
  <c r="F194" i="1"/>
  <c r="F210" i="1"/>
  <c r="L210" i="1" s="1"/>
  <c r="F192" i="1"/>
  <c r="F208" i="1"/>
  <c r="F190" i="1"/>
  <c r="F207" i="1"/>
  <c r="F189" i="1"/>
  <c r="B9" i="12" s="1"/>
  <c r="A13" i="12" s="1"/>
  <c r="H147" i="1"/>
  <c r="H146" i="1"/>
  <c r="F102" i="1"/>
  <c r="F58" i="1"/>
  <c r="F56" i="1"/>
  <c r="F42" i="1"/>
  <c r="H23" i="1"/>
  <c r="H25" i="1"/>
  <c r="H13" i="1"/>
  <c r="H351" i="1"/>
  <c r="H350" i="1"/>
  <c r="F9" i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G5" i="13"/>
  <c r="G33" i="13" s="1"/>
  <c r="L189" i="1"/>
  <c r="C10" i="10" s="1"/>
  <c r="L191" i="1"/>
  <c r="L192" i="1"/>
  <c r="L207" i="1"/>
  <c r="L209" i="1"/>
  <c r="L227" i="1"/>
  <c r="L228" i="1"/>
  <c r="F6" i="13"/>
  <c r="G6" i="13"/>
  <c r="F7" i="13"/>
  <c r="L213" i="1"/>
  <c r="L231" i="1"/>
  <c r="G12" i="13"/>
  <c r="L233" i="1"/>
  <c r="F14" i="13"/>
  <c r="G14" i="13"/>
  <c r="L217" i="1"/>
  <c r="L235" i="1"/>
  <c r="F15" i="13"/>
  <c r="G15" i="13"/>
  <c r="L200" i="1"/>
  <c r="D15" i="13" s="1"/>
  <c r="C15" i="13" s="1"/>
  <c r="L218" i="1"/>
  <c r="F17" i="13"/>
  <c r="G17" i="13"/>
  <c r="L243" i="1"/>
  <c r="D17" i="13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L351" i="1"/>
  <c r="D29" i="13" s="1"/>
  <c r="C29" i="13" s="1"/>
  <c r="L352" i="1"/>
  <c r="H651" i="1" s="1"/>
  <c r="I359" i="1"/>
  <c r="J282" i="1"/>
  <c r="J301" i="1"/>
  <c r="F31" i="13" s="1"/>
  <c r="J320" i="1"/>
  <c r="K282" i="1"/>
  <c r="G31" i="13" s="1"/>
  <c r="K301" i="1"/>
  <c r="K320" i="1"/>
  <c r="L268" i="1"/>
  <c r="L269" i="1"/>
  <c r="L282" i="1" s="1"/>
  <c r="L270" i="1"/>
  <c r="L271" i="1"/>
  <c r="L273" i="1"/>
  <c r="L274" i="1"/>
  <c r="L275" i="1"/>
  <c r="L276" i="1"/>
  <c r="L277" i="1"/>
  <c r="L278" i="1"/>
  <c r="L279" i="1"/>
  <c r="L280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C17" i="10" s="1"/>
  <c r="L301" i="1"/>
  <c r="L306" i="1"/>
  <c r="L307" i="1"/>
  <c r="L308" i="1"/>
  <c r="L309" i="1"/>
  <c r="L312" i="1"/>
  <c r="L313" i="1"/>
  <c r="L314" i="1"/>
  <c r="L315" i="1"/>
  <c r="L316" i="1"/>
  <c r="L317" i="1"/>
  <c r="L318" i="1"/>
  <c r="L326" i="1"/>
  <c r="L327" i="1"/>
  <c r="L252" i="1"/>
  <c r="L253" i="1"/>
  <c r="L333" i="1"/>
  <c r="E123" i="2" s="1"/>
  <c r="E136" i="2" s="1"/>
  <c r="L334" i="1"/>
  <c r="C25" i="10" s="1"/>
  <c r="H25" i="13"/>
  <c r="H33" i="13" s="1"/>
  <c r="L247" i="1"/>
  <c r="L328" i="1"/>
  <c r="F22" i="13" s="1"/>
  <c r="C22" i="13" s="1"/>
  <c r="C17" i="13"/>
  <c r="C11" i="13"/>
  <c r="C10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13" i="12"/>
  <c r="C13" i="12"/>
  <c r="B18" i="12"/>
  <c r="B22" i="12"/>
  <c r="C18" i="12"/>
  <c r="C22" i="12"/>
  <c r="A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G48" i="2"/>
  <c r="G55" i="2" s="1"/>
  <c r="G51" i="2"/>
  <c r="G54" i="2" s="1"/>
  <c r="G53" i="2"/>
  <c r="F2" i="11"/>
  <c r="L603" i="1"/>
  <c r="H653" i="1" s="1"/>
  <c r="L602" i="1"/>
  <c r="G653" i="1"/>
  <c r="L601" i="1"/>
  <c r="F653" i="1" s="1"/>
  <c r="C40" i="10"/>
  <c r="F52" i="1"/>
  <c r="C35" i="10" s="1"/>
  <c r="G52" i="1"/>
  <c r="G104" i="1" s="1"/>
  <c r="H52" i="1"/>
  <c r="I52" i="1"/>
  <c r="I104" i="1" s="1"/>
  <c r="I185" i="1" s="1"/>
  <c r="G620" i="1" s="1"/>
  <c r="J620" i="1" s="1"/>
  <c r="F71" i="1"/>
  <c r="F86" i="1"/>
  <c r="F103" i="1"/>
  <c r="G103" i="1"/>
  <c r="H71" i="1"/>
  <c r="E49" i="2" s="1"/>
  <c r="H86" i="1"/>
  <c r="E50" i="2" s="1"/>
  <c r="H103" i="1"/>
  <c r="I103" i="1"/>
  <c r="J103" i="1"/>
  <c r="J104" i="1" s="1"/>
  <c r="C37" i="10"/>
  <c r="F113" i="1"/>
  <c r="F128" i="1"/>
  <c r="F132" i="1"/>
  <c r="G113" i="1"/>
  <c r="G132" i="1" s="1"/>
  <c r="G128" i="1"/>
  <c r="H113" i="1"/>
  <c r="H128" i="1"/>
  <c r="H132" i="1"/>
  <c r="I113" i="1"/>
  <c r="I128" i="1"/>
  <c r="I132" i="1"/>
  <c r="J113" i="1"/>
  <c r="J128" i="1"/>
  <c r="J132" i="1"/>
  <c r="F139" i="1"/>
  <c r="F161" i="1" s="1"/>
  <c r="F154" i="1"/>
  <c r="G139" i="1"/>
  <c r="G154" i="1"/>
  <c r="G161" i="1" s="1"/>
  <c r="H139" i="1"/>
  <c r="H154" i="1"/>
  <c r="H161" i="1" s="1"/>
  <c r="I139" i="1"/>
  <c r="I154" i="1"/>
  <c r="I161" i="1" s="1"/>
  <c r="C12" i="10"/>
  <c r="L242" i="1"/>
  <c r="L324" i="1"/>
  <c r="C23" i="10"/>
  <c r="L246" i="1"/>
  <c r="C24" i="10" s="1"/>
  <c r="L260" i="1"/>
  <c r="L261" i="1"/>
  <c r="L341" i="1"/>
  <c r="L342" i="1"/>
  <c r="C26" i="10"/>
  <c r="I655" i="1"/>
  <c r="I660" i="1"/>
  <c r="F651" i="1"/>
  <c r="G651" i="1"/>
  <c r="F652" i="1"/>
  <c r="G652" i="1"/>
  <c r="I659" i="1"/>
  <c r="C6" i="10"/>
  <c r="C42" i="10"/>
  <c r="C32" i="10"/>
  <c r="L366" i="1"/>
  <c r="L367" i="1"/>
  <c r="L368" i="1"/>
  <c r="L369" i="1"/>
  <c r="L370" i="1"/>
  <c r="L371" i="1"/>
  <c r="L372" i="1"/>
  <c r="C29" i="10"/>
  <c r="B2" i="10"/>
  <c r="L336" i="1"/>
  <c r="L337" i="1"/>
  <c r="L338" i="1"/>
  <c r="L339" i="1"/>
  <c r="K343" i="1"/>
  <c r="L511" i="1"/>
  <c r="F539" i="1"/>
  <c r="F542" i="1" s="1"/>
  <c r="L512" i="1"/>
  <c r="F540" i="1" s="1"/>
  <c r="L513" i="1"/>
  <c r="F541" i="1"/>
  <c r="L517" i="1"/>
  <c r="G540" i="1"/>
  <c r="L518" i="1"/>
  <c r="G541" i="1" s="1"/>
  <c r="L521" i="1"/>
  <c r="H539" i="1" s="1"/>
  <c r="H542" i="1" s="1"/>
  <c r="L522" i="1"/>
  <c r="H540" i="1"/>
  <c r="L523" i="1"/>
  <c r="H541" i="1" s="1"/>
  <c r="L526" i="1"/>
  <c r="I539" i="1"/>
  <c r="L527" i="1"/>
  <c r="L529" i="1" s="1"/>
  <c r="L528" i="1"/>
  <c r="I541" i="1"/>
  <c r="L531" i="1"/>
  <c r="J539" i="1"/>
  <c r="L532" i="1"/>
  <c r="J540" i="1" s="1"/>
  <c r="L533" i="1"/>
  <c r="J541" i="1" s="1"/>
  <c r="E124" i="2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E9" i="2"/>
  <c r="F9" i="2"/>
  <c r="I431" i="1"/>
  <c r="J9" i="1"/>
  <c r="G9" i="2" s="1"/>
  <c r="C10" i="2"/>
  <c r="D10" i="2"/>
  <c r="E10" i="2"/>
  <c r="F10" i="2"/>
  <c r="F19" i="2" s="1"/>
  <c r="I432" i="1"/>
  <c r="J10" i="1" s="1"/>
  <c r="C11" i="2"/>
  <c r="C12" i="2"/>
  <c r="D12" i="2"/>
  <c r="E12" i="2"/>
  <c r="F12" i="2"/>
  <c r="I433" i="1"/>
  <c r="J12" i="1"/>
  <c r="G12" i="2" s="1"/>
  <c r="C13" i="2"/>
  <c r="D13" i="2"/>
  <c r="D19" i="2" s="1"/>
  <c r="E13" i="2"/>
  <c r="E19" i="2" s="1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 s="1"/>
  <c r="C23" i="2"/>
  <c r="D23" i="2"/>
  <c r="D32" i="2" s="1"/>
  <c r="E23" i="2"/>
  <c r="E32" i="2" s="1"/>
  <c r="F23" i="2"/>
  <c r="F32" i="2" s="1"/>
  <c r="I441" i="1"/>
  <c r="J24" i="1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C34" i="2"/>
  <c r="D34" i="2"/>
  <c r="E34" i="2"/>
  <c r="F34" i="2"/>
  <c r="C35" i="2"/>
  <c r="D35" i="2"/>
  <c r="D42" i="2" s="1"/>
  <c r="E35" i="2"/>
  <c r="F35" i="2"/>
  <c r="C36" i="2"/>
  <c r="D36" i="2"/>
  <c r="E36" i="2"/>
  <c r="F36" i="2"/>
  <c r="I446" i="1"/>
  <c r="J37" i="1" s="1"/>
  <c r="C37" i="2"/>
  <c r="C42" i="2" s="1"/>
  <c r="C43" i="2" s="1"/>
  <c r="D37" i="2"/>
  <c r="E37" i="2"/>
  <c r="F37" i="2"/>
  <c r="F42" i="2" s="1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E42" i="2"/>
  <c r="E43" i="2" s="1"/>
  <c r="D48" i="2"/>
  <c r="D55" i="2" s="1"/>
  <c r="E48" i="2"/>
  <c r="F48" i="2"/>
  <c r="F55" i="2" s="1"/>
  <c r="C49" i="2"/>
  <c r="C54" i="2" s="1"/>
  <c r="C50" i="2"/>
  <c r="C51" i="2"/>
  <c r="D51" i="2"/>
  <c r="D54" i="2" s="1"/>
  <c r="E51" i="2"/>
  <c r="F51" i="2"/>
  <c r="D52" i="2"/>
  <c r="C53" i="2"/>
  <c r="D53" i="2"/>
  <c r="E53" i="2"/>
  <c r="F53" i="2"/>
  <c r="F54" i="2" s="1"/>
  <c r="C58" i="2"/>
  <c r="C62" i="2" s="1"/>
  <c r="C59" i="2"/>
  <c r="C61" i="2"/>
  <c r="D61" i="2"/>
  <c r="D62" i="2" s="1"/>
  <c r="E61" i="2"/>
  <c r="E62" i="2" s="1"/>
  <c r="E73" i="2" s="1"/>
  <c r="F61" i="2"/>
  <c r="G61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G70" i="2" s="1"/>
  <c r="G73" i="2" s="1"/>
  <c r="C70" i="2"/>
  <c r="D70" i="2"/>
  <c r="D73" i="2" s="1"/>
  <c r="E70" i="2"/>
  <c r="C71" i="2"/>
  <c r="D71" i="2"/>
  <c r="E71" i="2"/>
  <c r="C72" i="2"/>
  <c r="E72" i="2"/>
  <c r="C77" i="2"/>
  <c r="D77" i="2"/>
  <c r="D83" i="2" s="1"/>
  <c r="E77" i="2"/>
  <c r="F77" i="2"/>
  <c r="C79" i="2"/>
  <c r="E79" i="2"/>
  <c r="F79" i="2"/>
  <c r="C80" i="2"/>
  <c r="C83" i="2" s="1"/>
  <c r="D80" i="2"/>
  <c r="E80" i="2"/>
  <c r="E83" i="2" s="1"/>
  <c r="F80" i="2"/>
  <c r="F83" i="2" s="1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D95" i="2" s="1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1" i="2"/>
  <c r="E107" i="2" s="1"/>
  <c r="E102" i="2"/>
  <c r="C103" i="2"/>
  <c r="E103" i="2"/>
  <c r="E104" i="2"/>
  <c r="C105" i="2"/>
  <c r="E105" i="2"/>
  <c r="C106" i="2"/>
  <c r="D107" i="2"/>
  <c r="F107" i="2"/>
  <c r="F137" i="2" s="1"/>
  <c r="G107" i="2"/>
  <c r="E111" i="2"/>
  <c r="C112" i="2"/>
  <c r="E112" i="2"/>
  <c r="E113" i="2"/>
  <c r="C114" i="2"/>
  <c r="E114" i="2"/>
  <c r="E115" i="2"/>
  <c r="E116" i="2"/>
  <c r="C117" i="2"/>
  <c r="E117" i="2"/>
  <c r="D119" i="2"/>
  <c r="D120" i="2"/>
  <c r="F120" i="2"/>
  <c r="G120" i="2"/>
  <c r="C122" i="2"/>
  <c r="E122" i="2"/>
  <c r="F122" i="2"/>
  <c r="D126" i="2"/>
  <c r="D136" i="2" s="1"/>
  <c r="D137" i="2" s="1"/>
  <c r="E126" i="2"/>
  <c r="F126" i="2"/>
  <c r="F136" i="2" s="1"/>
  <c r="K411" i="1"/>
  <c r="K419" i="1"/>
  <c r="K426" i="1" s="1"/>
  <c r="G126" i="2" s="1"/>
  <c r="G136" i="2" s="1"/>
  <c r="K425" i="1"/>
  <c r="L255" i="1"/>
  <c r="C127" i="2"/>
  <c r="E127" i="2"/>
  <c r="L256" i="1"/>
  <c r="C128" i="2"/>
  <c r="L257" i="1"/>
  <c r="C129" i="2" s="1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490" i="1"/>
  <c r="C153" i="2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 s="1"/>
  <c r="F493" i="1"/>
  <c r="B156" i="2"/>
  <c r="G493" i="1"/>
  <c r="C156" i="2" s="1"/>
  <c r="H493" i="1"/>
  <c r="D156" i="2"/>
  <c r="I493" i="1"/>
  <c r="E156" i="2"/>
  <c r="J493" i="1"/>
  <c r="F156" i="2"/>
  <c r="F19" i="1"/>
  <c r="G19" i="1"/>
  <c r="G608" i="1" s="1"/>
  <c r="J608" i="1" s="1"/>
  <c r="H19" i="1"/>
  <c r="G609" i="1" s="1"/>
  <c r="I19" i="1"/>
  <c r="G610" i="1" s="1"/>
  <c r="F33" i="1"/>
  <c r="G33" i="1"/>
  <c r="H33" i="1"/>
  <c r="I33" i="1"/>
  <c r="F43" i="1"/>
  <c r="G43" i="1"/>
  <c r="G44" i="1" s="1"/>
  <c r="H608" i="1" s="1"/>
  <c r="H43" i="1"/>
  <c r="H44" i="1" s="1"/>
  <c r="H609" i="1" s="1"/>
  <c r="I43" i="1"/>
  <c r="G615" i="1" s="1"/>
  <c r="J615" i="1" s="1"/>
  <c r="F44" i="1"/>
  <c r="H607" i="1" s="1"/>
  <c r="F169" i="1"/>
  <c r="F184" i="1" s="1"/>
  <c r="I169" i="1"/>
  <c r="F175" i="1"/>
  <c r="G175" i="1"/>
  <c r="G184" i="1" s="1"/>
  <c r="H175" i="1"/>
  <c r="H184" i="1" s="1"/>
  <c r="I175" i="1"/>
  <c r="I184" i="1" s="1"/>
  <c r="J175" i="1"/>
  <c r="G635" i="1" s="1"/>
  <c r="J635" i="1" s="1"/>
  <c r="F180" i="1"/>
  <c r="G180" i="1"/>
  <c r="H180" i="1"/>
  <c r="I180" i="1"/>
  <c r="F203" i="1"/>
  <c r="G203" i="1"/>
  <c r="G249" i="1" s="1"/>
  <c r="G263" i="1" s="1"/>
  <c r="H203" i="1"/>
  <c r="I203" i="1"/>
  <c r="I249" i="1" s="1"/>
  <c r="I263" i="1" s="1"/>
  <c r="J203" i="1"/>
  <c r="K203" i="1"/>
  <c r="F221" i="1"/>
  <c r="F249" i="1" s="1"/>
  <c r="F263" i="1" s="1"/>
  <c r="G221" i="1"/>
  <c r="H221" i="1"/>
  <c r="H249" i="1" s="1"/>
  <c r="H263" i="1" s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K249" i="1"/>
  <c r="K263" i="1" s="1"/>
  <c r="L262" i="1"/>
  <c r="F282" i="1"/>
  <c r="G282" i="1"/>
  <c r="G330" i="1" s="1"/>
  <c r="G344" i="1" s="1"/>
  <c r="H282" i="1"/>
  <c r="H330" i="1" s="1"/>
  <c r="H344" i="1" s="1"/>
  <c r="I282" i="1"/>
  <c r="I330" i="1" s="1"/>
  <c r="I344" i="1" s="1"/>
  <c r="F301" i="1"/>
  <c r="F330" i="1" s="1"/>
  <c r="F344" i="1" s="1"/>
  <c r="G301" i="1"/>
  <c r="H301" i="1"/>
  <c r="I301" i="1"/>
  <c r="F320" i="1"/>
  <c r="G320" i="1"/>
  <c r="H320" i="1"/>
  <c r="I320" i="1"/>
  <c r="F329" i="1"/>
  <c r="G329" i="1"/>
  <c r="H329" i="1"/>
  <c r="I329" i="1"/>
  <c r="J329" i="1"/>
  <c r="L329" i="1" s="1"/>
  <c r="K329" i="1"/>
  <c r="K330" i="1" s="1"/>
  <c r="K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L374" i="1"/>
  <c r="F385" i="1"/>
  <c r="F400" i="1" s="1"/>
  <c r="H633" i="1" s="1"/>
  <c r="J633" i="1" s="1"/>
  <c r="G385" i="1"/>
  <c r="H385" i="1"/>
  <c r="I385" i="1"/>
  <c r="F393" i="1"/>
  <c r="G393" i="1"/>
  <c r="H393" i="1"/>
  <c r="I393" i="1"/>
  <c r="I400" i="1" s="1"/>
  <c r="F399" i="1"/>
  <c r="G399" i="1"/>
  <c r="H399" i="1"/>
  <c r="I399" i="1"/>
  <c r="G400" i="1"/>
  <c r="H635" i="1" s="1"/>
  <c r="H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J426" i="1" s="1"/>
  <c r="L425" i="1"/>
  <c r="F438" i="1"/>
  <c r="G629" i="1" s="1"/>
  <c r="J629" i="1" s="1"/>
  <c r="G438" i="1"/>
  <c r="H438" i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H451" i="1"/>
  <c r="H631" i="1" s="1"/>
  <c r="F460" i="1"/>
  <c r="F466" i="1" s="1"/>
  <c r="H612" i="1" s="1"/>
  <c r="J612" i="1" s="1"/>
  <c r="G460" i="1"/>
  <c r="H460" i="1"/>
  <c r="I460" i="1"/>
  <c r="J460" i="1"/>
  <c r="F464" i="1"/>
  <c r="G464" i="1"/>
  <c r="H464" i="1"/>
  <c r="I464" i="1"/>
  <c r="J464" i="1"/>
  <c r="J466" i="1" s="1"/>
  <c r="H616" i="1" s="1"/>
  <c r="G466" i="1"/>
  <c r="H613" i="1" s="1"/>
  <c r="H466" i="1"/>
  <c r="H614" i="1" s="1"/>
  <c r="J614" i="1" s="1"/>
  <c r="I466" i="1"/>
  <c r="H615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H514" i="1"/>
  <c r="H535" i="1" s="1"/>
  <c r="I514" i="1"/>
  <c r="J514" i="1"/>
  <c r="J535" i="1" s="1"/>
  <c r="K514" i="1"/>
  <c r="K535" i="1" s="1"/>
  <c r="F519" i="1"/>
  <c r="G519" i="1"/>
  <c r="G535" i="1" s="1"/>
  <c r="H519" i="1"/>
  <c r="I519" i="1"/>
  <c r="J519" i="1"/>
  <c r="K519" i="1"/>
  <c r="F524" i="1"/>
  <c r="G524" i="1"/>
  <c r="H524" i="1"/>
  <c r="I524" i="1"/>
  <c r="I535" i="1" s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F561" i="1" s="1"/>
  <c r="G550" i="1"/>
  <c r="G561" i="1" s="1"/>
  <c r="H550" i="1"/>
  <c r="I550" i="1"/>
  <c r="I561" i="1" s="1"/>
  <c r="J550" i="1"/>
  <c r="K550" i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12" i="1"/>
  <c r="G614" i="1"/>
  <c r="H617" i="1"/>
  <c r="H618" i="1"/>
  <c r="H619" i="1"/>
  <c r="H620" i="1"/>
  <c r="H621" i="1"/>
  <c r="H622" i="1"/>
  <c r="H623" i="1"/>
  <c r="G624" i="1"/>
  <c r="H625" i="1"/>
  <c r="G626" i="1"/>
  <c r="H626" i="1"/>
  <c r="J626" i="1"/>
  <c r="H627" i="1"/>
  <c r="H628" i="1"/>
  <c r="G630" i="1"/>
  <c r="G631" i="1"/>
  <c r="G633" i="1"/>
  <c r="G634" i="1"/>
  <c r="H634" i="1"/>
  <c r="J634" i="1"/>
  <c r="G639" i="1"/>
  <c r="J639" i="1" s="1"/>
  <c r="H639" i="1"/>
  <c r="G640" i="1"/>
  <c r="G642" i="1"/>
  <c r="H642" i="1"/>
  <c r="J642" i="1"/>
  <c r="G643" i="1"/>
  <c r="J643" i="1" s="1"/>
  <c r="H643" i="1"/>
  <c r="G644" i="1"/>
  <c r="H644" i="1"/>
  <c r="J644" i="1"/>
  <c r="G645" i="1"/>
  <c r="H645" i="1"/>
  <c r="J645" i="1"/>
  <c r="J631" i="1" l="1"/>
  <c r="C20" i="10"/>
  <c r="C115" i="2"/>
  <c r="D14" i="13"/>
  <c r="C14" i="13" s="1"/>
  <c r="D12" i="13"/>
  <c r="C12" i="13" s="1"/>
  <c r="C113" i="2"/>
  <c r="C18" i="10"/>
  <c r="C15" i="10"/>
  <c r="D6" i="13"/>
  <c r="C6" i="13" s="1"/>
  <c r="C110" i="2"/>
  <c r="C120" i="2" s="1"/>
  <c r="H652" i="1"/>
  <c r="G641" i="1"/>
  <c r="J641" i="1" s="1"/>
  <c r="H637" i="1"/>
  <c r="J637" i="1" s="1"/>
  <c r="C21" i="10"/>
  <c r="C116" i="2"/>
  <c r="L519" i="1"/>
  <c r="G539" i="1"/>
  <c r="G542" i="1" s="1"/>
  <c r="L426" i="1"/>
  <c r="G628" i="1" s="1"/>
  <c r="J628" i="1" s="1"/>
  <c r="G156" i="2"/>
  <c r="I653" i="1"/>
  <c r="E110" i="2"/>
  <c r="E120" i="2" s="1"/>
  <c r="E137" i="2" s="1"/>
  <c r="L320" i="1"/>
  <c r="J610" i="1"/>
  <c r="D43" i="2"/>
  <c r="J609" i="1"/>
  <c r="F43" i="2"/>
  <c r="E54" i="2"/>
  <c r="E55" i="2" s="1"/>
  <c r="E96" i="2" s="1"/>
  <c r="L400" i="1"/>
  <c r="C130" i="2"/>
  <c r="J607" i="1"/>
  <c r="F96" i="2"/>
  <c r="J542" i="1"/>
  <c r="K541" i="1"/>
  <c r="J263" i="1"/>
  <c r="G153" i="2"/>
  <c r="C73" i="2"/>
  <c r="J43" i="1"/>
  <c r="G36" i="2"/>
  <c r="G42" i="2" s="1"/>
  <c r="G23" i="2"/>
  <c r="G32" i="2" s="1"/>
  <c r="J33" i="1"/>
  <c r="G10" i="2"/>
  <c r="G19" i="2" s="1"/>
  <c r="J19" i="1"/>
  <c r="G611" i="1" s="1"/>
  <c r="C39" i="10"/>
  <c r="C38" i="10"/>
  <c r="F33" i="13"/>
  <c r="C13" i="10"/>
  <c r="C104" i="2"/>
  <c r="C101" i="2"/>
  <c r="C107" i="2" s="1"/>
  <c r="L239" i="1"/>
  <c r="H650" i="1" s="1"/>
  <c r="H654" i="1" s="1"/>
  <c r="D96" i="2"/>
  <c r="G96" i="2"/>
  <c r="D31" i="13"/>
  <c r="C31" i="13" s="1"/>
  <c r="L330" i="1"/>
  <c r="C11" i="10"/>
  <c r="C102" i="2"/>
  <c r="D5" i="13"/>
  <c r="I652" i="1"/>
  <c r="E33" i="13"/>
  <c r="D35" i="13" s="1"/>
  <c r="C8" i="13"/>
  <c r="G662" i="1"/>
  <c r="C5" i="10" s="1"/>
  <c r="G657" i="1"/>
  <c r="L561" i="1"/>
  <c r="G185" i="1"/>
  <c r="G618" i="1" s="1"/>
  <c r="J618" i="1" s="1"/>
  <c r="C133" i="2"/>
  <c r="C136" i="2" s="1"/>
  <c r="C16" i="10"/>
  <c r="C111" i="2"/>
  <c r="D7" i="13"/>
  <c r="C7" i="13" s="1"/>
  <c r="G137" i="2"/>
  <c r="K540" i="1"/>
  <c r="I651" i="1"/>
  <c r="L514" i="1"/>
  <c r="I540" i="1"/>
  <c r="I542" i="1" s="1"/>
  <c r="I438" i="1"/>
  <c r="G632" i="1" s="1"/>
  <c r="J184" i="1"/>
  <c r="J185" i="1" s="1"/>
  <c r="K539" i="1"/>
  <c r="K542" i="1" s="1"/>
  <c r="F104" i="1"/>
  <c r="F185" i="1" s="1"/>
  <c r="G617" i="1" s="1"/>
  <c r="J617" i="1" s="1"/>
  <c r="K490" i="1"/>
  <c r="C48" i="2"/>
  <c r="C55" i="2" s="1"/>
  <c r="C96" i="2" s="1"/>
  <c r="G613" i="1"/>
  <c r="J613" i="1" s="1"/>
  <c r="I450" i="1"/>
  <c r="C19" i="10"/>
  <c r="J330" i="1"/>
  <c r="J344" i="1" s="1"/>
  <c r="C25" i="13"/>
  <c r="L203" i="1"/>
  <c r="I44" i="1"/>
  <c r="H610" i="1" s="1"/>
  <c r="L343" i="1"/>
  <c r="I444" i="1"/>
  <c r="I451" i="1" s="1"/>
  <c r="H632" i="1" s="1"/>
  <c r="H104" i="1"/>
  <c r="H185" i="1" s="1"/>
  <c r="G619" i="1" s="1"/>
  <c r="J619" i="1" s="1"/>
  <c r="L354" i="1"/>
  <c r="G636" i="1" l="1"/>
  <c r="G621" i="1"/>
  <c r="J621" i="1" s="1"/>
  <c r="C137" i="2"/>
  <c r="J632" i="1"/>
  <c r="G616" i="1"/>
  <c r="J44" i="1"/>
  <c r="H611" i="1" s="1"/>
  <c r="F650" i="1"/>
  <c r="L249" i="1"/>
  <c r="L263" i="1" s="1"/>
  <c r="G622" i="1" s="1"/>
  <c r="J622" i="1" s="1"/>
  <c r="D33" i="13"/>
  <c r="D36" i="13" s="1"/>
  <c r="C5" i="13"/>
  <c r="D13" i="10"/>
  <c r="D18" i="10"/>
  <c r="L535" i="1"/>
  <c r="H638" i="1"/>
  <c r="J638" i="1" s="1"/>
  <c r="G627" i="1"/>
  <c r="J627" i="1" s="1"/>
  <c r="H636" i="1"/>
  <c r="L344" i="1"/>
  <c r="G623" i="1" s="1"/>
  <c r="J623" i="1" s="1"/>
  <c r="C36" i="10"/>
  <c r="J611" i="1"/>
  <c r="D21" i="10"/>
  <c r="D20" i="10"/>
  <c r="G625" i="1"/>
  <c r="J625" i="1" s="1"/>
  <c r="C27" i="10"/>
  <c r="H662" i="1"/>
  <c r="H657" i="1"/>
  <c r="G43" i="2"/>
  <c r="C28" i="10"/>
  <c r="D16" i="10" s="1"/>
  <c r="C41" i="10" l="1"/>
  <c r="D36" i="10" s="1"/>
  <c r="D22" i="10"/>
  <c r="D12" i="10"/>
  <c r="C30" i="10"/>
  <c r="D26" i="10"/>
  <c r="D23" i="10"/>
  <c r="D24" i="10"/>
  <c r="D17" i="10"/>
  <c r="D10" i="10"/>
  <c r="D25" i="10"/>
  <c r="D19" i="10"/>
  <c r="I650" i="1"/>
  <c r="I654" i="1" s="1"/>
  <c r="F654" i="1"/>
  <c r="D27" i="10"/>
  <c r="D15" i="10"/>
  <c r="J616" i="1"/>
  <c r="H646" i="1"/>
  <c r="D11" i="10"/>
  <c r="J636" i="1"/>
  <c r="I662" i="1" l="1"/>
  <c r="C7" i="10" s="1"/>
  <c r="I657" i="1"/>
  <c r="D28" i="10"/>
  <c r="F662" i="1"/>
  <c r="C4" i="10" s="1"/>
  <c r="F657" i="1"/>
  <c r="D40" i="10"/>
  <c r="D37" i="10"/>
  <c r="D35" i="10"/>
  <c r="D41" i="10" s="1"/>
  <c r="D38" i="10"/>
  <c r="D3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F251467-BA58-43E3-8F18-4EBB1A15406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5F96285-1316-4685-A1FD-D787DF448EA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9CE0BF3-D106-42D2-A6EC-948C58E1FFA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0E0F19F-2B0E-40E9-B639-4E4689413CE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AE5897C-00B2-434F-B12D-37ADB43EBCA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1728AEF-91BB-45B4-A366-B70F31DD56F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9F55DA8-00FC-4D80-974C-BF6567A2056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7B7CF3A-2E2E-4D0B-A4F6-30B96B77EC3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084088D-C3AA-4908-9442-6459281657B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7B1A4E1-3CDB-4223-81D2-66DCB9417C2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AFDF9EE-A5B2-4654-BBCA-39B60629715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8339F3A-A80A-443D-9D65-F91552D02F9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<sst xmlns="http://schemas.openxmlformats.org/spreadsheetml/2006/main" count="3868" uniqueCount="903">
  <si>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</si>
  <si>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</si>
  <si>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</si>
  <si>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</si>
  <si>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</si>
  <si>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</si>
  <si>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</si>
  <si>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</si>
  <si>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</si>
  <si>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</si>
  <si>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</si>
  <si>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</si>
  <si>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</si>
  <si>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</si>
  <si>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</si>
  <si>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</si>
  <si>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</si>
  <si>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</si>
  <si>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</si>
  <si>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</si>
  <si>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</si>
  <si>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</si>
  <si>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</si>
  <si>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</si>
  <si>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</si>
  <si>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</si>
  <si>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</si>
  <si>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</si>
  <si>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</si>
  <si>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</si>
  <si>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</si>
  <si>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</si>
  <si>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</si>
  <si>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</si>
  <si>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</si>
  <si>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</si>
  <si>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</si>
  <si>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</si>
  <si>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</si>
  <si>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</si>
  <si>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</si>
  <si>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</si>
  <si>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</si>
  <si>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</si>
  <si>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</si>
  <si>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</si>
  <si>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</si>
  <si>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</si>
  <si>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</si>
  <si>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</si>
  <si>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</si>
  <si>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</si>
  <si>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</si>
  <si>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</si>
  <si>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</si>
  <si>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</si>
  <si>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</si>
  <si>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</si>
  <si>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</si>
  <si>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</si>
  <si>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</si>
  <si>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</si>
  <si>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</si>
  <si>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</si>
  <si>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</si>
  <si>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</si>
  <si>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</si>
  <si>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</si>
  <si>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</si>
  <si>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</si>
  <si>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</si>
  <si>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</si>
  <si>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</si>
  <si>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</si>
  <si>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</si>
  <si>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</si>
  <si>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</si>
  <si>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</si>
  <si>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</si>
  <si>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</si>
  <si>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</si>
  <si>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</si>
  <si>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</si>
  <si>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</si>
  <si>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</si>
  <si>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</si>
  <si>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</si>
  <si>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</si>
  <si>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</si>
  <si>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</si>
  <si>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</si>
  <si>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</si>
  <si>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</si>
  <si>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</si>
  <si>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</si>
  <si>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</si>
  <si>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</si>
  <si>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</si>
  <si>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</si>
  <si>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</si>
  <si>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</si>
  <si>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</si>
  <si>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</si>
  <si>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</si>
  <si>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</si>
  <si>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</si>
  <si>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</si>
  <si>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</si>
  <si>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</si>
  <si>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</si>
  <si>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</si>
  <si>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</si>
  <si>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</si>
  <si>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</si>
  <si>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</si>
  <si>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</si>
  <si>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</si>
  <si>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</si>
  <si>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</si>
  <si>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</si>
  <si>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</si>
  <si>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</si>
  <si>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</si>
  <si>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</si>
  <si>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</si>
  <si>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</si>
  <si>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</si>
  <si>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</si>
  <si>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</si>
  <si>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</si>
  <si>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</si>
  <si>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</si>
  <si>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</si>
  <si>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</si>
  <si>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</si>
  <si>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</si>
  <si>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</si>
  <si>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</si>
  <si>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</si>
  <si>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</si>
  <si>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</si>
  <si>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</si>
  <si>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</si>
  <si>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</si>
  <si>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</si>
  <si>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</si>
  <si>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</si>
  <si>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</si>
  <si>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</si>
  <si>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</si>
  <si>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</si>
  <si>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</si>
  <si>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</si>
  <si>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</si>
  <si>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</si>
  <si>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</si>
  <si>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</si>
  <si>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</si>
  <si>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</si>
  <si>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</si>
  <si>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</si>
  <si>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</si>
  <si>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</si>
  <si>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</si>
  <si>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</si>
  <si>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</si>
  <si>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</si>
  <si>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</si>
  <si>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</si>
  <si>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</si>
  <si>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</si>
  <si>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</si>
  <si>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</si>
  <si>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</si>
  <si>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</si>
  <si>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</si>
  <si>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</si>
  <si>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</si>
  <si>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</si>
  <si>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</si>
  <si>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</si>
  <si>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</si>
  <si>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</si>
  <si>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</si>
  <si>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</si>
  <si>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</si>
  <si>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</si>
  <si>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</si>
  <si>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</si>
  <si>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</si>
  <si>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</si>
  <si>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</si>
  <si>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</si>
  <si>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</si>
  <si>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</si>
  <si>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</si>
  <si>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</si>
  <si>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</si>
  <si>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</si>
  <si>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</si>
  <si>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</si>
  <si>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</si>
  <si>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</si>
  <si>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</si>
  <si>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</si>
  <si>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</si>
  <si>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</si>
  <si>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</si>
  <si>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</si>
  <si>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</si>
  <si>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</si>
  <si>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</si>
  <si>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</si>
  <si>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</si>
  <si>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</si>
  <si>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</si>
  <si>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</si>
  <si>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</si>
  <si>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</si>
  <si>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</si>
  <si>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</si>
  <si>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</si>
  <si>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</si>
  <si>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</si>
  <si>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</si>
  <si>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</si>
  <si>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</si>
  <si>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</si>
  <si>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</si>
  <si>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</si>
  <si>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</si>
  <si>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</si>
  <si>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</si>
  <si>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</si>
  <si>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</si>
  <si>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</si>
  <si>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</si>
  <si>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</si>
  <si>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</si>
  <si>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</si>
  <si>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</si>
  <si>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</si>
  <si>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</si>
  <si>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</si>
  <si>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</si>
  <si>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</si>
  <si>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</si>
  <si>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</si>
  <si>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</si>
  <si>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</si>
  <si>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</si>
  <si>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</si>
  <si>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</si>
  <si>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</si>
  <si>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</si>
  <si>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</si>
  <si>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</si>
  <si>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</si>
  <si>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</si>
  <si>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</si>
  <si>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</si>
  <si>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</si>
  <si>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</si>
  <si>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</si>
  <si>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</si>
  <si>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</si>
  <si>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</si>
  <si>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</si>
  <si>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</si>
  <si>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</si>
  <si>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</si>
  <si>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</si>
  <si>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</si>
  <si>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</si>
  <si>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</si>
  <si>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</si>
  <si>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</si>
  <si>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</si>
  <si>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</si>
  <si>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</si>
  <si>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</si>
  <si>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</si>
  <si>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</si>
  <si>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</si>
  <si>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</si>
  <si>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</si>
  <si>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</si>
  <si>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</si>
  <si>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</si>
  <si>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</si>
  <si>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</si>
  <si>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</si>
  <si>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</si>
  <si>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</si>
  <si>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</si>
  <si>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</si>
  <si>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</si>
  <si>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</si>
  <si>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</si>
  <si>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</si>
  <si>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</si>
  <si>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</si>
  <si>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</si>
  <si>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</si>
  <si>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</si>
  <si>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</si>
  <si>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</si>
  <si>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</si>
  <si>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</si>
  <si>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</si>
  <si>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</si>
  <si>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</si>
  <si>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</si>
  <si>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</si>
  <si>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</si>
  <si>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</si>
  <si>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</si>
  <si>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</si>
  <si>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</si>
  <si>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</si>
  <si>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</si>
  <si>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</si>
  <si>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</si>
  <si>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</si>
  <si>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</si>
  <si>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</si>
  <si>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</si>
  <si>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</si>
  <si>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</si>
  <si>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</si>
  <si>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</si>
  <si>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</si>
  <si>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</si>
  <si>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</si>
  <si>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</si>
  <si>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</si>
  <si>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</si>
  <si>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</si>
  <si>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</si>
  <si>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</si>
  <si>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</si>
  <si>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</si>
  <si>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</si>
  <si>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</si>
  <si>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</si>
  <si>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</si>
  <si>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</si>
  <si>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</si>
  <si>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</si>
  <si>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</si>
  <si>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</si>
  <si>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</si>
  <si>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</si>
  <si>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</si>
  <si>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</si>
  <si>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</si>
  <si>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</si>
  <si>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</si>
  <si>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</si>
  <si>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</si>
  <si>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</si>
  <si>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</si>
  <si>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</si>
  <si>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</si>
  <si>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</si>
  <si>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</si>
  <si>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</si>
  <si>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</si>
  <si>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</si>
  <si>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</si>
  <si>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</si>
  <si>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</si>
  <si>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</si>
  <si>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</si>
  <si>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</si>
  <si>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</si>
  <si>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</si>
  <si>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</si>
  <si>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</si>
  <si>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</si>
  <si>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</si>
  <si>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</si>
  <si>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</si>
  <si>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</si>
  <si>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</si>
  <si>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</si>
  <si>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</si>
  <si>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</si>
  <si>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</si>
  <si>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</si>
  <si>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</si>
  <si>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</si>
  <si>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</si>
  <si>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</si>
  <si>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</si>
  <si>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</si>
  <si>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</si>
  <si>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</si>
  <si>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</si>
  <si>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</si>
  <si>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</si>
  <si>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</si>
  <si>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</si>
  <si>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</si>
  <si>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</si>
  <si>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</si>
  <si>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</si>
  <si>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</si>
  <si>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</si>
  <si>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</si>
  <si>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</si>
  <si>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</si>
  <si>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</si>
  <si>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</si>
  <si>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</si>
  <si>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</si>
  <si>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</si>
  <si>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</si>
  <si>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</si>
  <si>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</si>
  <si>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</si>
  <si>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</si>
  <si>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</si>
  <si>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</si>
  <si>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</si>
  <si>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</si>
  <si>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</si>
  <si>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</si>
  <si>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</si>
  <si>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</si>
  <si>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</si>
  <si>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</si>
  <si>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</si>
  <si>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</si>
  <si>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</si>
  <si>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</si>
  <si>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</si>
  <si>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</si>
  <si>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</si>
  <si>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</si>
  <si>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</si>
  <si>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</si>
  <si>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</si>
  <si>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</si>
  <si>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</si>
  <si>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</si>
  <si>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</si>
  <si>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</si>
  <si>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</si>
  <si>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</si>
  <si>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</si>
  <si>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</si>
  <si>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</si>
  <si>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</si>
  <si>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</si>
  <si>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</si>
  <si>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</si>
  <si>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</si>
  <si>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</si>
  <si>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</si>
  <si>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</si>
  <si>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</si>
  <si>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</si>
  <si>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</si>
  <si>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</si>
  <si>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</si>
  <si>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</si>
  <si>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</si>
  <si>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</si>
  <si>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</si>
  <si>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</si>
  <si>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</si>
  <si>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</si>
  <si>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</si>
  <si>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</si>
  <si>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</si>
  <si>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</si>
  <si>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</si>
  <si>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</si>
  <si>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</si>
  <si>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</si>
  <si>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</si>
  <si>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</si>
  <si>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</si>
  <si>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</si>
  <si>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</si>
  <si>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</si>
  <si>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</si>
  <si>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</si>
  <si>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</si>
  <si>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</si>
  <si>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</si>
  <si>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</si>
  <si>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</si>
  <si>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</si>
  <si>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</si>
  <si>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</si>
  <si>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</si>
  <si>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</si>
  <si>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</si>
  <si>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</si>
  <si>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</si>
  <si>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</si>
  <si>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</si>
  <si>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</si>
  <si>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</si>
  <si>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</si>
  <si>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</si>
  <si>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</si>
  <si>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</si>
  <si>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</si>
  <si>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</si>
  <si>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</si>
  <si>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</si>
  <si>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</si>
  <si>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</si>
  <si>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</si>
  <si>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</si>
  <si>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</si>
  <si>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</si>
  <si>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</si>
  <si>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</si>
  <si>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</si>
  <si>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</si>
  <si>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</si>
  <si>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</si>
  <si>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</si>
  <si>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</si>
  <si>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</si>
  <si>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</si>
  <si>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</si>
  <si>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</si>
  <si>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</si>
  <si>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</si>
  <si>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</si>
  <si>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</si>
  <si>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</si>
  <si>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</si>
  <si>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</si>
  <si>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</si>
  <si>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</si>
  <si>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</si>
  <si>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</si>
  <si>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</si>
  <si>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</si>
  <si>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</si>
  <si>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</si>
  <si>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</si>
  <si>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</si>
  <si>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</si>
  <si>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</si>
  <si>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</si>
  <si>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</si>
  <si>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</si>
  <si>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</si>
  <si>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</si>
  <si>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</si>
  <si>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</si>
  <si>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</si>
  <si>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</si>
  <si>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</si>
  <si>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</si>
  <si>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</si>
  <si>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</si>
  <si>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</si>
  <si>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</si>
  <si>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</si>
  <si>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</si>
  <si>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</si>
  <si>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</si>
  <si>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</si>
  <si>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</si>
  <si>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</si>
  <si>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</si>
  <si>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</si>
  <si>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</si>
  <si>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</si>
  <si>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</si>
  <si>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</si>
  <si>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</si>
  <si>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</si>
  <si>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</si>
  <si>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</si>
  <si>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</si>
  <si>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</si>
  <si>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</si>
  <si>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</si>
  <si>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</si>
  <si>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</si>
  <si>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</si>
  <si>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</si>
  <si>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</si>
  <si>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</si>
  <si>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</si>
  <si>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</si>
  <si>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</si>
  <si>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</si>
  <si>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</si>
  <si>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</si>
  <si>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</si>
  <si>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</si>
  <si>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</si>
  <si>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</si>
  <si>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</si>
  <si>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</si>
  <si>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</si>
  <si>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</si>
  <si>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</si>
  <si>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</si>
  <si>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</si>
  <si>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</si>
  <si>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</si>
  <si>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</si>
  <si>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</si>
  <si>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</si>
  <si>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</si>
  <si>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</si>
  <si>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</si>
  <si>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</si>
  <si>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</si>
  <si>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</si>
  <si>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</si>
  <si>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</si>
  <si>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</si>
  <si>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</si>
  <si>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</si>
  <si>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</si>
  <si>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</si>
  <si>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</si>
  <si>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</si>
  <si>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</si>
  <si>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</si>
  <si>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</si>
  <si>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</si>
  <si>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</si>
  <si>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</si>
  <si>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</si>
  <si>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</si>
  <si>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</si>
  <si>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</si>
  <si>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</si>
  <si>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</si>
  <si>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</si>
  <si>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</si>
  <si>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</si>
  <si>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</si>
  <si>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</si>
  <si>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</si>
  <si>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</si>
  <si>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</si>
  <si>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</si>
  <si>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</si>
  <si>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</si>
  <si>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</si>
  <si>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</si>
  <si>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</si>
  <si>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</si>
  <si>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</si>
  <si>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</si>
  <si>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</si>
  <si>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</si>
  <si>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</si>
  <si>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</si>
  <si>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</si>
  <si>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</si>
  <si>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</si>
  <si>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</si>
  <si>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</si>
  <si>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</si>
  <si>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</si>
  <si>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</si>
  <si>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</si>
  <si>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</si>
  <si>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</si>
  <si>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</si>
  <si>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</si>
  <si>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</si>
  <si>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</si>
  <si>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</si>
  <si>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</si>
  <si>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</si>
  <si>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</si>
  <si>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</si>
  <si>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</si>
  <si>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</si>
  <si>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</si>
  <si>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</si>
  <si>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</si>
  <si>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</si>
  <si>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</si>
  <si>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</si>
  <si>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</si>
  <si>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</si>
  <si>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</si>
  <si>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</si>
  <si>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</si>
  <si>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</si>
  <si>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</si>
  <si>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</si>
  <si>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</si>
  <si>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</si>
  <si>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</si>
  <si>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</si>
  <si>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</si>
  <si>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</si>
  <si>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</si>
  <si>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</si>
  <si>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</si>
  <si>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</si>
  <si>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</si>
  <si>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</si>
  <si>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</si>
  <si>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</si>
  <si>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</si>
  <si>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</si>
  <si>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</si>
  <si>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</si>
  <si>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</si>
  <si>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</si>
  <si>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</si>
  <si>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</si>
  <si>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</si>
  <si>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</si>
  <si>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</si>
  <si>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</si>
  <si>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</si>
  <si>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</si>
  <si>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</si>
  <si>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</si>
  <si>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</si>
  <si>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</si>
  <si>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</si>
  <si>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</si>
  <si>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</si>
  <si>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</si>
  <si>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</si>
  <si>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</si>
  <si>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</si>
  <si>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</si>
  <si>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</si>
  <si>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</si>
  <si>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</si>
  <si>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</si>
  <si>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</si>
  <si>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</si>
  <si>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</si>
  <si>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</si>
  <si>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</si>
  <si>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</si>
  <si>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</si>
  <si>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</si>
  <si>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</si>
  <si>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</si>
  <si>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</si>
  <si>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</si>
  <si>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</si>
  <si>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</si>
  <si>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</si>
  <si>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</si>
  <si>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</si>
  <si>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</si>
  <si>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</si>
  <si>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</si>
  <si>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</si>
  <si>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</si>
  <si>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</si>
  <si>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</si>
  <si>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</si>
  <si>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</si>
  <si>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</si>
  <si>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</si>
  <si>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</si>
  <si>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</si>
  <si>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</si>
  <si>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</si>
  <si>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</si>
  <si>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</si>
  <si>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</si>
  <si>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</si>
  <si>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</si>
  <si>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</si>
  <si>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</si>
  <si>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</si>
  <si>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</si>
  <si>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</si>
  <si>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</si>
  <si>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</si>
  <si>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</si>
  <si>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</si>
  <si>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</si>
  <si>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</si>
  <si>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</si>
  <si>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</si>
  <si>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</si>
  <si>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</si>
  <si>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</si>
  <si>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</si>
  <si>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</si>
  <si>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</si>
  <si>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</si>
  <si>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</si>
  <si>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</si>
  <si>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</si>
  <si>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</si>
  <si>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</si>
  <si>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</si>
  <si>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</si>
  <si>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</si>
  <si>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</si>
  <si>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</si>
  <si>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</si>
  <si>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</si>
  <si>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</si>
  <si>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</si>
  <si>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</si>
  <si>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</si>
  <si>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</si>
  <si>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</si>
  <si>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</si>
  <si>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</si>
  <si>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</si>
  <si>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</si>
  <si>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</si>
  <si>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</si>
  <si>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</si>
  <si>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</si>
  <si>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</si>
  <si>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</si>
  <si>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</si>
  <si>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</si>
  <si>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</si>
  <si>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</si>
  <si>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</si>
  <si>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</si>
  <si>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</si>
  <si>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</si>
  <si>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</si>
  <si>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</si>
  <si>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</si>
  <si>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</si>
  <si>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</si>
  <si>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</si>
  <si>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</si>
  <si>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</si>
  <si>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</si>
  <si>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</si>
  <si>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</si>
  <si>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</si>
  <si>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</si>
  <si>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</si>
  <si>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</si>
  <si>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</si>
  <si>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</si>
  <si>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</si>
  <si>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</si>
  <si>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</si>
  <si>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</si>
  <si>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</si>
  <si>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</si>
  <si>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</si>
  <si>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</si>
  <si>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</si>
  <si>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</si>
  <si>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</si>
  <si>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</si>
  <si>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</si>
  <si>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</si>
  <si>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</si>
  <si>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</si>
  <si>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</si>
  <si>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</si>
  <si>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</si>
  <si>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</si>
  <si>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</si>
  <si>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</si>
  <si>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</si>
  <si>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</si>
  <si>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</si>
  <si>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</si>
  <si>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</si>
  <si>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</si>
  <si>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</si>
  <si>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</si>
  <si>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</si>
  <si>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</si>
  <si>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</si>
  <si>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</si>
  <si>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</si>
  <si>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</si>
  <si>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</si>
  <si>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</si>
  <si>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</si>
  <si>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</si>
  <si>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</si>
  <si>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01/91</t>
  </si>
  <si>
    <t>06/11</t>
  </si>
  <si>
    <t>02/94</t>
  </si>
  <si>
    <t>06/14</t>
  </si>
  <si>
    <t>06/00</t>
  </si>
  <si>
    <t>06/20</t>
  </si>
  <si>
    <t>07/03</t>
  </si>
  <si>
    <t>07/23</t>
  </si>
  <si>
    <t>Derry Cooperative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</si>
</sst>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B920-D92C-44C9-8204-680ECAF7704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/>
      <c r="C2" s="21"/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3322189.61+200</f>
        <v>3322389.61</v>
      </c>
      <c r="G9" s="18">
        <v>925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156522.75</v>
      </c>
      <c r="G12" s="18">
        <v>96404.13</v>
      </c>
      <c r="H12" s="18">
        <v>22494.57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83010.259999999995</v>
      </c>
      <c r="G13" s="18">
        <v>34819.019999999997</v>
      </c>
      <c r="H13" s="18">
        <f>152341.94+236054.89</f>
        <v>388396.83</v>
      </c>
      <c r="I13" s="18"/>
      <c r="J13" s="67">
        <f>SUM(I434)</f>
        <v>356567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54877.7</v>
      </c>
      <c r="G14" s="18">
        <v>1576.58</v>
      </c>
      <c r="H14" s="18">
        <v>63.84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71554.42</v>
      </c>
      <c r="G16" s="18">
        <v>53792.9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3688354.7399999998</v>
      </c>
      <c r="G19" s="41">
        <f>SUM(G9:G18)</f>
        <v>187517.62999999998</v>
      </c>
      <c r="H19" s="41">
        <f>SUM(H9:H18)</f>
        <v>410955.24000000005</v>
      </c>
      <c r="I19" s="41">
        <f>SUM(I9:I18)</f>
        <v>0</v>
      </c>
      <c r="J19" s="41">
        <f>SUM(J9:J18)</f>
        <v>356567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50811.46+232764.89-8154.9</f>
        <v>275421.45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96393.34</v>
      </c>
      <c r="G25" s="18">
        <v>335.32</v>
      </c>
      <c r="H25" s="18">
        <f>22785.95+3290</f>
        <v>26075.95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24459.599999999999</v>
      </c>
      <c r="H31" s="18">
        <v>101239.1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96393.34</v>
      </c>
      <c r="G33" s="41">
        <f>SUM(G23:G32)</f>
        <v>24794.92</v>
      </c>
      <c r="H33" s="41">
        <f>SUM(H23:H32)</f>
        <v>402736.5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71554.42</v>
      </c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153258.10999999999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162722.71</v>
      </c>
      <c r="H41" s="18">
        <v>8218.74</v>
      </c>
      <c r="I41" s="18"/>
      <c r="J41" s="13">
        <f>SUM(I449)</f>
        <v>356567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2076890.09+1290258.78</f>
        <v>3367148.87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3591961.4</v>
      </c>
      <c r="G43" s="41">
        <f>SUM(G35:G42)</f>
        <v>162722.71</v>
      </c>
      <c r="H43" s="41">
        <f>SUM(H35:H42)</f>
        <v>8218.74</v>
      </c>
      <c r="I43" s="41">
        <f>SUM(I35:I42)</f>
        <v>0</v>
      </c>
      <c r="J43" s="41">
        <f>SUM(J35:J42)</f>
        <v>356567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3688354.7399999998</v>
      </c>
      <c r="G44" s="41">
        <f>G43+G33</f>
        <v>187517.63</v>
      </c>
      <c r="H44" s="41">
        <f>H43+H33</f>
        <v>410955.24</v>
      </c>
      <c r="I44" s="41">
        <f>I43+I33</f>
        <v>0</v>
      </c>
      <c r="J44" s="41">
        <f>J43+J33</f>
        <v>356567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36846758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36846758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65615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f>6126+14038.57</f>
        <v>20164.57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f>84651.5+2425</f>
        <v>87076.5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44294.83</v>
      </c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217150.90000000002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18534.38</v>
      </c>
      <c r="G88" s="18"/>
      <c r="H88" s="18"/>
      <c r="I88" s="18">
        <v>0</v>
      </c>
      <c r="J88" s="18">
        <v>2077.33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906306.96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74848.7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255750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173336+39493.98</f>
        <v>212829.98</v>
      </c>
      <c r="G102" s="18"/>
      <c r="H102" s="18">
        <v>31590.47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561963.06000000006</v>
      </c>
      <c r="G103" s="41">
        <f>SUM(G88:G102)</f>
        <v>906306.96</v>
      </c>
      <c r="H103" s="41">
        <f>SUM(H88:H102)</f>
        <v>31590.47</v>
      </c>
      <c r="I103" s="41">
        <f>SUM(I88:I102)</f>
        <v>0</v>
      </c>
      <c r="J103" s="41">
        <f>SUM(J88:J102)</f>
        <v>2077.33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37625871.960000001</v>
      </c>
      <c r="G104" s="41">
        <f>G52+G103</f>
        <v>906306.96</v>
      </c>
      <c r="H104" s="41">
        <f>H52+H71+H86+H103</f>
        <v>31590.47</v>
      </c>
      <c r="I104" s="41">
        <f>I52+I103</f>
        <v>0</v>
      </c>
      <c r="J104" s="41">
        <f>J52+J103</f>
        <v>2077.33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26934634-7468536.71</f>
        <v>19466097.289999999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6373741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7468536.71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33308375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762659.09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500250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1136955.79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18642.29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2399864.88</v>
      </c>
      <c r="G128" s="41">
        <f>SUM(G115:G127)</f>
        <v>18642.29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35708239.880000003</v>
      </c>
      <c r="G132" s="41">
        <f>G113+SUM(G128:G129)</f>
        <v>18642.29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567876+4835+3006+3985</f>
        <v>579702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1298368.41+573769.46-579702</f>
        <v>1292435.8699999999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502304.49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1034730.37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518449.54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518449.54</v>
      </c>
      <c r="G154" s="41">
        <f>SUM(G142:G153)</f>
        <v>502304.49</v>
      </c>
      <c r="H154" s="41">
        <f>SUM(H142:H153)</f>
        <v>2906868.2399999998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518449.54</v>
      </c>
      <c r="G161" s="41">
        <f>G139+G154+SUM(G155:G160)</f>
        <v>502304.49</v>
      </c>
      <c r="H161" s="41">
        <f>H139+H154+SUM(H155:H160)</f>
        <v>2906868.2399999998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>
        <v>0</v>
      </c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73852561.38000001</v>
      </c>
      <c r="G185" s="47">
        <f>G104+G132+G161+G184</f>
        <v>1427253.74</v>
      </c>
      <c r="H185" s="47">
        <f>H104+H132+H161+H184</f>
        <v>2938458.71</v>
      </c>
      <c r="I185" s="47">
        <f>I104+I132+I161+I184</f>
        <v>0</v>
      </c>
      <c r="J185" s="47">
        <f>J104+J132+J184</f>
        <v>2077.33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7521655.14+275474.3</f>
        <v>7797129.4399999995</v>
      </c>
      <c r="G189" s="18">
        <f>3070572.87+3175.95+75445.04</f>
        <v>3149193.8600000003</v>
      </c>
      <c r="H189" s="18">
        <f>8236.9+1628.7+436.8</f>
        <v>10302.4</v>
      </c>
      <c r="I189" s="18">
        <f>123591.08+83474.47</f>
        <v>207065.55</v>
      </c>
      <c r="J189" s="18">
        <v>5780.04</v>
      </c>
      <c r="K189" s="18"/>
      <c r="L189" s="19">
        <f>SUM(F189:K189)</f>
        <v>11169471.290000001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3169419.57+179735.74</f>
        <v>3349155.3099999996</v>
      </c>
      <c r="G190" s="18">
        <f>1126162.54+69280.02</f>
        <v>1195442.56</v>
      </c>
      <c r="H190" s="18">
        <f>537060.84+207.03</f>
        <v>537267.87</v>
      </c>
      <c r="I190" s="18">
        <f>5132.4+1726.01</f>
        <v>6858.41</v>
      </c>
      <c r="J190" s="18">
        <f>89.98+820.62</f>
        <v>910.6</v>
      </c>
      <c r="K190" s="18">
        <v>1591</v>
      </c>
      <c r="L190" s="19">
        <f>SUM(F190:K190)</f>
        <v>5091225.7499999991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11316.99+6225.2</f>
        <v>17542.189999999999</v>
      </c>
      <c r="G192" s="18">
        <f>1628.81+876.27</f>
        <v>2505.08</v>
      </c>
      <c r="H192" s="18"/>
      <c r="I192" s="18"/>
      <c r="J192" s="18"/>
      <c r="K192" s="18"/>
      <c r="L192" s="19">
        <f>SUM(F192:K192)</f>
        <v>20047.269999999997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1157126.06+729495.94</f>
        <v>1886622</v>
      </c>
      <c r="G194" s="18">
        <f>410491.76+310376.87</f>
        <v>720868.63</v>
      </c>
      <c r="H194" s="18">
        <f>278117.83+83592.35+18328.04</f>
        <v>380038.22000000003</v>
      </c>
      <c r="I194" s="18">
        <f>6238.75+6411.64</f>
        <v>12650.39</v>
      </c>
      <c r="J194" s="18"/>
      <c r="K194" s="18"/>
      <c r="L194" s="19">
        <f t="shared" ref="L194:L200" si="0">SUM(F194:K194)</f>
        <v>3000179.24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179136.9+454565.07</f>
        <v>633701.97</v>
      </c>
      <c r="G195" s="18">
        <f>53336.67+245894.71</f>
        <v>299231.38</v>
      </c>
      <c r="H195" s="18">
        <f>6064.64+1036.67+14371.3+3952.81</f>
        <v>25425.420000000002</v>
      </c>
      <c r="I195" s="18">
        <f>42092.3+57800.6</f>
        <v>99892.9</v>
      </c>
      <c r="J195" s="18">
        <v>32514.79</v>
      </c>
      <c r="K195" s="18">
        <v>148.35</v>
      </c>
      <c r="L195" s="19">
        <f t="shared" si="0"/>
        <v>1090914.81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275025.53000000003</v>
      </c>
      <c r="G196" s="18">
        <v>111684.3</v>
      </c>
      <c r="H196" s="18">
        <v>74814.649999999994</v>
      </c>
      <c r="I196" s="18">
        <v>7802.44</v>
      </c>
      <c r="J196" s="18"/>
      <c r="K196" s="18">
        <v>5334.58</v>
      </c>
      <c r="L196" s="19">
        <f t="shared" si="0"/>
        <v>474661.5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1101763.74</v>
      </c>
      <c r="G197" s="18">
        <f>511979.76+23827.07</f>
        <v>535806.82999999996</v>
      </c>
      <c r="H197" s="18">
        <f>3280.74+42502.09+4513.01</f>
        <v>50295.839999999997</v>
      </c>
      <c r="I197" s="18">
        <v>15089.14</v>
      </c>
      <c r="J197" s="18">
        <f>2789.99+1290</f>
        <v>4079.99</v>
      </c>
      <c r="K197" s="18">
        <v>7442.5</v>
      </c>
      <c r="L197" s="19">
        <f t="shared" si="0"/>
        <v>1714478.0399999998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170303.83</v>
      </c>
      <c r="G198" s="18">
        <v>75337.08</v>
      </c>
      <c r="H198" s="18">
        <v>959.49</v>
      </c>
      <c r="I198" s="18">
        <v>1000.86</v>
      </c>
      <c r="J198" s="18"/>
      <c r="K198" s="18"/>
      <c r="L198" s="19">
        <f t="shared" si="0"/>
        <v>247601.25999999995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698552.88+229612.49</f>
        <v>928165.37</v>
      </c>
      <c r="G199" s="18">
        <f>345807.12+101313.02</f>
        <v>447120.14</v>
      </c>
      <c r="H199" s="18">
        <f>66337.48+34938.95+193497.45+86215.69</f>
        <v>380989.57</v>
      </c>
      <c r="I199" s="18">
        <f>636423.45+91380.92</f>
        <v>727804.37</v>
      </c>
      <c r="J199" s="18"/>
      <c r="K199" s="18">
        <v>748.61</v>
      </c>
      <c r="L199" s="19">
        <f t="shared" si="0"/>
        <v>2484828.06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710165.89+401342.63+2044.86</f>
        <v>1113553.3800000001</v>
      </c>
      <c r="I200" s="18"/>
      <c r="J200" s="18"/>
      <c r="K200" s="18"/>
      <c r="L200" s="19">
        <f t="shared" si="0"/>
        <v>1113553.3800000001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16159409.379999999</v>
      </c>
      <c r="G203" s="41">
        <f t="shared" si="1"/>
        <v>6537189.8599999994</v>
      </c>
      <c r="H203" s="41">
        <f t="shared" si="1"/>
        <v>2573646.8400000003</v>
      </c>
      <c r="I203" s="41">
        <f t="shared" si="1"/>
        <v>1078164.06</v>
      </c>
      <c r="J203" s="41">
        <f t="shared" si="1"/>
        <v>43285.42</v>
      </c>
      <c r="K203" s="41">
        <f t="shared" si="1"/>
        <v>15265.04</v>
      </c>
      <c r="L203" s="41">
        <f t="shared" si="1"/>
        <v>26406960.599999994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4892969+176122.91</f>
        <v>5069091.91</v>
      </c>
      <c r="G207" s="18">
        <f>1888095.5+48235.36</f>
        <v>1936330.86</v>
      </c>
      <c r="H207" s="18">
        <f>18399.8+998.99+946.4</f>
        <v>20345.190000000002</v>
      </c>
      <c r="I207" s="18">
        <f>85749.64+55649.65</f>
        <v>141399.29</v>
      </c>
      <c r="J207" s="18">
        <v>16055.89</v>
      </c>
      <c r="K207" s="18">
        <v>0</v>
      </c>
      <c r="L207" s="19">
        <f>SUM(F207:K207)</f>
        <v>7183223.1400000006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1682873.5+96780.78</f>
        <v>1779654.28</v>
      </c>
      <c r="G208" s="18">
        <f>566009.44+37304.63</f>
        <v>603314.06999999995</v>
      </c>
      <c r="H208" s="18">
        <f>237307.59+103.52</f>
        <v>237411.11</v>
      </c>
      <c r="I208" s="18">
        <f>2812.52+929.39</f>
        <v>3741.91</v>
      </c>
      <c r="J208" s="18">
        <f>90+820.63</f>
        <v>910.63</v>
      </c>
      <c r="K208" s="18">
        <v>2109</v>
      </c>
      <c r="L208" s="19">
        <f>SUM(F208:K208)</f>
        <v>2627141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131611.5+71589.83</f>
        <v>203201.33000000002</v>
      </c>
      <c r="G210" s="18">
        <f>18999.69+10077.16</f>
        <v>29076.85</v>
      </c>
      <c r="H210" s="18">
        <f>18038+142.2+907.55</f>
        <v>19087.75</v>
      </c>
      <c r="I210" s="18">
        <v>9202.0300000000007</v>
      </c>
      <c r="J210" s="18">
        <v>7934.41</v>
      </c>
      <c r="K210" s="18">
        <v>4851.2</v>
      </c>
      <c r="L210" s="19">
        <f>SUM(F210:K210)</f>
        <v>273353.57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731724.56+466399.05</f>
        <v>1198123.6100000001</v>
      </c>
      <c r="G212" s="18">
        <f>271688.81+198437.67</f>
        <v>470126.48</v>
      </c>
      <c r="H212" s="18">
        <f>145640.85+43921.41+9629.99</f>
        <v>199192.25</v>
      </c>
      <c r="I212" s="18">
        <f>5986.86+6160.21</f>
        <v>12147.07</v>
      </c>
      <c r="J212" s="18"/>
      <c r="K212" s="18"/>
      <c r="L212" s="19">
        <f t="shared" ref="L212:L218" si="2">SUM(F212:K212)</f>
        <v>1879589.4100000001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32791.8+80217.36</f>
        <v>113009.16</v>
      </c>
      <c r="G213" s="18">
        <f>7058.54+43393.18</f>
        <v>50451.72</v>
      </c>
      <c r="H213" s="18">
        <f>10464.93+1765.13+30442.23+8399.71</f>
        <v>51072</v>
      </c>
      <c r="I213" s="18">
        <f>23379.45+32512.84</f>
        <v>55892.29</v>
      </c>
      <c r="J213" s="18">
        <v>87517.62</v>
      </c>
      <c r="K213" s="18">
        <f>246+196.65</f>
        <v>442.65</v>
      </c>
      <c r="L213" s="19">
        <f t="shared" si="2"/>
        <v>358385.44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168564.03</v>
      </c>
      <c r="G214" s="18">
        <v>68451.66</v>
      </c>
      <c r="H214" s="18">
        <v>43938.76</v>
      </c>
      <c r="I214" s="18">
        <f>13004.07-7802.44</f>
        <v>5201.63</v>
      </c>
      <c r="J214" s="18"/>
      <c r="K214" s="18">
        <v>7072.37</v>
      </c>
      <c r="L214" s="19">
        <f t="shared" si="2"/>
        <v>293228.45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665895.16</v>
      </c>
      <c r="G215" s="18">
        <f>258416.5+14603.69</f>
        <v>273020.19</v>
      </c>
      <c r="H215" s="18">
        <f>3118+27935.44+8615.26</f>
        <v>39668.699999999997</v>
      </c>
      <c r="I215" s="18">
        <v>10807.64</v>
      </c>
      <c r="J215" s="18">
        <f>467.41+210</f>
        <v>677.41000000000008</v>
      </c>
      <c r="K215" s="18">
        <v>4590</v>
      </c>
      <c r="L215" s="19">
        <f t="shared" si="2"/>
        <v>994659.10000000009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104379.77</v>
      </c>
      <c r="G216" s="18">
        <v>46174.34</v>
      </c>
      <c r="H216" s="18">
        <v>563.51</v>
      </c>
      <c r="I216" s="18">
        <v>667.24</v>
      </c>
      <c r="J216" s="18"/>
      <c r="K216" s="18"/>
      <c r="L216" s="19">
        <f t="shared" si="2"/>
        <v>151784.85999999999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386242.14+129157.03</f>
        <v>515399.17000000004</v>
      </c>
      <c r="G217" s="18">
        <f>173294.41+56988.58</f>
        <v>230282.99</v>
      </c>
      <c r="H217" s="18">
        <f>48053.92+21711.55+140118.85+52841.87</f>
        <v>262726.19</v>
      </c>
      <c r="I217" s="18">
        <f>408099.75+58423.86</f>
        <v>466523.61</v>
      </c>
      <c r="J217" s="18"/>
      <c r="K217" s="18">
        <v>992.35</v>
      </c>
      <c r="L217" s="19">
        <f t="shared" si="2"/>
        <v>1475924.31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444788.11+207627.92+24772.28</f>
        <v>677188.31</v>
      </c>
      <c r="I218" s="18"/>
      <c r="J218" s="18"/>
      <c r="K218" s="18"/>
      <c r="L218" s="19">
        <f t="shared" si="2"/>
        <v>677188.31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9817318.4199999999</v>
      </c>
      <c r="G221" s="41">
        <f>SUM(G207:G220)</f>
        <v>3707229.16</v>
      </c>
      <c r="H221" s="41">
        <f>SUM(H207:H220)</f>
        <v>1551193.77</v>
      </c>
      <c r="I221" s="41">
        <f>SUM(I207:I220)</f>
        <v>705582.71</v>
      </c>
      <c r="J221" s="41">
        <f>SUM(J207:J220)</f>
        <v>113095.95999999999</v>
      </c>
      <c r="K221" s="41">
        <f t="shared" si="3"/>
        <v>20057.57</v>
      </c>
      <c r="L221" s="41">
        <f t="shared" si="3"/>
        <v>15914477.59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20123667.31+44607.76+2256.8</f>
        <v>20170531.870000001</v>
      </c>
      <c r="I225" s="18"/>
      <c r="J225" s="18"/>
      <c r="K225" s="18"/>
      <c r="L225" s="19">
        <f>SUM(F225:K225)</f>
        <v>20170531.870000001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5844561.73+2277.35</f>
        <v>5846839.0800000001</v>
      </c>
      <c r="I226" s="18"/>
      <c r="J226" s="18"/>
      <c r="K226" s="18"/>
      <c r="L226" s="19">
        <f>SUM(F226:K226)</f>
        <v>5846839.0800000001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50110.04+14168.2+3106.44</f>
        <v>67384.680000000008</v>
      </c>
      <c r="I230" s="18"/>
      <c r="J230" s="18"/>
      <c r="K230" s="18"/>
      <c r="L230" s="19">
        <f t="shared" ref="L230:L236" si="4">SUM(F230:K230)</f>
        <v>67384.680000000008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713903.6+461276.47</f>
        <v>1175180.0699999998</v>
      </c>
      <c r="I236" s="18"/>
      <c r="J236" s="18"/>
      <c r="K236" s="18"/>
      <c r="L236" s="19">
        <f t="shared" si="4"/>
        <v>1175180.0699999998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27259935.700000003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27259935.700000003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59027</v>
      </c>
      <c r="G243" s="18">
        <v>5167.82</v>
      </c>
      <c r="H243" s="18">
        <f>4959.97+10528.4</f>
        <v>15488.369999999999</v>
      </c>
      <c r="I243" s="18">
        <v>7478.14</v>
      </c>
      <c r="J243" s="18"/>
      <c r="K243" s="18"/>
      <c r="L243" s="19">
        <f t="shared" si="6"/>
        <v>87161.33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59027</v>
      </c>
      <c r="G248" s="41">
        <f t="shared" si="7"/>
        <v>5167.82</v>
      </c>
      <c r="H248" s="41">
        <f t="shared" si="7"/>
        <v>15488.369999999999</v>
      </c>
      <c r="I248" s="41">
        <f t="shared" si="7"/>
        <v>7478.14</v>
      </c>
      <c r="J248" s="41">
        <f t="shared" si="7"/>
        <v>0</v>
      </c>
      <c r="K248" s="41">
        <f t="shared" si="7"/>
        <v>0</v>
      </c>
      <c r="L248" s="41">
        <f>SUM(F248:K248)</f>
        <v>87161.33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26035754.799999997</v>
      </c>
      <c r="G249" s="41">
        <f t="shared" si="8"/>
        <v>10249586.84</v>
      </c>
      <c r="H249" s="41">
        <f t="shared" si="8"/>
        <v>31400264.680000003</v>
      </c>
      <c r="I249" s="41">
        <f t="shared" si="8"/>
        <v>1791224.91</v>
      </c>
      <c r="J249" s="41">
        <f t="shared" si="8"/>
        <v>156381.38</v>
      </c>
      <c r="K249" s="41">
        <f t="shared" si="8"/>
        <v>35322.61</v>
      </c>
      <c r="L249" s="41">
        <f t="shared" si="8"/>
        <v>69668535.219999999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1950000</v>
      </c>
      <c r="L252" s="19">
        <f>SUM(F252:K252)</f>
        <v>1950000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943764.38</v>
      </c>
      <c r="L253" s="19">
        <f>SUM(F253:K253)</f>
        <v>943764.38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2893764.38</v>
      </c>
      <c r="L262" s="41">
        <f t="shared" si="9"/>
        <v>2893764.38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26035754.799999997</v>
      </c>
      <c r="G263" s="42">
        <f t="shared" si="11"/>
        <v>10249586.84</v>
      </c>
      <c r="H263" s="42">
        <f t="shared" si="11"/>
        <v>31400264.680000003</v>
      </c>
      <c r="I263" s="42">
        <f t="shared" si="11"/>
        <v>1791224.91</v>
      </c>
      <c r="J263" s="42">
        <f t="shared" si="11"/>
        <v>156381.38</v>
      </c>
      <c r="K263" s="42">
        <f t="shared" si="11"/>
        <v>2929086.9899999998</v>
      </c>
      <c r="L263" s="42">
        <f t="shared" si="11"/>
        <v>72562299.599999994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1804150.63-23615.14</f>
        <v>1780535.49</v>
      </c>
      <c r="I273" s="18"/>
      <c r="J273" s="18"/>
      <c r="K273" s="18"/>
      <c r="L273" s="19">
        <f t="shared" ref="L273:L279" si="12">SUM(F273:K273)</f>
        <v>1780535.49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1780535.49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1780535.49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f>971465.72-12715.84</f>
        <v>958749.88</v>
      </c>
      <c r="I292" s="18"/>
      <c r="J292" s="18"/>
      <c r="K292" s="18"/>
      <c r="L292" s="19">
        <f t="shared" ref="L292:L298" si="14">SUM(F292:K292)</f>
        <v>958749.88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958749.88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958749.88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62951.09+104276.17</f>
        <v>167227.26</v>
      </c>
      <c r="I311" s="18"/>
      <c r="J311" s="18"/>
      <c r="K311" s="18"/>
      <c r="L311" s="19">
        <f t="shared" ref="L311:L317" si="16">SUM(F311:K311)</f>
        <v>167227.26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167227.26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167227.26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>
        <f>36330.98-5184.83</f>
        <v>31146.15</v>
      </c>
      <c r="I325" s="18">
        <v>5184.83</v>
      </c>
      <c r="J325" s="18"/>
      <c r="K325" s="18"/>
      <c r="L325" s="19">
        <f t="shared" si="18"/>
        <v>36330.980000000003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31146.15</v>
      </c>
      <c r="I329" s="41">
        <f t="shared" si="19"/>
        <v>5184.83</v>
      </c>
      <c r="J329" s="41">
        <f t="shared" si="19"/>
        <v>0</v>
      </c>
      <c r="K329" s="41">
        <f t="shared" si="19"/>
        <v>0</v>
      </c>
      <c r="L329" s="41">
        <f t="shared" si="18"/>
        <v>36330.980000000003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2937658.78</v>
      </c>
      <c r="I330" s="41">
        <f t="shared" si="20"/>
        <v>5184.83</v>
      </c>
      <c r="J330" s="41">
        <f t="shared" si="20"/>
        <v>0</v>
      </c>
      <c r="K330" s="41">
        <f t="shared" si="20"/>
        <v>0</v>
      </c>
      <c r="L330" s="41">
        <f t="shared" si="20"/>
        <v>2942843.61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2937658.78</v>
      </c>
      <c r="I344" s="41">
        <f>I330</f>
        <v>5184.83</v>
      </c>
      <c r="J344" s="41">
        <f>J330</f>
        <v>0</v>
      </c>
      <c r="K344" s="47">
        <f>K330+K343</f>
        <v>0</v>
      </c>
      <c r="L344" s="41">
        <f>L330+L343</f>
        <v>2942843.61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311059.21000000002</v>
      </c>
      <c r="G350" s="18">
        <v>109681.45</v>
      </c>
      <c r="H350" s="18">
        <f>14070.13+4075.55</f>
        <v>18145.68</v>
      </c>
      <c r="I350" s="18">
        <v>393455.76</v>
      </c>
      <c r="J350" s="18"/>
      <c r="K350" s="18">
        <v>369</v>
      </c>
      <c r="L350" s="13">
        <f>SUM(F350:K350)</f>
        <v>832711.10000000009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190649.2</v>
      </c>
      <c r="G351" s="18">
        <v>67224.11</v>
      </c>
      <c r="H351" s="18">
        <f>8623.62+2497.92</f>
        <v>11121.54</v>
      </c>
      <c r="I351" s="18">
        <v>241150.31</v>
      </c>
      <c r="J351" s="18"/>
      <c r="K351" s="18">
        <v>226</v>
      </c>
      <c r="L351" s="19">
        <f>SUM(F351:K351)</f>
        <v>510371.16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501708.41000000003</v>
      </c>
      <c r="G354" s="47">
        <f t="shared" si="22"/>
        <v>176905.56</v>
      </c>
      <c r="H354" s="47">
        <f t="shared" si="22"/>
        <v>29267.22</v>
      </c>
      <c r="I354" s="47">
        <f t="shared" si="22"/>
        <v>634606.07000000007</v>
      </c>
      <c r="J354" s="47">
        <f t="shared" si="22"/>
        <v>0</v>
      </c>
      <c r="K354" s="47">
        <f t="shared" si="22"/>
        <v>595</v>
      </c>
      <c r="L354" s="47">
        <f t="shared" si="22"/>
        <v>1343082.26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335581.46</v>
      </c>
      <c r="G359" s="18">
        <v>205678.96</v>
      </c>
      <c r="H359" s="18"/>
      <c r="I359" s="56">
        <f>SUM(F359:H359)</f>
        <v>541260.42000000004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57874.3</v>
      </c>
      <c r="G360" s="63">
        <v>35471.35</v>
      </c>
      <c r="H360" s="63"/>
      <c r="I360" s="56">
        <f>SUM(F360:H360)</f>
        <v>93345.65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393455.76</v>
      </c>
      <c r="G361" s="47">
        <f>SUM(G359:G360)</f>
        <v>241150.31</v>
      </c>
      <c r="H361" s="47">
        <f>SUM(H359:H360)</f>
        <v>0</v>
      </c>
      <c r="I361" s="47">
        <f>SUM(I359:I360)</f>
        <v>634606.07000000007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2077.33</v>
      </c>
      <c r="I384" s="18"/>
      <c r="J384" s="24" t="s">
        <v>312</v>
      </c>
      <c r="K384" s="24" t="s">
        <v>312</v>
      </c>
      <c r="L384" s="56">
        <f t="shared" si="25"/>
        <v>2077.33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2077.33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2077.33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2077.33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2077.33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50504</v>
      </c>
      <c r="I410" s="18"/>
      <c r="J410" s="18"/>
      <c r="K410" s="18"/>
      <c r="L410" s="56">
        <f t="shared" si="27"/>
        <v>50504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50504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50504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50504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50504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356567</v>
      </c>
      <c r="G434" s="18"/>
      <c r="H434" s="18"/>
      <c r="I434" s="56">
        <f t="shared" si="33"/>
        <v>356567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356567</v>
      </c>
      <c r="G438" s="13">
        <f>SUM(G431:G437)</f>
        <v>0</v>
      </c>
      <c r="H438" s="13">
        <f>SUM(H431:H437)</f>
        <v>0</v>
      </c>
      <c r="I438" s="13">
        <f>SUM(I431:I437)</f>
        <v>356567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356567</v>
      </c>
      <c r="G449" s="18"/>
      <c r="H449" s="18"/>
      <c r="I449" s="56">
        <f>SUM(F449:H449)</f>
        <v>356567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356567</v>
      </c>
      <c r="G450" s="83">
        <f>SUM(G446:G449)</f>
        <v>0</v>
      </c>
      <c r="H450" s="83">
        <f>SUM(H446:H449)</f>
        <v>0</v>
      </c>
      <c r="I450" s="83">
        <f>SUM(I446:I449)</f>
        <v>356567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356567</v>
      </c>
      <c r="G451" s="42">
        <f>G444+G450</f>
        <v>0</v>
      </c>
      <c r="H451" s="42">
        <f>H444+H450</f>
        <v>0</v>
      </c>
      <c r="I451" s="42">
        <f>I444+I450</f>
        <v>356567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f>3308396.41-1006693.79-3</f>
        <v>2301699.62</v>
      </c>
      <c r="G455" s="18">
        <f>52560.62+25990.61</f>
        <v>78551.23000000001</v>
      </c>
      <c r="H455" s="18">
        <f>11815.39+788.25</f>
        <v>12603.64</v>
      </c>
      <c r="I455" s="18"/>
      <c r="J455" s="18">
        <f>382804.12+22189.55</f>
        <v>404993.67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73852561.379999995</v>
      </c>
      <c r="G458" s="18">
        <v>1427253.74</v>
      </c>
      <c r="H458" s="18">
        <f>2333098.78+573769.46+31590.47</f>
        <v>2938458.71</v>
      </c>
      <c r="I458" s="18"/>
      <c r="J458" s="18">
        <v>2077.33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73852561.379999995</v>
      </c>
      <c r="G460" s="53">
        <f>SUM(G458:G459)</f>
        <v>1427253.74</v>
      </c>
      <c r="H460" s="53">
        <f>SUM(H458:H459)</f>
        <v>2938458.71</v>
      </c>
      <c r="I460" s="53">
        <f>SUM(I458:I459)</f>
        <v>0</v>
      </c>
      <c r="J460" s="53">
        <f>SUM(J458:J459)</f>
        <v>2077.33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72562299.599999994</v>
      </c>
      <c r="G462" s="18">
        <v>1343082.26</v>
      </c>
      <c r="H462" s="18">
        <f>2333098.78+573769.46+35975.37</f>
        <v>2942843.61</v>
      </c>
      <c r="I462" s="18"/>
      <c r="J462" s="18">
        <v>50504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72562299.599999994</v>
      </c>
      <c r="G464" s="53">
        <f>SUM(G462:G463)</f>
        <v>1343082.26</v>
      </c>
      <c r="H464" s="53">
        <f>SUM(H462:H463)</f>
        <v>2942843.61</v>
      </c>
      <c r="I464" s="53">
        <f>SUM(I462:I463)</f>
        <v>0</v>
      </c>
      <c r="J464" s="53">
        <f>SUM(J462:J463)</f>
        <v>50504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3591961.400000006</v>
      </c>
      <c r="G466" s="53">
        <f>(G455+G460)- G464</f>
        <v>162722.70999999996</v>
      </c>
      <c r="H466" s="53">
        <f>(H455+H460)- H464</f>
        <v>8218.7400000002235</v>
      </c>
      <c r="I466" s="53">
        <f>(I455+I460)- I464</f>
        <v>0</v>
      </c>
      <c r="J466" s="53">
        <f>(J455+J460)- J464</f>
        <v>356567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20</v>
      </c>
      <c r="I480" s="154">
        <v>20</v>
      </c>
      <c r="J480" s="154">
        <v>20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896</v>
      </c>
      <c r="I481" s="155" t="s">
        <v>898</v>
      </c>
      <c r="J481" s="155" t="s">
        <v>900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897</v>
      </c>
      <c r="I482" s="155" t="s">
        <v>899</v>
      </c>
      <c r="J482" s="155" t="s">
        <v>901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1400000</v>
      </c>
      <c r="G483" s="18">
        <v>6375000</v>
      </c>
      <c r="H483" s="18">
        <v>2125000</v>
      </c>
      <c r="I483" s="18">
        <v>5115000</v>
      </c>
      <c r="J483" s="18">
        <v>23959000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6.9</v>
      </c>
      <c r="G484" s="18">
        <v>5.2</v>
      </c>
      <c r="H484" s="18">
        <v>5.3</v>
      </c>
      <c r="I484" s="18">
        <v>4.9000000000000004</v>
      </c>
      <c r="J484" s="18">
        <v>3.75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140000</v>
      </c>
      <c r="G485" s="18">
        <v>1600000</v>
      </c>
      <c r="H485" s="18">
        <v>2020000</v>
      </c>
      <c r="I485" s="18">
        <v>2805000</v>
      </c>
      <c r="J485" s="18">
        <v>18000000</v>
      </c>
      <c r="K485" s="53">
        <f>SUM(F485:J485)</f>
        <v>24565000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70000</v>
      </c>
      <c r="G487" s="18">
        <v>320000</v>
      </c>
      <c r="H487" s="18">
        <v>105000</v>
      </c>
      <c r="I487" s="18">
        <v>255000</v>
      </c>
      <c r="J487" s="18">
        <v>1200000</v>
      </c>
      <c r="K487" s="53">
        <f t="shared" si="34"/>
        <v>1950000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70000</v>
      </c>
      <c r="G488" s="205">
        <v>1280000</v>
      </c>
      <c r="H488" s="205">
        <v>1915000</v>
      </c>
      <c r="I488" s="205">
        <v>2550000</v>
      </c>
      <c r="J488" s="205">
        <v>16800000</v>
      </c>
      <c r="K488" s="206">
        <f t="shared" si="34"/>
        <v>22615000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2485</v>
      </c>
      <c r="G489" s="18">
        <v>147200</v>
      </c>
      <c r="H489" s="18">
        <v>49350</v>
      </c>
      <c r="I489" s="18">
        <v>6835330</v>
      </c>
      <c r="J489" s="18">
        <v>4762500</v>
      </c>
      <c r="K489" s="53">
        <f t="shared" si="34"/>
        <v>11796865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72485</v>
      </c>
      <c r="G490" s="42">
        <f>SUM(G488:G489)</f>
        <v>1427200</v>
      </c>
      <c r="H490" s="42">
        <f>SUM(H488:H489)</f>
        <v>1964350</v>
      </c>
      <c r="I490" s="42">
        <f>SUM(I488:I489)</f>
        <v>9385330</v>
      </c>
      <c r="J490" s="42">
        <f>SUM(J488:J489)</f>
        <v>21562500</v>
      </c>
      <c r="K490" s="42">
        <f t="shared" si="34"/>
        <v>34411865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70000</v>
      </c>
      <c r="G491" s="205">
        <v>320000</v>
      </c>
      <c r="H491" s="205">
        <v>105000</v>
      </c>
      <c r="I491" s="205">
        <v>255000</v>
      </c>
      <c r="J491" s="205">
        <v>1200000</v>
      </c>
      <c r="K491" s="206">
        <f t="shared" si="34"/>
        <v>1950000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2485</v>
      </c>
      <c r="G492" s="18">
        <v>64400</v>
      </c>
      <c r="H492" s="18">
        <v>21591</v>
      </c>
      <c r="I492" s="18">
        <v>127500</v>
      </c>
      <c r="J492" s="18">
        <v>640500</v>
      </c>
      <c r="K492" s="53">
        <f t="shared" si="34"/>
        <v>856476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72485</v>
      </c>
      <c r="G493" s="42">
        <f>SUM(G491:G492)</f>
        <v>384400</v>
      </c>
      <c r="H493" s="42">
        <f>SUM(H491:H492)</f>
        <v>126591</v>
      </c>
      <c r="I493" s="42">
        <f>SUM(I491:I492)</f>
        <v>382500</v>
      </c>
      <c r="J493" s="42">
        <f>SUM(J491:J492)</f>
        <v>1840500</v>
      </c>
      <c r="K493" s="42">
        <f t="shared" si="34"/>
        <v>2806476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1890517.69</v>
      </c>
      <c r="G497" s="144">
        <v>101748.96</v>
      </c>
      <c r="H497" s="144"/>
      <c r="I497" s="144">
        <v>1992266.65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1724475.8+21228.9+535085.76+38810+609717.01+22886.14+312207.64</f>
        <v>3264411.25</v>
      </c>
      <c r="G511" s="18">
        <f>1017252.11+70893.21</f>
        <v>1088145.32</v>
      </c>
      <c r="H511" s="18">
        <f>12.95+537060.84</f>
        <v>537073.78999999992</v>
      </c>
      <c r="I511" s="18">
        <f>5132.4+1299.87+2309.82</f>
        <v>8742.09</v>
      </c>
      <c r="J511" s="18">
        <f>89.98+820.63+1200</f>
        <v>2110.61</v>
      </c>
      <c r="K511" s="18">
        <v>2313.96</v>
      </c>
      <c r="L511" s="88">
        <f>SUM(F511:K511)</f>
        <v>4902797.0200000005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880523.66+10936.1+130031.81+9702.5+433464.03+208138.43</f>
        <v>1672796.53</v>
      </c>
      <c r="G512" s="18">
        <f>524038.97+47262.14</f>
        <v>571301.11</v>
      </c>
      <c r="H512" s="18">
        <f>6.48+198.18+237109.41</f>
        <v>237314.07</v>
      </c>
      <c r="I512" s="18">
        <v>2812.52</v>
      </c>
      <c r="J512" s="18">
        <f>90+820.62</f>
        <v>910.62</v>
      </c>
      <c r="K512" s="18">
        <v>1192.04</v>
      </c>
      <c r="L512" s="88">
        <f>SUM(F512:K512)</f>
        <v>2486326.89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0</v>
      </c>
      <c r="G513" s="18"/>
      <c r="H513" s="18">
        <f>142.47+4150955.88+1693605.85</f>
        <v>5844704.2000000002</v>
      </c>
      <c r="I513" s="18"/>
      <c r="J513" s="18"/>
      <c r="K513" s="18"/>
      <c r="L513" s="88">
        <f>SUM(F513:K513)</f>
        <v>5844704.2000000002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4937207.78</v>
      </c>
      <c r="G514" s="108">
        <f t="shared" ref="G514:L514" si="35">SUM(G511:G513)</f>
        <v>1659446.4300000002</v>
      </c>
      <c r="H514" s="108">
        <f t="shared" si="35"/>
        <v>6619092.0600000005</v>
      </c>
      <c r="I514" s="108">
        <f t="shared" si="35"/>
        <v>11554.61</v>
      </c>
      <c r="J514" s="108">
        <f t="shared" si="35"/>
        <v>3021.23</v>
      </c>
      <c r="K514" s="108">
        <f t="shared" si="35"/>
        <v>3506</v>
      </c>
      <c r="L514" s="89">
        <f t="shared" si="35"/>
        <v>13233828.109999999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12780+634193.63+119113.3</f>
        <v>766086.93</v>
      </c>
      <c r="G516" s="18">
        <f>105.42+46177.09+245890.95+8788.01</f>
        <v>300961.47000000003</v>
      </c>
      <c r="H516" s="18">
        <f>420083.34+428850.77+71923.83+276462.49+18638.68</f>
        <v>1215959.1100000001</v>
      </c>
      <c r="I516" s="18">
        <f>881.48+8091.14+7543.11</f>
        <v>16515.73</v>
      </c>
      <c r="J516" s="18">
        <f>21240+15793.46+23862.37</f>
        <v>60895.83</v>
      </c>
      <c r="K516" s="18">
        <v>1592.59</v>
      </c>
      <c r="L516" s="88">
        <f>SUM(F516:K516)</f>
        <v>2362011.66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422795.75</v>
      </c>
      <c r="G517" s="18">
        <f>30784.73+163927.3</f>
        <v>194712.03</v>
      </c>
      <c r="H517" s="18">
        <f>285900.51+37790.48+145640.85+12425.79</f>
        <v>481757.62999999995</v>
      </c>
      <c r="I517" s="18">
        <f>5394.1+5028.74</f>
        <v>10422.84</v>
      </c>
      <c r="J517" s="18">
        <f>7828.98+19921.21</f>
        <v>27750.19</v>
      </c>
      <c r="K517" s="18">
        <v>1061.72</v>
      </c>
      <c r="L517" s="88">
        <f>SUM(F517:K517)</f>
        <v>1138500.1599999999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63493.68</v>
      </c>
      <c r="G518" s="18">
        <v>26942.49</v>
      </c>
      <c r="H518" s="18">
        <f>13840+66152+12190.48+48710.04</f>
        <v>140892.51999999999</v>
      </c>
      <c r="I518" s="18">
        <v>0</v>
      </c>
      <c r="J518" s="18">
        <v>4012.97</v>
      </c>
      <c r="K518" s="18"/>
      <c r="L518" s="88">
        <f>SUM(F518:K518)</f>
        <v>235341.66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1252376.3600000001</v>
      </c>
      <c r="G519" s="89">
        <f t="shared" ref="G519:L519" si="36">SUM(G516:G518)</f>
        <v>522615.99</v>
      </c>
      <c r="H519" s="89">
        <f t="shared" si="36"/>
        <v>1838609.26</v>
      </c>
      <c r="I519" s="89">
        <f t="shared" si="36"/>
        <v>26938.57</v>
      </c>
      <c r="J519" s="89">
        <f t="shared" si="36"/>
        <v>92658.99</v>
      </c>
      <c r="K519" s="89">
        <f t="shared" si="36"/>
        <v>2654.31</v>
      </c>
      <c r="L519" s="89">
        <f t="shared" si="36"/>
        <v>3735853.4800000004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293092.21000000002</v>
      </c>
      <c r="G521" s="18">
        <v>138531.28</v>
      </c>
      <c r="H521" s="18"/>
      <c r="I521" s="18"/>
      <c r="J521" s="18"/>
      <c r="K521" s="18"/>
      <c r="L521" s="88">
        <f>SUM(F521:K521)</f>
        <v>431623.49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195394.81</v>
      </c>
      <c r="G522" s="18">
        <v>92354.18</v>
      </c>
      <c r="H522" s="18"/>
      <c r="I522" s="18"/>
      <c r="J522" s="18"/>
      <c r="K522" s="18"/>
      <c r="L522" s="88">
        <f>SUM(F522:K522)</f>
        <v>287748.99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488487.02</v>
      </c>
      <c r="G524" s="89">
        <f t="shared" ref="G524:L524" si="37">SUM(G521:G523)</f>
        <v>230885.46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719372.48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6044</v>
      </c>
      <c r="I526" s="18"/>
      <c r="J526" s="18"/>
      <c r="K526" s="18"/>
      <c r="L526" s="88">
        <f>SUM(F526:K526)</f>
        <v>6044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7050</v>
      </c>
      <c r="I527" s="18"/>
      <c r="J527" s="18"/>
      <c r="K527" s="18"/>
      <c r="L527" s="88">
        <f>SUM(F527:K527)</f>
        <v>7050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7050</v>
      </c>
      <c r="I528" s="18"/>
      <c r="J528" s="18"/>
      <c r="K528" s="18"/>
      <c r="L528" s="88">
        <f>SUM(F528:K528)</f>
        <v>7050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20144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20144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401342.63</v>
      </c>
      <c r="I531" s="18"/>
      <c r="J531" s="18"/>
      <c r="K531" s="18"/>
      <c r="L531" s="88">
        <f>SUM(F531:K531)</f>
        <v>401342.63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207627.92</v>
      </c>
      <c r="I532" s="18"/>
      <c r="J532" s="18"/>
      <c r="K532" s="18"/>
      <c r="L532" s="88">
        <f>SUM(F532:K532)</f>
        <v>207627.92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461276.47</v>
      </c>
      <c r="I533" s="18"/>
      <c r="J533" s="18"/>
      <c r="K533" s="18"/>
      <c r="L533" s="88">
        <f>SUM(F533:K533)</f>
        <v>461276.47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1070247.02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1070247.02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6678071.1600000001</v>
      </c>
      <c r="G535" s="89">
        <f t="shared" ref="G535:L535" si="40">G514+G519+G524+G529+G534</f>
        <v>2412947.88</v>
      </c>
      <c r="H535" s="89">
        <f t="shared" si="40"/>
        <v>9548092.3399999999</v>
      </c>
      <c r="I535" s="89">
        <f t="shared" si="40"/>
        <v>38493.18</v>
      </c>
      <c r="J535" s="89">
        <f t="shared" si="40"/>
        <v>95680.22</v>
      </c>
      <c r="K535" s="89">
        <f t="shared" si="40"/>
        <v>6160.3099999999995</v>
      </c>
      <c r="L535" s="89">
        <f t="shared" si="40"/>
        <v>18779445.09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4902797.0200000005</v>
      </c>
      <c r="G539" s="87">
        <f>L516</f>
        <v>2362011.66</v>
      </c>
      <c r="H539" s="87">
        <f>L521</f>
        <v>431623.49</v>
      </c>
      <c r="I539" s="87">
        <f>L526</f>
        <v>6044</v>
      </c>
      <c r="J539" s="87">
        <f>L531</f>
        <v>401342.63</v>
      </c>
      <c r="K539" s="87">
        <f>SUM(F539:J539)</f>
        <v>8103818.8000000007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2486326.89</v>
      </c>
      <c r="G540" s="87">
        <f>L517</f>
        <v>1138500.1599999999</v>
      </c>
      <c r="H540" s="87">
        <f>L522</f>
        <v>287748.99</v>
      </c>
      <c r="I540" s="87">
        <f>L527</f>
        <v>7050</v>
      </c>
      <c r="J540" s="87">
        <f>L532</f>
        <v>207627.92</v>
      </c>
      <c r="K540" s="87">
        <f>SUM(F540:J540)</f>
        <v>4127253.96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5844704.2000000002</v>
      </c>
      <c r="G541" s="87">
        <f>L518</f>
        <v>235341.66</v>
      </c>
      <c r="H541" s="87">
        <f>L523</f>
        <v>0</v>
      </c>
      <c r="I541" s="87">
        <f>L528</f>
        <v>7050</v>
      </c>
      <c r="J541" s="87">
        <f>L533</f>
        <v>461276.47</v>
      </c>
      <c r="K541" s="87">
        <f>SUM(F541:J541)</f>
        <v>6548372.3300000001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13233828.109999999</v>
      </c>
      <c r="G542" s="89">
        <f t="shared" si="41"/>
        <v>3735853.4800000004</v>
      </c>
      <c r="H542" s="89">
        <f t="shared" si="41"/>
        <v>719372.48</v>
      </c>
      <c r="I542" s="89">
        <f t="shared" si="41"/>
        <v>20144</v>
      </c>
      <c r="J542" s="89">
        <f t="shared" si="41"/>
        <v>1070247.02</v>
      </c>
      <c r="K542" s="89">
        <f t="shared" si="41"/>
        <v>18779445.090000004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109669.85</v>
      </c>
      <c r="G552" s="18">
        <v>34897.089999999997</v>
      </c>
      <c r="H552" s="18">
        <v>582.4</v>
      </c>
      <c r="I552" s="18">
        <v>790.13</v>
      </c>
      <c r="J552" s="18"/>
      <c r="K552" s="18"/>
      <c r="L552" s="88">
        <f>SUM(F552:K552)</f>
        <v>145939.47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86169.17</v>
      </c>
      <c r="G553" s="18">
        <v>27419.15</v>
      </c>
      <c r="H553" s="18">
        <v>457.6</v>
      </c>
      <c r="I553" s="18">
        <v>620.80999999999995</v>
      </c>
      <c r="J553" s="18"/>
      <c r="K553" s="18"/>
      <c r="L553" s="88">
        <f>SUM(F553:K553)</f>
        <v>114666.73000000001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195839.02000000002</v>
      </c>
      <c r="G555" s="89">
        <f t="shared" si="43"/>
        <v>62316.24</v>
      </c>
      <c r="H555" s="89">
        <f t="shared" si="43"/>
        <v>1040</v>
      </c>
      <c r="I555" s="89">
        <f t="shared" si="43"/>
        <v>1410.94</v>
      </c>
      <c r="J555" s="89">
        <f t="shared" si="43"/>
        <v>0</v>
      </c>
      <c r="K555" s="89">
        <f t="shared" si="43"/>
        <v>0</v>
      </c>
      <c r="L555" s="89">
        <f t="shared" si="43"/>
        <v>260606.2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300141</v>
      </c>
      <c r="G557" s="18">
        <v>109450.37</v>
      </c>
      <c r="H557" s="18">
        <v>776.16</v>
      </c>
      <c r="I557" s="18">
        <v>696.9</v>
      </c>
      <c r="J557" s="18"/>
      <c r="K557" s="18">
        <v>108.64</v>
      </c>
      <c r="L557" s="88">
        <f>SUM(F557:K557)</f>
        <v>411173.07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238854</v>
      </c>
      <c r="G558" s="18">
        <v>85698.94</v>
      </c>
      <c r="H558" s="18">
        <v>609.84</v>
      </c>
      <c r="I558" s="18">
        <v>547.55999999999995</v>
      </c>
      <c r="J558" s="18"/>
      <c r="K558" s="18">
        <v>85.36</v>
      </c>
      <c r="L558" s="88">
        <f>SUM(F558:K558)</f>
        <v>325795.7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538995</v>
      </c>
      <c r="G560" s="194">
        <f t="shared" ref="G560:L560" si="44">SUM(G557:G559)</f>
        <v>195149.31</v>
      </c>
      <c r="H560" s="194">
        <f t="shared" si="44"/>
        <v>1386</v>
      </c>
      <c r="I560" s="194">
        <f t="shared" si="44"/>
        <v>1244.46</v>
      </c>
      <c r="J560" s="194">
        <f t="shared" si="44"/>
        <v>0</v>
      </c>
      <c r="K560" s="194">
        <f t="shared" si="44"/>
        <v>194</v>
      </c>
      <c r="L560" s="194">
        <f t="shared" si="44"/>
        <v>736968.77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734834.02</v>
      </c>
      <c r="G561" s="89">
        <f t="shared" ref="G561:L561" si="45">G550+G555+G560</f>
        <v>257465.55</v>
      </c>
      <c r="H561" s="89">
        <f t="shared" si="45"/>
        <v>2426</v>
      </c>
      <c r="I561" s="89">
        <f t="shared" si="45"/>
        <v>2655.4</v>
      </c>
      <c r="J561" s="89">
        <f t="shared" si="45"/>
        <v>0</v>
      </c>
      <c r="K561" s="89">
        <f t="shared" si="45"/>
        <v>194</v>
      </c>
      <c r="L561" s="89">
        <f t="shared" si="45"/>
        <v>997574.97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20170531.870000001</v>
      </c>
      <c r="I567" s="87">
        <f t="shared" si="46"/>
        <v>20170531.870000001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4049577.86</v>
      </c>
      <c r="I571" s="87">
        <f t="shared" si="46"/>
        <v>4049577.86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537060.84</v>
      </c>
      <c r="G572" s="18">
        <v>237109.41</v>
      </c>
      <c r="H572" s="18">
        <v>1693605.85</v>
      </c>
      <c r="I572" s="87">
        <f t="shared" si="46"/>
        <v>2467776.1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710165.89</v>
      </c>
      <c r="I581" s="18">
        <v>444788.11</v>
      </c>
      <c r="J581" s="18">
        <v>713903.6</v>
      </c>
      <c r="K581" s="104">
        <f t="shared" ref="K581:K587" si="47">SUM(H581:J581)</f>
        <v>1868857.6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401342.63</v>
      </c>
      <c r="I582" s="18">
        <v>207627.92</v>
      </c>
      <c r="J582" s="18">
        <v>461276.47</v>
      </c>
      <c r="K582" s="104">
        <f t="shared" si="47"/>
        <v>1070247.02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24772.28</v>
      </c>
      <c r="J584" s="18"/>
      <c r="K584" s="104">
        <f t="shared" si="47"/>
        <v>24772.28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2044.86</v>
      </c>
      <c r="I585" s="18">
        <v>0</v>
      </c>
      <c r="J585" s="18"/>
      <c r="K585" s="104">
        <f t="shared" si="47"/>
        <v>2044.86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1113553.3800000001</v>
      </c>
      <c r="I588" s="108">
        <f>SUM(I581:I587)</f>
        <v>677188.31</v>
      </c>
      <c r="J588" s="108">
        <f>SUM(J581:J587)</f>
        <v>1175180.0699999998</v>
      </c>
      <c r="K588" s="108">
        <f>SUM(K581:K587)</f>
        <v>2965921.76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43285.42</v>
      </c>
      <c r="I594" s="18">
        <v>113095.96</v>
      </c>
      <c r="J594" s="18"/>
      <c r="K594" s="104">
        <f>SUM(H594:J594)</f>
        <v>156381.38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43285.42</v>
      </c>
      <c r="I595" s="108">
        <f>SUM(I592:I594)</f>
        <v>113095.96</v>
      </c>
      <c r="J595" s="108">
        <f>SUM(J592:J594)</f>
        <v>0</v>
      </c>
      <c r="K595" s="108">
        <f>SUM(K592:K594)</f>
        <v>156381.38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12894+11165</f>
        <v>24059</v>
      </c>
      <c r="G602" s="18">
        <f>986.4+619.73+854.16+45.8+411.96</f>
        <v>2918.05</v>
      </c>
      <c r="H602" s="18"/>
      <c r="I602" s="18">
        <f>186.49+1556.52</f>
        <v>1743.01</v>
      </c>
      <c r="J602" s="18"/>
      <c r="K602" s="18"/>
      <c r="L602" s="88">
        <f>SUM(F602:K602)</f>
        <v>28720.059999999998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24059</v>
      </c>
      <c r="G604" s="108">
        <f t="shared" si="48"/>
        <v>2918.05</v>
      </c>
      <c r="H604" s="108">
        <f t="shared" si="48"/>
        <v>0</v>
      </c>
      <c r="I604" s="108">
        <f t="shared" si="48"/>
        <v>1743.01</v>
      </c>
      <c r="J604" s="108">
        <f t="shared" si="48"/>
        <v>0</v>
      </c>
      <c r="K604" s="108">
        <f t="shared" si="48"/>
        <v>0</v>
      </c>
      <c r="L604" s="89">
        <f t="shared" si="48"/>
        <v>28720.059999999998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3688354.7399999998</v>
      </c>
      <c r="H607" s="109">
        <f>SUM(F44)</f>
        <v>3688354.7399999998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187517.62999999998</v>
      </c>
      <c r="H608" s="109">
        <f>SUM(G44)</f>
        <v>187517.63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410955.24000000005</v>
      </c>
      <c r="H609" s="109">
        <f>SUM(H44)</f>
        <v>410955.24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356567</v>
      </c>
      <c r="H611" s="109">
        <f>SUM(J44)</f>
        <v>356567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3591961.4</v>
      </c>
      <c r="H612" s="109">
        <f>F466</f>
        <v>3591961.400000006</v>
      </c>
      <c r="I612" s="121" t="s">
        <v>106</v>
      </c>
      <c r="J612" s="109">
        <f t="shared" ref="J612:J645" si="49">G612-H612</f>
        <v>-6.0535967350006104E-9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162722.71</v>
      </c>
      <c r="H613" s="109">
        <f>G466</f>
        <v>162722.70999999996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8218.74</v>
      </c>
      <c r="H614" s="109">
        <f>H466</f>
        <v>8218.7400000002235</v>
      </c>
      <c r="I614" s="121" t="s">
        <v>110</v>
      </c>
      <c r="J614" s="109">
        <f t="shared" si="49"/>
        <v>-2.2373569663614035E-10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356567</v>
      </c>
      <c r="H616" s="109">
        <f>J466</f>
        <v>356567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73852561.38000001</v>
      </c>
      <c r="H617" s="104">
        <f>SUM(F458)</f>
        <v>73852561.379999995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1427253.74</v>
      </c>
      <c r="H618" s="104">
        <f>SUM(G458)</f>
        <v>1427253.74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2938458.71</v>
      </c>
      <c r="H619" s="104">
        <f>SUM(H458)</f>
        <v>2938458.71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2077.33</v>
      </c>
      <c r="H621" s="104">
        <f>SUM(J458)</f>
        <v>2077.33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72562299.599999994</v>
      </c>
      <c r="H622" s="104">
        <f>SUM(F462)</f>
        <v>72562299.599999994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2942843.61</v>
      </c>
      <c r="H623" s="104">
        <f>SUM(H462)</f>
        <v>2942843.61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634606.07000000007</v>
      </c>
      <c r="H624" s="104">
        <f>I361</f>
        <v>634606.07000000007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1343082.26</v>
      </c>
      <c r="H625" s="104">
        <f>SUM(G462)</f>
        <v>1343082.26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2077.33</v>
      </c>
      <c r="H627" s="164">
        <f>SUM(J458)</f>
        <v>2077.33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50504</v>
      </c>
      <c r="H628" s="164">
        <f>SUM(J462)</f>
        <v>50504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356567</v>
      </c>
      <c r="H629" s="104">
        <f>SUM(F451)</f>
        <v>356567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356567</v>
      </c>
      <c r="H632" s="104">
        <f>SUM(I451)</f>
        <v>356567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2077.33</v>
      </c>
      <c r="H634" s="104">
        <f>H400</f>
        <v>2077.33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2077.33</v>
      </c>
      <c r="H636" s="104">
        <f>L400</f>
        <v>2077.33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2965921.76</v>
      </c>
      <c r="H637" s="104">
        <f>L200+L218+L236</f>
        <v>2965921.76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156381.38</v>
      </c>
      <c r="H638" s="104">
        <f>(J249+J330)-(J247+J328)</f>
        <v>156381.38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1113553.3800000001</v>
      </c>
      <c r="H639" s="104">
        <f>H588</f>
        <v>1113553.3800000001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677188.31</v>
      </c>
      <c r="H640" s="104">
        <f>I588</f>
        <v>677188.31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1175180.0699999998</v>
      </c>
      <c r="H641" s="104">
        <f>J588</f>
        <v>1175180.0699999998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29020207.189999994</v>
      </c>
      <c r="G650" s="19">
        <f>(L221+L301+L351)</f>
        <v>17383598.629999999</v>
      </c>
      <c r="H650" s="19">
        <f>(L239+L320+L352)</f>
        <v>27427162.960000005</v>
      </c>
      <c r="I650" s="19">
        <f>SUM(F650:H650)</f>
        <v>73830968.780000001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561910.38186987594</v>
      </c>
      <c r="G651" s="19">
        <f>(L351/IF(SUM(L350:L352)=0,1,SUM(L350:L352))*(SUM(G89:G102)))</f>
        <v>344396.57813012402</v>
      </c>
      <c r="H651" s="19">
        <f>(L352/IF(SUM(L350:L352)=0,1,SUM(L350:L352))*(SUM(G89:G102)))</f>
        <v>0</v>
      </c>
      <c r="I651" s="19">
        <f>SUM(F651:H651)</f>
        <v>906306.96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1113553.3800000001</v>
      </c>
      <c r="G652" s="19">
        <f>(L218+L298)-(J218+J298)</f>
        <v>677188.31</v>
      </c>
      <c r="H652" s="19">
        <f>(L236+L317)-(J236+J317)</f>
        <v>1175180.0699999998</v>
      </c>
      <c r="I652" s="19">
        <f>SUM(F652:H652)</f>
        <v>2965921.76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580346.26</v>
      </c>
      <c r="G653" s="200">
        <f>SUM(G565:G577)+SUM(I592:I594)+L602</f>
        <v>378925.43</v>
      </c>
      <c r="H653" s="200">
        <f>SUM(H565:H577)+SUM(J592:J594)+L603</f>
        <v>25913715.580000002</v>
      </c>
      <c r="I653" s="19">
        <f>SUM(F653:H653)</f>
        <v>26872987.270000003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26764397.168130118</v>
      </c>
      <c r="G654" s="19">
        <f>G650-SUM(G651:G653)</f>
        <v>15983088.311869875</v>
      </c>
      <c r="H654" s="19">
        <f>H650-SUM(H651:H653)</f>
        <v>338267.31000000238</v>
      </c>
      <c r="I654" s="19">
        <f>I650-SUM(I651:I653)</f>
        <v>43085752.789999999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2167.5100000000002</v>
      </c>
      <c r="G655" s="249">
        <v>1412.01</v>
      </c>
      <c r="H655" s="249"/>
      <c r="I655" s="19">
        <f>SUM(F655:H655)</f>
        <v>3579.5200000000004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12347.99</v>
      </c>
      <c r="G657" s="19">
        <f>ROUND(G654/G655,2)</f>
        <v>11319.39</v>
      </c>
      <c r="H657" s="19" t="e">
        <f>ROUND(H654/H655,2)</f>
        <v>#DIV/0!</v>
      </c>
      <c r="I657" s="19">
        <f>ROUND(I654/I655,2)</f>
        <v>12036.74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-338267.31</v>
      </c>
      <c r="I659" s="19">
        <f>SUM(F659:H659)</f>
        <v>-338267.31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12347.99</v>
      </c>
      <c r="G662" s="19">
        <f>ROUND((G654+G659)/(G655+G660),2)</f>
        <v>11319.39</v>
      </c>
      <c r="H662" s="19" t="e">
        <f>ROUND((H654+H659)/(H655+H660),2)</f>
        <v>#DIV/0!</v>
      </c>
      <c r="I662" s="19">
        <f>ROUND((I654+I659)/(I655+I660),2)</f>
        <v>11942.24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AAF5-0D1C-4420-9E3C-11D7E2FC4343}">
  <sheetPr>
    <tabColor indexed="20"/>
  </sheetPr>
  <dimension ref="A1:C52"/>
  <sheetViews>
    <sheetView topLeftCell="A25" zoomScale="200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Derry Cooperative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12866221.35</v>
      </c>
      <c r="C9" s="230">
        <f>'DOE25'!G189+'DOE25'!G207+'DOE25'!G225+'DOE25'!G268+'DOE25'!G287+'DOE25'!G306</f>
        <v>5085524.7200000007</v>
      </c>
    </row>
    <row r="10" spans="1:3" x14ac:dyDescent="0.2">
      <c r="A10" t="s">
        <v>813</v>
      </c>
      <c r="B10" s="241">
        <v>12671798.109999999</v>
      </c>
      <c r="C10" s="241">
        <f>5065859.08+3175.95-14873.37</f>
        <v>5054161.66</v>
      </c>
    </row>
    <row r="11" spans="1:3" x14ac:dyDescent="0.2">
      <c r="A11" t="s">
        <v>814</v>
      </c>
      <c r="B11" s="241">
        <v>194423.24</v>
      </c>
      <c r="C11" s="241">
        <f>16489.69+14873.37</f>
        <v>31363.059999999998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12866221.35</v>
      </c>
      <c r="C13" s="232">
        <f>SUM(C10:C12)</f>
        <v>5085524.72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5128809.59</v>
      </c>
      <c r="C18" s="230">
        <f>'DOE25'!G190+'DOE25'!G208+'DOE25'!G226+'DOE25'!G269+'DOE25'!G288+'DOE25'!G307</f>
        <v>1798756.63</v>
      </c>
    </row>
    <row r="19" spans="1:3" x14ac:dyDescent="0.2">
      <c r="A19" t="s">
        <v>813</v>
      </c>
      <c r="B19" s="241">
        <f>538995+195839.02+2443969.46+193195</f>
        <v>3371998.48</v>
      </c>
      <c r="C19" s="241">
        <f>1798756.63-138325.49</f>
        <v>1660431.14</v>
      </c>
    </row>
    <row r="20" spans="1:3" x14ac:dyDescent="0.2">
      <c r="A20" t="s">
        <v>814</v>
      </c>
      <c r="B20" s="241">
        <f>713630.07+1043181.04</f>
        <v>1756811.1099999999</v>
      </c>
      <c r="C20" s="241">
        <f>134396.04+3929.45</f>
        <v>138325.49000000002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5128809.59</v>
      </c>
      <c r="C22" s="232">
        <f>SUM(C19:C21)</f>
        <v>1798756.63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220743.52000000002</v>
      </c>
      <c r="C36" s="236">
        <f>'DOE25'!G192+'DOE25'!G210+'DOE25'!G228+'DOE25'!G271+'DOE25'!G290+'DOE25'!G309</f>
        <v>31581.93</v>
      </c>
    </row>
    <row r="37" spans="1:3" x14ac:dyDescent="0.2">
      <c r="A37" t="s">
        <v>813</v>
      </c>
      <c r="B37" s="241">
        <v>72815.03</v>
      </c>
      <c r="C37" s="241">
        <f>31581.93-21074.01</f>
        <v>10507.920000000002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147928.49</v>
      </c>
      <c r="C39" s="241">
        <f>11316.52+9757.49</f>
        <v>21074.010000000002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220743.52</v>
      </c>
      <c r="C40" s="232">
        <f>SUM(C37:C39)</f>
        <v>31581.930000000004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3E5D-6DC7-4E14-BA00-1193B9F9BD95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Derry Cooperative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52381832.969999999</v>
      </c>
      <c r="D5" s="20">
        <f>SUM('DOE25'!L189:L192)+SUM('DOE25'!L207:L210)+SUM('DOE25'!L225:L228)-F5-G5</f>
        <v>52341690.199999996</v>
      </c>
      <c r="E5" s="244"/>
      <c r="F5" s="256">
        <f>SUM('DOE25'!J189:J192)+SUM('DOE25'!J207:J210)+SUM('DOE25'!J225:J228)</f>
        <v>31591.57</v>
      </c>
      <c r="G5" s="53">
        <f>SUM('DOE25'!K189:K192)+SUM('DOE25'!K207:K210)+SUM('DOE25'!K225:K228)</f>
        <v>8551.2000000000007</v>
      </c>
      <c r="H5" s="260"/>
    </row>
    <row r="6" spans="1:9" x14ac:dyDescent="0.2">
      <c r="A6" s="32">
        <v>2100</v>
      </c>
      <c r="B6" t="s">
        <v>835</v>
      </c>
      <c r="C6" s="246">
        <f t="shared" si="0"/>
        <v>4947153.33</v>
      </c>
      <c r="D6" s="20">
        <f>'DOE25'!L194+'DOE25'!L212+'DOE25'!L230-F6-G6</f>
        <v>4947153.33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1449300.25</v>
      </c>
      <c r="D7" s="20">
        <f>'DOE25'!L195+'DOE25'!L213+'DOE25'!L231-F7-G7</f>
        <v>1328676.8400000001</v>
      </c>
      <c r="E7" s="244"/>
      <c r="F7" s="256">
        <f>'DOE25'!J195+'DOE25'!J213+'DOE25'!J231</f>
        <v>120032.41</v>
      </c>
      <c r="G7" s="53">
        <f>'DOE25'!K195+'DOE25'!K213+'DOE25'!K231</f>
        <v>591</v>
      </c>
      <c r="H7" s="260"/>
    </row>
    <row r="8" spans="1:9" x14ac:dyDescent="0.2">
      <c r="A8" s="32">
        <v>2300</v>
      </c>
      <c r="B8" t="s">
        <v>836</v>
      </c>
      <c r="C8" s="246">
        <f t="shared" si="0"/>
        <v>367149.76999999996</v>
      </c>
      <c r="D8" s="244"/>
      <c r="E8" s="20">
        <f>'DOE25'!L196+'DOE25'!L214+'DOE25'!L232-F8-G8-D9-D11</f>
        <v>354742.81999999995</v>
      </c>
      <c r="F8" s="256">
        <f>'DOE25'!J196+'DOE25'!J214+'DOE25'!J232</f>
        <v>0</v>
      </c>
      <c r="G8" s="53">
        <f>'DOE25'!K196+'DOE25'!K214+'DOE25'!K232</f>
        <v>12406.95</v>
      </c>
      <c r="H8" s="260"/>
    </row>
    <row r="9" spans="1:9" x14ac:dyDescent="0.2">
      <c r="A9" s="32">
        <v>2310</v>
      </c>
      <c r="B9" t="s">
        <v>852</v>
      </c>
      <c r="C9" s="246">
        <f t="shared" si="0"/>
        <v>21242.67</v>
      </c>
      <c r="D9" s="245">
        <f>13000+994.5+7248.17</f>
        <v>21242.67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34400</v>
      </c>
      <c r="D10" s="244"/>
      <c r="E10" s="245">
        <v>34400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379497.51</v>
      </c>
      <c r="D11" s="245">
        <f>234675.6+81806.4+1500+4644.78+20297.59+9525.23+21626.16+5421.75</f>
        <v>379497.51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2709137.1399999997</v>
      </c>
      <c r="D12" s="20">
        <f>'DOE25'!L197+'DOE25'!L215+'DOE25'!L233-F12-G12</f>
        <v>2692347.2399999998</v>
      </c>
      <c r="E12" s="244"/>
      <c r="F12" s="256">
        <f>'DOE25'!J197+'DOE25'!J215+'DOE25'!J233</f>
        <v>4757.3999999999996</v>
      </c>
      <c r="G12" s="53">
        <f>'DOE25'!K197+'DOE25'!K215+'DOE25'!K233</f>
        <v>12032.5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399386.11999999994</v>
      </c>
      <c r="D13" s="244"/>
      <c r="E13" s="20">
        <f>'DOE25'!L198+'DOE25'!L216+'DOE25'!L234-F13-G13</f>
        <v>399386.11999999994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3960752.37</v>
      </c>
      <c r="D14" s="20">
        <f>'DOE25'!L199+'DOE25'!L217+'DOE25'!L235-F14-G14</f>
        <v>3959011.41</v>
      </c>
      <c r="E14" s="244"/>
      <c r="F14" s="256">
        <f>'DOE25'!J199+'DOE25'!J217+'DOE25'!J235</f>
        <v>0</v>
      </c>
      <c r="G14" s="53">
        <f>'DOE25'!K199+'DOE25'!K217+'DOE25'!K235</f>
        <v>1740.96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2965921.76</v>
      </c>
      <c r="D15" s="20">
        <f>'DOE25'!L200+'DOE25'!L218+'DOE25'!L236-F15-G15</f>
        <v>2965921.76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87161.33</v>
      </c>
      <c r="D17" s="20">
        <f>'DOE25'!L243-F17-G17</f>
        <v>87161.33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2893764.38</v>
      </c>
      <c r="D25" s="244"/>
      <c r="E25" s="244"/>
      <c r="F25" s="259"/>
      <c r="G25" s="257"/>
      <c r="H25" s="258">
        <f>'DOE25'!L252+'DOE25'!L253+'DOE25'!L333+'DOE25'!L334</f>
        <v>2893764.38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801821.84</v>
      </c>
      <c r="D29" s="20">
        <f>'DOE25'!L350+'DOE25'!L351+'DOE25'!L352-'DOE25'!I359-F29-G29</f>
        <v>801226.84</v>
      </c>
      <c r="E29" s="244"/>
      <c r="F29" s="256">
        <f>'DOE25'!J350+'DOE25'!J351+'DOE25'!J352</f>
        <v>0</v>
      </c>
      <c r="G29" s="53">
        <f>'DOE25'!K350+'DOE25'!K351+'DOE25'!K352</f>
        <v>595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2942843.61</v>
      </c>
      <c r="D31" s="20">
        <f>'DOE25'!L282+'DOE25'!L301+'DOE25'!L320+'DOE25'!L325+'DOE25'!L326+'DOE25'!L327-F31-G31</f>
        <v>2942843.61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72466772.74000001</v>
      </c>
      <c r="E33" s="247">
        <f>SUM(E5:E31)</f>
        <v>788528.94</v>
      </c>
      <c r="F33" s="247">
        <f>SUM(F5:F31)</f>
        <v>156381.38</v>
      </c>
      <c r="G33" s="247">
        <f>SUM(G5:G31)</f>
        <v>35917.61</v>
      </c>
      <c r="H33" s="247">
        <f>SUM(H5:H31)</f>
        <v>2893764.38</v>
      </c>
    </row>
    <row r="35" spans="2:8" ht="12" thickBot="1" x14ac:dyDescent="0.25">
      <c r="B35" s="254" t="s">
        <v>881</v>
      </c>
      <c r="D35" s="255">
        <f>E33</f>
        <v>788528.94</v>
      </c>
      <c r="E35" s="250"/>
    </row>
    <row r="36" spans="2:8" ht="12" thickTop="1" x14ac:dyDescent="0.2">
      <c r="B36" t="s">
        <v>849</v>
      </c>
      <c r="D36" s="20">
        <f>D33</f>
        <v>72466772.74000001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EEEA-4EF6-45E3-904C-2B09C66BB37A}">
  <sheetPr transitionEvaluation="1" codeName="Sheet2">
    <tabColor indexed="10"/>
  </sheetPr>
  <dimension ref="A1:I156"/>
  <sheetViews>
    <sheetView zoomScale="75" workbookViewId="0">
      <pane ySplit="2" topLeftCell="A144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Derry Cooperative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3322389.61</v>
      </c>
      <c r="D9" s="95">
        <f>'DOE25'!G9</f>
        <v>925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156522.75</v>
      </c>
      <c r="D12" s="95">
        <f>'DOE25'!G12</f>
        <v>96404.13</v>
      </c>
      <c r="E12" s="95">
        <f>'DOE25'!H12</f>
        <v>22494.57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83010.259999999995</v>
      </c>
      <c r="D13" s="95">
        <f>'DOE25'!G13</f>
        <v>34819.019999999997</v>
      </c>
      <c r="E13" s="95">
        <f>'DOE25'!H13</f>
        <v>388396.83</v>
      </c>
      <c r="F13" s="95">
        <f>'DOE25'!I13</f>
        <v>0</v>
      </c>
      <c r="G13" s="95">
        <f>'DOE25'!J13</f>
        <v>356567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54877.7</v>
      </c>
      <c r="D14" s="95">
        <f>'DOE25'!G14</f>
        <v>1576.58</v>
      </c>
      <c r="E14" s="95">
        <f>'DOE25'!H14</f>
        <v>63.84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71554.42</v>
      </c>
      <c r="D16" s="95">
        <f>'DOE25'!G16</f>
        <v>53792.9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3688354.7399999998</v>
      </c>
      <c r="D19" s="41">
        <f>SUM(D9:D18)</f>
        <v>187517.62999999998</v>
      </c>
      <c r="E19" s="41">
        <f>SUM(E9:E18)</f>
        <v>410955.24000000005</v>
      </c>
      <c r="F19" s="41">
        <f>SUM(F9:F18)</f>
        <v>0</v>
      </c>
      <c r="G19" s="41">
        <f>SUM(G9:G18)</f>
        <v>356567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275421.45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96393.34</v>
      </c>
      <c r="D24" s="95">
        <f>'DOE25'!G25</f>
        <v>335.32</v>
      </c>
      <c r="E24" s="95">
        <f>'DOE25'!H25</f>
        <v>26075.95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24459.599999999999</v>
      </c>
      <c r="E30" s="95">
        <f>'DOE25'!H31</f>
        <v>101239.1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96393.34</v>
      </c>
      <c r="D32" s="41">
        <f>SUM(D22:D31)</f>
        <v>24794.92</v>
      </c>
      <c r="E32" s="41">
        <f>SUM(E22:E31)</f>
        <v>402736.5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71554.42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153258.10999999999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162722.71</v>
      </c>
      <c r="E40" s="95">
        <f>'DOE25'!H41</f>
        <v>8218.74</v>
      </c>
      <c r="F40" s="95">
        <f>'DOE25'!I41</f>
        <v>0</v>
      </c>
      <c r="G40" s="95">
        <f>'DOE25'!J41</f>
        <v>356567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3367148.87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3591961.4</v>
      </c>
      <c r="D42" s="41">
        <f>SUM(D34:D41)</f>
        <v>162722.71</v>
      </c>
      <c r="E42" s="41">
        <f>SUM(E34:E41)</f>
        <v>8218.74</v>
      </c>
      <c r="F42" s="41">
        <f>SUM(F34:F41)</f>
        <v>0</v>
      </c>
      <c r="G42" s="41">
        <f>SUM(G34:G41)</f>
        <v>356567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3688354.7399999998</v>
      </c>
      <c r="D43" s="41">
        <f>D42+D32</f>
        <v>187517.63</v>
      </c>
      <c r="E43" s="41">
        <f>E42+E32</f>
        <v>410955.24</v>
      </c>
      <c r="F43" s="41">
        <f>F42+F32</f>
        <v>0</v>
      </c>
      <c r="G43" s="41">
        <f>G42+G32</f>
        <v>356567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36846758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217150.90000000002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18534.38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2077.33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906306.96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543428.68000000005</v>
      </c>
      <c r="D53" s="95">
        <f>SUM('DOE25'!G90:G102)</f>
        <v>0</v>
      </c>
      <c r="E53" s="95">
        <f>SUM('DOE25'!H90:H102)</f>
        <v>31590.47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779113.96000000008</v>
      </c>
      <c r="D54" s="130">
        <f>SUM(D49:D53)</f>
        <v>906306.96</v>
      </c>
      <c r="E54" s="130">
        <f>SUM(E49:E53)</f>
        <v>31590.47</v>
      </c>
      <c r="F54" s="130">
        <f>SUM(F49:F53)</f>
        <v>0</v>
      </c>
      <c r="G54" s="130">
        <f>SUM(G49:G53)</f>
        <v>2077.33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37625871.960000001</v>
      </c>
      <c r="D55" s="22">
        <f>D48+D54</f>
        <v>906306.96</v>
      </c>
      <c r="E55" s="22">
        <f>E48+E54</f>
        <v>31590.47</v>
      </c>
      <c r="F55" s="22">
        <f>F48+F54</f>
        <v>0</v>
      </c>
      <c r="G55" s="22">
        <f>G48+G54</f>
        <v>2077.33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19466097.289999999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6373741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7468536.71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33308375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762659.09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500250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1136955.79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18642.29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2399864.88</v>
      </c>
      <c r="D70" s="130">
        <f>SUM(D64:D69)</f>
        <v>18642.29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35708239.880000003</v>
      </c>
      <c r="D73" s="130">
        <f>SUM(D71:D72)+D70+D62</f>
        <v>18642.29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518449.54</v>
      </c>
      <c r="D80" s="95">
        <f>SUM('DOE25'!G145:G153)</f>
        <v>502304.49</v>
      </c>
      <c r="E80" s="95">
        <f>SUM('DOE25'!H145:H153)</f>
        <v>2906868.2399999998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518449.54</v>
      </c>
      <c r="D83" s="131">
        <f>SUM(D77:D82)</f>
        <v>502304.49</v>
      </c>
      <c r="E83" s="131">
        <f>SUM(E77:E82)</f>
        <v>2906868.2399999998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73852561.38000001</v>
      </c>
      <c r="D96" s="86">
        <f>D55+D73+D83+D95</f>
        <v>1427253.74</v>
      </c>
      <c r="E96" s="86">
        <f>E55+E73+E83+E95</f>
        <v>2938458.71</v>
      </c>
      <c r="F96" s="86">
        <f>F55+F73+F83+F95</f>
        <v>0</v>
      </c>
      <c r="G96" s="86">
        <f>G55+G73+G95</f>
        <v>2077.33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38523226.299999997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13565205.829999998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293400.84000000003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87161.33</v>
      </c>
      <c r="D106" s="24" t="s">
        <v>312</v>
      </c>
      <c r="E106" s="95">
        <f>+ SUM('DOE25'!L325:L327)</f>
        <v>36330.980000000003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52468994.299999997</v>
      </c>
      <c r="D107" s="86">
        <f>SUM(D101:D106)</f>
        <v>0</v>
      </c>
      <c r="E107" s="86">
        <f>SUM(E101:E106)</f>
        <v>36330.980000000003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4947153.33</v>
      </c>
      <c r="D110" s="24" t="s">
        <v>312</v>
      </c>
      <c r="E110" s="95">
        <f>+('DOE25'!L273)+('DOE25'!L292)+('DOE25'!L311)</f>
        <v>2906512.63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1449300.25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767889.95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2709137.1399999997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399386.11999999994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3960752.37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2965921.76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1343082.26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17199540.920000002</v>
      </c>
      <c r="D120" s="86">
        <f>SUM(D110:D119)</f>
        <v>1343082.26</v>
      </c>
      <c r="E120" s="86">
        <f>SUM(E110:E119)</f>
        <v>2906512.63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1950000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943764.38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2077.33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-2077.33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2893764.38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72562299.599999994</v>
      </c>
      <c r="D137" s="86">
        <f>(D107+D120+D136)</f>
        <v>1343082.26</v>
      </c>
      <c r="E137" s="86">
        <f>(E107+E120+E136)</f>
        <v>2942843.61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20</v>
      </c>
      <c r="E143" s="153">
        <f>'DOE25'!I480</f>
        <v>20</v>
      </c>
      <c r="F143" s="153">
        <f>'DOE25'!J480</f>
        <v>20</v>
      </c>
      <c r="G143" s="24" t="s">
        <v>312</v>
      </c>
    </row>
    <row r="144" spans="1:9" x14ac:dyDescent="0.2">
      <c r="A144" s="136" t="s">
        <v>28</v>
      </c>
      <c r="B144" s="152" t="str">
        <f>'DOE25'!F481</f>
        <v>01/91</v>
      </c>
      <c r="C144" s="152" t="str">
        <f>'DOE25'!G481</f>
        <v>02/94</v>
      </c>
      <c r="D144" s="152" t="str">
        <f>'DOE25'!H481</f>
        <v>02/94</v>
      </c>
      <c r="E144" s="152" t="str">
        <f>'DOE25'!I481</f>
        <v>06/00</v>
      </c>
      <c r="F144" s="152" t="str">
        <f>'DOE25'!J481</f>
        <v>07/03</v>
      </c>
      <c r="G144" s="24" t="s">
        <v>312</v>
      </c>
    </row>
    <row r="145" spans="1:7" x14ac:dyDescent="0.2">
      <c r="A145" s="136" t="s">
        <v>29</v>
      </c>
      <c r="B145" s="152" t="str">
        <f>'DOE25'!F482</f>
        <v>06/11</v>
      </c>
      <c r="C145" s="152" t="str">
        <f>'DOE25'!G482</f>
        <v>06/14</v>
      </c>
      <c r="D145" s="152" t="str">
        <f>'DOE25'!H482</f>
        <v>06/14</v>
      </c>
      <c r="E145" s="152" t="str">
        <f>'DOE25'!I482</f>
        <v>06/20</v>
      </c>
      <c r="F145" s="152" t="str">
        <f>'DOE25'!J482</f>
        <v>07/23</v>
      </c>
      <c r="G145" s="24" t="s">
        <v>312</v>
      </c>
    </row>
    <row r="146" spans="1:7" x14ac:dyDescent="0.2">
      <c r="A146" s="136" t="s">
        <v>30</v>
      </c>
      <c r="B146" s="137">
        <f>'DOE25'!F483</f>
        <v>1400000</v>
      </c>
      <c r="C146" s="137">
        <f>'DOE25'!G483</f>
        <v>6375000</v>
      </c>
      <c r="D146" s="137">
        <f>'DOE25'!H483</f>
        <v>2125000</v>
      </c>
      <c r="E146" s="137">
        <f>'DOE25'!I483</f>
        <v>5115000</v>
      </c>
      <c r="F146" s="137">
        <f>'DOE25'!J483</f>
        <v>23959000</v>
      </c>
      <c r="G146" s="24" t="s">
        <v>312</v>
      </c>
    </row>
    <row r="147" spans="1:7" x14ac:dyDescent="0.2">
      <c r="A147" s="136" t="s">
        <v>31</v>
      </c>
      <c r="B147" s="137">
        <f>'DOE25'!F484</f>
        <v>6.9</v>
      </c>
      <c r="C147" s="137">
        <f>'DOE25'!G484</f>
        <v>5.2</v>
      </c>
      <c r="D147" s="137">
        <f>'DOE25'!H484</f>
        <v>5.3</v>
      </c>
      <c r="E147" s="137">
        <f>'DOE25'!I484</f>
        <v>4.9000000000000004</v>
      </c>
      <c r="F147" s="137">
        <f>'DOE25'!J484</f>
        <v>3.75</v>
      </c>
      <c r="G147" s="24" t="s">
        <v>312</v>
      </c>
    </row>
    <row r="148" spans="1:7" x14ac:dyDescent="0.2">
      <c r="A148" s="22" t="s">
        <v>32</v>
      </c>
      <c r="B148" s="137">
        <f>'DOE25'!F485</f>
        <v>140000</v>
      </c>
      <c r="C148" s="137">
        <f>'DOE25'!G485</f>
        <v>1600000</v>
      </c>
      <c r="D148" s="137">
        <f>'DOE25'!H485</f>
        <v>2020000</v>
      </c>
      <c r="E148" s="137">
        <f>'DOE25'!I485</f>
        <v>2805000</v>
      </c>
      <c r="F148" s="137">
        <f>'DOE25'!J485</f>
        <v>18000000</v>
      </c>
      <c r="G148" s="138">
        <f>SUM(B148:F148)</f>
        <v>24565000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70000</v>
      </c>
      <c r="C150" s="137">
        <f>'DOE25'!G487</f>
        <v>320000</v>
      </c>
      <c r="D150" s="137">
        <f>'DOE25'!H487</f>
        <v>105000</v>
      </c>
      <c r="E150" s="137">
        <f>'DOE25'!I487</f>
        <v>255000</v>
      </c>
      <c r="F150" s="137">
        <f>'DOE25'!J487</f>
        <v>1200000</v>
      </c>
      <c r="G150" s="138">
        <f t="shared" si="0"/>
        <v>1950000</v>
      </c>
    </row>
    <row r="151" spans="1:7" x14ac:dyDescent="0.2">
      <c r="A151" s="22" t="s">
        <v>35</v>
      </c>
      <c r="B151" s="137">
        <f>'DOE25'!F488</f>
        <v>70000</v>
      </c>
      <c r="C151" s="137">
        <f>'DOE25'!G488</f>
        <v>1280000</v>
      </c>
      <c r="D151" s="137">
        <f>'DOE25'!H488</f>
        <v>1915000</v>
      </c>
      <c r="E151" s="137">
        <f>'DOE25'!I488</f>
        <v>2550000</v>
      </c>
      <c r="F151" s="137">
        <f>'DOE25'!J488</f>
        <v>16800000</v>
      </c>
      <c r="G151" s="138">
        <f t="shared" si="0"/>
        <v>22615000</v>
      </c>
    </row>
    <row r="152" spans="1:7" x14ac:dyDescent="0.2">
      <c r="A152" s="22" t="s">
        <v>36</v>
      </c>
      <c r="B152" s="137">
        <f>'DOE25'!F489</f>
        <v>2485</v>
      </c>
      <c r="C152" s="137">
        <f>'DOE25'!G489</f>
        <v>147200</v>
      </c>
      <c r="D152" s="137">
        <f>'DOE25'!H489</f>
        <v>49350</v>
      </c>
      <c r="E152" s="137">
        <f>'DOE25'!I489</f>
        <v>6835330</v>
      </c>
      <c r="F152" s="137">
        <f>'DOE25'!J489</f>
        <v>4762500</v>
      </c>
      <c r="G152" s="138">
        <f t="shared" si="0"/>
        <v>11796865</v>
      </c>
    </row>
    <row r="153" spans="1:7" x14ac:dyDescent="0.2">
      <c r="A153" s="22" t="s">
        <v>37</v>
      </c>
      <c r="B153" s="137">
        <f>'DOE25'!F490</f>
        <v>72485</v>
      </c>
      <c r="C153" s="137">
        <f>'DOE25'!G490</f>
        <v>1427200</v>
      </c>
      <c r="D153" s="137">
        <f>'DOE25'!H490</f>
        <v>1964350</v>
      </c>
      <c r="E153" s="137">
        <f>'DOE25'!I490</f>
        <v>9385330</v>
      </c>
      <c r="F153" s="137">
        <f>'DOE25'!J490</f>
        <v>21562500</v>
      </c>
      <c r="G153" s="138">
        <f t="shared" si="0"/>
        <v>34411865</v>
      </c>
    </row>
    <row r="154" spans="1:7" x14ac:dyDescent="0.2">
      <c r="A154" s="22" t="s">
        <v>38</v>
      </c>
      <c r="B154" s="137">
        <f>'DOE25'!F491</f>
        <v>70000</v>
      </c>
      <c r="C154" s="137">
        <f>'DOE25'!G491</f>
        <v>320000</v>
      </c>
      <c r="D154" s="137">
        <f>'DOE25'!H491</f>
        <v>105000</v>
      </c>
      <c r="E154" s="137">
        <f>'DOE25'!I491</f>
        <v>255000</v>
      </c>
      <c r="F154" s="137">
        <f>'DOE25'!J491</f>
        <v>1200000</v>
      </c>
      <c r="G154" s="138">
        <f t="shared" si="0"/>
        <v>1950000</v>
      </c>
    </row>
    <row r="155" spans="1:7" x14ac:dyDescent="0.2">
      <c r="A155" s="22" t="s">
        <v>39</v>
      </c>
      <c r="B155" s="137">
        <f>'DOE25'!F492</f>
        <v>2485</v>
      </c>
      <c r="C155" s="137">
        <f>'DOE25'!G492</f>
        <v>64400</v>
      </c>
      <c r="D155" s="137">
        <f>'DOE25'!H492</f>
        <v>21591</v>
      </c>
      <c r="E155" s="137">
        <f>'DOE25'!I492</f>
        <v>127500</v>
      </c>
      <c r="F155" s="137">
        <f>'DOE25'!J492</f>
        <v>640500</v>
      </c>
      <c r="G155" s="138">
        <f t="shared" si="0"/>
        <v>856476</v>
      </c>
    </row>
    <row r="156" spans="1:7" x14ac:dyDescent="0.2">
      <c r="A156" s="22" t="s">
        <v>269</v>
      </c>
      <c r="B156" s="137">
        <f>'DOE25'!F493</f>
        <v>72485</v>
      </c>
      <c r="C156" s="137">
        <f>'DOE25'!G493</f>
        <v>384400</v>
      </c>
      <c r="D156" s="137">
        <f>'DOE25'!H493</f>
        <v>126591</v>
      </c>
      <c r="E156" s="137">
        <f>'DOE25'!I493</f>
        <v>382500</v>
      </c>
      <c r="F156" s="137">
        <f>'DOE25'!J493</f>
        <v>1840500</v>
      </c>
      <c r="G156" s="138">
        <f t="shared" si="0"/>
        <v>2806476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30BE-F50A-407E-82FC-4741C1674B37}">
  <sheetPr codeName="Sheet3">
    <tabColor indexed="43"/>
  </sheetPr>
  <dimension ref="A1:D42"/>
  <sheetViews>
    <sheetView workbookViewId="0">
      <selection activeCell="C15" sqref="C1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Derry Cooperative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12348</v>
      </c>
    </row>
    <row r="5" spans="1:4" x14ac:dyDescent="0.2">
      <c r="B5" t="s">
        <v>735</v>
      </c>
      <c r="C5" s="179">
        <f>IF('DOE25'!G655+'DOE25'!G660=0,0,ROUND('DOE25'!G662,0))</f>
        <v>11319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11942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38523226</v>
      </c>
      <c r="D10" s="182">
        <f>ROUND((C10/$C$28)*100,1)</f>
        <v>52.1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13565206</v>
      </c>
      <c r="D11" s="182">
        <f>ROUND((C11/$C$28)*100,1)</f>
        <v>18.3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293401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7853666</v>
      </c>
      <c r="D15" s="182">
        <f t="shared" ref="D15:D27" si="0">ROUND((C15/$C$28)*100,1)</f>
        <v>10.6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1449300</v>
      </c>
      <c r="D16" s="182">
        <f t="shared" si="0"/>
        <v>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767890</v>
      </c>
      <c r="D17" s="182">
        <f t="shared" si="0"/>
        <v>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2709137</v>
      </c>
      <c r="D18" s="182">
        <f t="shared" si="0"/>
        <v>3.7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399386</v>
      </c>
      <c r="D19" s="182">
        <f t="shared" si="0"/>
        <v>0.5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3960752</v>
      </c>
      <c r="D20" s="182">
        <f t="shared" si="0"/>
        <v>5.4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2965922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123492</v>
      </c>
      <c r="D24" s="182">
        <f t="shared" si="0"/>
        <v>0.2</v>
      </c>
    </row>
    <row r="25" spans="1:4" x14ac:dyDescent="0.2">
      <c r="A25">
        <v>5120</v>
      </c>
      <c r="B25" t="s">
        <v>751</v>
      </c>
      <c r="C25" s="179">
        <f>ROUND('DOE25'!L253+'DOE25'!L334,0)</f>
        <v>943764</v>
      </c>
      <c r="D25" s="182">
        <f t="shared" si="0"/>
        <v>1.3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436775.04000000004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73991917.040000007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73991917.040000007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1950000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36846758</v>
      </c>
      <c r="D35" s="182">
        <f t="shared" ref="D35:D40" si="1">ROUND((C35/$C$41)*100,1)</f>
        <v>47.7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812781.75999999791</v>
      </c>
      <c r="D36" s="182">
        <f t="shared" si="1"/>
        <v>1.1000000000000001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25839838</v>
      </c>
      <c r="D37" s="182">
        <f t="shared" si="1"/>
        <v>33.4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9887044</v>
      </c>
      <c r="D38" s="182">
        <f t="shared" si="1"/>
        <v>12.8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3927622</v>
      </c>
      <c r="D39" s="182">
        <f t="shared" si="1"/>
        <v>5.0999999999999996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77314043.75999999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8C0D-8598-414C-AD47-5F5DE9DC27D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Derry Cooperative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2010-08-24T19:46:12Z</cp:lastPrinted>
  <dcterms:created xsi:type="dcterms:W3CDTF">1997-12-04T19:04:30Z</dcterms:created>
  <dcterms:modified xsi:type="dcterms:W3CDTF">2025-01-02T14:19:37Z</dcterms:modified>
</cp:coreProperties>
</file>