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59CD6C0C-135F-41B5-86D6-9F036149B531}" xr6:coauthVersionLast="47" xr6:coauthVersionMax="47" xr10:uidLastSave="{00000000-0000-0000-0000-000000000000}"/>
  <workbookProtection workbookPassword="B70A" lockStructure="1"/>
  <bookViews>
    <workbookView xWindow="2940" yWindow="2940" windowWidth="21600" windowHeight="11505" tabRatio="855" xr2:uid="{757E8A86-7FE1-4127-B5C6-2A6980E3688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9" i="1" l="1"/>
  <c r="H572" i="1"/>
  <c r="F572" i="1"/>
  <c r="F653" i="1" s="1"/>
  <c r="I653" i="1" s="1"/>
  <c r="C19" i="12"/>
  <c r="C22" i="12" s="1"/>
  <c r="G307" i="1"/>
  <c r="L307" i="1" s="1"/>
  <c r="L320" i="1" s="1"/>
  <c r="C37" i="12"/>
  <c r="C40" i="12" s="1"/>
  <c r="C39" i="12"/>
  <c r="C38" i="12"/>
  <c r="C30" i="12"/>
  <c r="C29" i="12"/>
  <c r="C28" i="12"/>
  <c r="C31" i="12" s="1"/>
  <c r="C20" i="12"/>
  <c r="C21" i="12"/>
  <c r="C10" i="12"/>
  <c r="C11" i="12"/>
  <c r="C13" i="12" s="1"/>
  <c r="A13" i="12" s="1"/>
  <c r="C12" i="12"/>
  <c r="B39" i="12"/>
  <c r="B38" i="12"/>
  <c r="B36" i="12"/>
  <c r="C36" i="12"/>
  <c r="B37" i="12"/>
  <c r="B40" i="12" s="1"/>
  <c r="B30" i="12"/>
  <c r="B31" i="12" s="1"/>
  <c r="B29" i="12"/>
  <c r="B28" i="12"/>
  <c r="B21" i="12"/>
  <c r="B20" i="12"/>
  <c r="B19" i="12"/>
  <c r="B10" i="12"/>
  <c r="B11" i="12"/>
  <c r="F14" i="1"/>
  <c r="C14" i="2"/>
  <c r="D9" i="13"/>
  <c r="H531" i="1"/>
  <c r="L531" i="1" s="1"/>
  <c r="H91" i="1"/>
  <c r="F137" i="1"/>
  <c r="F139" i="1" s="1"/>
  <c r="I317" i="1"/>
  <c r="H317" i="1"/>
  <c r="I316" i="1"/>
  <c r="L316" i="1" s="1"/>
  <c r="E115" i="2" s="1"/>
  <c r="H316" i="1"/>
  <c r="H313" i="1"/>
  <c r="J307" i="1"/>
  <c r="J320" i="1" s="1"/>
  <c r="I307" i="1"/>
  <c r="I320" i="1" s="1"/>
  <c r="H307" i="1"/>
  <c r="H320" i="1" s="1"/>
  <c r="F307" i="1"/>
  <c r="H93" i="1"/>
  <c r="E53" i="2"/>
  <c r="H61" i="1"/>
  <c r="H71" i="1" s="1"/>
  <c r="E49" i="2" s="1"/>
  <c r="E54" i="2" s="1"/>
  <c r="H153" i="1"/>
  <c r="G153" i="1"/>
  <c r="H148" i="1"/>
  <c r="H154" i="1" s="1"/>
  <c r="H161" i="1" s="1"/>
  <c r="G89" i="1"/>
  <c r="G103" i="1" s="1"/>
  <c r="F51" i="1"/>
  <c r="F60" i="1"/>
  <c r="F71" i="1" s="1"/>
  <c r="K325" i="1"/>
  <c r="I325" i="1"/>
  <c r="H325" i="1"/>
  <c r="G325" i="1"/>
  <c r="F325" i="1"/>
  <c r="F329" i="1" s="1"/>
  <c r="L329" i="1" s="1"/>
  <c r="I324" i="1"/>
  <c r="G324" i="1"/>
  <c r="F324" i="1"/>
  <c r="L324" i="1" s="1"/>
  <c r="J324" i="1"/>
  <c r="J329" i="1" s="1"/>
  <c r="H324" i="1"/>
  <c r="H329" i="1" s="1"/>
  <c r="H327" i="1"/>
  <c r="J327" i="1"/>
  <c r="I327" i="1"/>
  <c r="G327" i="1"/>
  <c r="F327" i="1"/>
  <c r="C60" i="2"/>
  <c r="B2" i="13"/>
  <c r="F8" i="13"/>
  <c r="G8" i="13"/>
  <c r="L196" i="1"/>
  <c r="C17" i="10" s="1"/>
  <c r="L214" i="1"/>
  <c r="L232" i="1"/>
  <c r="D39" i="13"/>
  <c r="F13" i="13"/>
  <c r="G13" i="13"/>
  <c r="L198" i="1"/>
  <c r="C19" i="10" s="1"/>
  <c r="L216" i="1"/>
  <c r="L234" i="1"/>
  <c r="F16" i="13"/>
  <c r="G16" i="13"/>
  <c r="L201" i="1"/>
  <c r="C117" i="2" s="1"/>
  <c r="L219" i="1"/>
  <c r="L237" i="1"/>
  <c r="F5" i="13"/>
  <c r="G5" i="13"/>
  <c r="L189" i="1"/>
  <c r="C101" i="2" s="1"/>
  <c r="L190" i="1"/>
  <c r="C102" i="2" s="1"/>
  <c r="L191" i="1"/>
  <c r="C103" i="2" s="1"/>
  <c r="L192" i="1"/>
  <c r="L207" i="1"/>
  <c r="L208" i="1"/>
  <c r="L209" i="1"/>
  <c r="L210" i="1"/>
  <c r="L221" i="1" s="1"/>
  <c r="L225" i="1"/>
  <c r="L239" i="1" s="1"/>
  <c r="L226" i="1"/>
  <c r="C11" i="10" s="1"/>
  <c r="L227" i="1"/>
  <c r="L228" i="1"/>
  <c r="F6" i="13"/>
  <c r="G6" i="13"/>
  <c r="G33" i="13" s="1"/>
  <c r="L194" i="1"/>
  <c r="C15" i="10" s="1"/>
  <c r="L212" i="1"/>
  <c r="L230" i="1"/>
  <c r="F7" i="13"/>
  <c r="G7" i="13"/>
  <c r="L195" i="1"/>
  <c r="C16" i="10" s="1"/>
  <c r="L213" i="1"/>
  <c r="L231" i="1"/>
  <c r="F12" i="13"/>
  <c r="G12" i="13"/>
  <c r="L197" i="1"/>
  <c r="C18" i="10" s="1"/>
  <c r="L215" i="1"/>
  <c r="L233" i="1"/>
  <c r="F14" i="13"/>
  <c r="G14" i="13"/>
  <c r="L199" i="1"/>
  <c r="L217" i="1"/>
  <c r="L235" i="1"/>
  <c r="C115" i="2" s="1"/>
  <c r="F15" i="13"/>
  <c r="G15" i="13"/>
  <c r="D15" i="13" s="1"/>
  <c r="C15" i="13" s="1"/>
  <c r="L200" i="1"/>
  <c r="C21" i="10" s="1"/>
  <c r="L218" i="1"/>
  <c r="C116" i="2" s="1"/>
  <c r="L236" i="1"/>
  <c r="H652" i="1" s="1"/>
  <c r="F17" i="13"/>
  <c r="G17" i="13"/>
  <c r="L243" i="1"/>
  <c r="F18" i="13"/>
  <c r="G18" i="13"/>
  <c r="L244" i="1"/>
  <c r="C106" i="2" s="1"/>
  <c r="F19" i="13"/>
  <c r="D19" i="13" s="1"/>
  <c r="C19" i="13" s="1"/>
  <c r="G19" i="13"/>
  <c r="L245" i="1"/>
  <c r="F29" i="13"/>
  <c r="G29" i="13"/>
  <c r="L350" i="1"/>
  <c r="L354" i="1" s="1"/>
  <c r="L351" i="1"/>
  <c r="L352" i="1"/>
  <c r="H651" i="1" s="1"/>
  <c r="I359" i="1"/>
  <c r="J282" i="1"/>
  <c r="J301" i="1"/>
  <c r="F31" i="13" s="1"/>
  <c r="K282" i="1"/>
  <c r="G31" i="13" s="1"/>
  <c r="K301" i="1"/>
  <c r="K320" i="1"/>
  <c r="L268" i="1"/>
  <c r="E101" i="2" s="1"/>
  <c r="L269" i="1"/>
  <c r="L270" i="1"/>
  <c r="E103" i="2" s="1"/>
  <c r="L271" i="1"/>
  <c r="L273" i="1"/>
  <c r="E110" i="2"/>
  <c r="L274" i="1"/>
  <c r="E111" i="2" s="1"/>
  <c r="L275" i="1"/>
  <c r="E112" i="2" s="1"/>
  <c r="L276" i="1"/>
  <c r="L277" i="1"/>
  <c r="E114" i="2" s="1"/>
  <c r="L278" i="1"/>
  <c r="L279" i="1"/>
  <c r="F652" i="1" s="1"/>
  <c r="L280" i="1"/>
  <c r="L287" i="1"/>
  <c r="L288" i="1"/>
  <c r="E102" i="2" s="1"/>
  <c r="L289" i="1"/>
  <c r="L290" i="1"/>
  <c r="E104" i="2" s="1"/>
  <c r="L292" i="1"/>
  <c r="L293" i="1"/>
  <c r="L294" i="1"/>
  <c r="L295" i="1"/>
  <c r="L296" i="1"/>
  <c r="L297" i="1"/>
  <c r="L298" i="1"/>
  <c r="L299" i="1"/>
  <c r="L306" i="1"/>
  <c r="L308" i="1"/>
  <c r="L309" i="1"/>
  <c r="L311" i="1"/>
  <c r="L312" i="1"/>
  <c r="L313" i="1"/>
  <c r="L314" i="1"/>
  <c r="L315" i="1"/>
  <c r="L317" i="1"/>
  <c r="L318" i="1"/>
  <c r="L326" i="1"/>
  <c r="L327" i="1"/>
  <c r="L252" i="1"/>
  <c r="H25" i="13" s="1"/>
  <c r="L253" i="1"/>
  <c r="C25" i="10" s="1"/>
  <c r="L333" i="1"/>
  <c r="L343" i="1" s="1"/>
  <c r="L334" i="1"/>
  <c r="E124" i="2" s="1"/>
  <c r="L247" i="1"/>
  <c r="C29" i="10" s="1"/>
  <c r="L328" i="1"/>
  <c r="C11" i="13"/>
  <c r="C10" i="13"/>
  <c r="C9" i="13"/>
  <c r="L353" i="1"/>
  <c r="B4" i="12"/>
  <c r="B27" i="12"/>
  <c r="C27" i="12"/>
  <c r="B9" i="12"/>
  <c r="B13" i="12"/>
  <c r="C9" i="12"/>
  <c r="B18" i="12"/>
  <c r="B22" i="12"/>
  <c r="C18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51" i="2"/>
  <c r="G54" i="2" s="1"/>
  <c r="G53" i="2"/>
  <c r="F2" i="11"/>
  <c r="L603" i="1"/>
  <c r="H653" i="1" s="1"/>
  <c r="L602" i="1"/>
  <c r="G653" i="1"/>
  <c r="L601" i="1"/>
  <c r="C40" i="10"/>
  <c r="F52" i="1"/>
  <c r="C48" i="2" s="1"/>
  <c r="G52" i="1"/>
  <c r="H52" i="1"/>
  <c r="H104" i="1" s="1"/>
  <c r="I52" i="1"/>
  <c r="F86" i="1"/>
  <c r="C50" i="2" s="1"/>
  <c r="F103" i="1"/>
  <c r="H86" i="1"/>
  <c r="H103" i="1"/>
  <c r="I103" i="1"/>
  <c r="J103" i="1"/>
  <c r="C37" i="10"/>
  <c r="F113" i="1"/>
  <c r="F132" i="1" s="1"/>
  <c r="C38" i="10" s="1"/>
  <c r="F128" i="1"/>
  <c r="G113" i="1"/>
  <c r="G128" i="1"/>
  <c r="H113" i="1"/>
  <c r="H128" i="1"/>
  <c r="I113" i="1"/>
  <c r="I128" i="1"/>
  <c r="J113" i="1"/>
  <c r="J132" i="1" s="1"/>
  <c r="J128" i="1"/>
  <c r="F154" i="1"/>
  <c r="G139" i="1"/>
  <c r="D77" i="2" s="1"/>
  <c r="D83" i="2" s="1"/>
  <c r="G154" i="1"/>
  <c r="H139" i="1"/>
  <c r="E77" i="2" s="1"/>
  <c r="E83" i="2" s="1"/>
  <c r="I139" i="1"/>
  <c r="F77" i="2"/>
  <c r="I154" i="1"/>
  <c r="C10" i="10"/>
  <c r="C12" i="10"/>
  <c r="C13" i="10"/>
  <c r="L242" i="1"/>
  <c r="L246" i="1"/>
  <c r="L260" i="1"/>
  <c r="L261" i="1"/>
  <c r="L341" i="1"/>
  <c r="E134" i="2"/>
  <c r="L342" i="1"/>
  <c r="I655" i="1"/>
  <c r="I660" i="1"/>
  <c r="G651" i="1"/>
  <c r="I659" i="1"/>
  <c r="C4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E126" i="2" s="1"/>
  <c r="L337" i="1"/>
  <c r="L338" i="1"/>
  <c r="E129" i="2" s="1"/>
  <c r="L339" i="1"/>
  <c r="K343" i="1"/>
  <c r="L511" i="1"/>
  <c r="F539" i="1" s="1"/>
  <c r="L512" i="1"/>
  <c r="F540" i="1" s="1"/>
  <c r="K540" i="1" s="1"/>
  <c r="L513" i="1"/>
  <c r="F541" i="1"/>
  <c r="L516" i="1"/>
  <c r="G539" i="1" s="1"/>
  <c r="L517" i="1"/>
  <c r="G540" i="1" s="1"/>
  <c r="L518" i="1"/>
  <c r="G541" i="1" s="1"/>
  <c r="L521" i="1"/>
  <c r="H539" i="1" s="1"/>
  <c r="H542" i="1" s="1"/>
  <c r="L522" i="1"/>
  <c r="H540" i="1" s="1"/>
  <c r="L523" i="1"/>
  <c r="H541" i="1"/>
  <c r="L526" i="1"/>
  <c r="I539" i="1" s="1"/>
  <c r="L527" i="1"/>
  <c r="I540" i="1" s="1"/>
  <c r="L528" i="1"/>
  <c r="I541" i="1" s="1"/>
  <c r="L532" i="1"/>
  <c r="J540" i="1" s="1"/>
  <c r="L533" i="1"/>
  <c r="J541" i="1" s="1"/>
  <c r="E123" i="2"/>
  <c r="K262" i="1"/>
  <c r="J262" i="1"/>
  <c r="I262" i="1"/>
  <c r="H262" i="1"/>
  <c r="G262" i="1"/>
  <c r="F262" i="1"/>
  <c r="C124" i="2"/>
  <c r="A1" i="2"/>
  <c r="A2" i="2"/>
  <c r="C9" i="2"/>
  <c r="D9" i="2"/>
  <c r="E9" i="2"/>
  <c r="E19" i="2" s="1"/>
  <c r="F9" i="2"/>
  <c r="I431" i="1"/>
  <c r="J9" i="1" s="1"/>
  <c r="C10" i="2"/>
  <c r="D10" i="2"/>
  <c r="D19" i="2" s="1"/>
  <c r="E10" i="2"/>
  <c r="F10" i="2"/>
  <c r="F19" i="2" s="1"/>
  <c r="I432" i="1"/>
  <c r="J10" i="1"/>
  <c r="G10" i="2"/>
  <c r="C11" i="2"/>
  <c r="C19" i="2" s="1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F32" i="2" s="1"/>
  <c r="I440" i="1"/>
  <c r="I444" i="1" s="1"/>
  <c r="J23" i="1"/>
  <c r="G22" i="2" s="1"/>
  <c r="C23" i="2"/>
  <c r="D23" i="2"/>
  <c r="E23" i="2"/>
  <c r="E32" i="2" s="1"/>
  <c r="F23" i="2"/>
  <c r="I441" i="1"/>
  <c r="J24" i="1"/>
  <c r="G23" i="2" s="1"/>
  <c r="C24" i="2"/>
  <c r="D24" i="2"/>
  <c r="E24" i="2"/>
  <c r="F24" i="2"/>
  <c r="I442" i="1"/>
  <c r="J25" i="1" s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C42" i="2" s="1"/>
  <c r="C43" i="2" s="1"/>
  <c r="D35" i="2"/>
  <c r="D42" i="2" s="1"/>
  <c r="D43" i="2" s="1"/>
  <c r="E35" i="2"/>
  <c r="E42" i="2" s="1"/>
  <c r="F35" i="2"/>
  <c r="C36" i="2"/>
  <c r="D36" i="2"/>
  <c r="E36" i="2"/>
  <c r="F36" i="2"/>
  <c r="F42" i="2" s="1"/>
  <c r="F43" i="2" s="1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D48" i="2"/>
  <c r="F48" i="2"/>
  <c r="F55" i="2" s="1"/>
  <c r="F96" i="2" s="1"/>
  <c r="E50" i="2"/>
  <c r="C51" i="2"/>
  <c r="D51" i="2"/>
  <c r="E51" i="2"/>
  <c r="F51" i="2"/>
  <c r="C53" i="2"/>
  <c r="D53" i="2"/>
  <c r="F53" i="2"/>
  <c r="F54" i="2" s="1"/>
  <c r="C58" i="2"/>
  <c r="C62" i="2" s="1"/>
  <c r="C59" i="2"/>
  <c r="C61" i="2"/>
  <c r="D61" i="2"/>
  <c r="E61" i="2"/>
  <c r="E62" i="2" s="1"/>
  <c r="F61" i="2"/>
  <c r="F62" i="2" s="1"/>
  <c r="G61" i="2"/>
  <c r="G62" i="2" s="1"/>
  <c r="G73" i="2" s="1"/>
  <c r="D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/>
  <c r="E69" i="2"/>
  <c r="F69" i="2"/>
  <c r="G69" i="2"/>
  <c r="G70" i="2"/>
  <c r="C71" i="2"/>
  <c r="D71" i="2"/>
  <c r="E71" i="2"/>
  <c r="C72" i="2"/>
  <c r="E72" i="2"/>
  <c r="C79" i="2"/>
  <c r="E79" i="2"/>
  <c r="F79" i="2"/>
  <c r="F83" i="2" s="1"/>
  <c r="C80" i="2"/>
  <c r="D80" i="2"/>
  <c r="F80" i="2"/>
  <c r="C81" i="2"/>
  <c r="D81" i="2"/>
  <c r="E81" i="2"/>
  <c r="F81" i="2"/>
  <c r="C82" i="2"/>
  <c r="C85" i="2"/>
  <c r="F85" i="2"/>
  <c r="F95" i="2" s="1"/>
  <c r="C86" i="2"/>
  <c r="C95" i="2" s="1"/>
  <c r="F86" i="2"/>
  <c r="D88" i="2"/>
  <c r="E88" i="2"/>
  <c r="E95" i="2" s="1"/>
  <c r="F88" i="2"/>
  <c r="G88" i="2"/>
  <c r="G95" i="2" s="1"/>
  <c r="C89" i="2"/>
  <c r="D89" i="2"/>
  <c r="E89" i="2"/>
  <c r="E90" i="2"/>
  <c r="E91" i="2"/>
  <c r="E92" i="2"/>
  <c r="E93" i="2"/>
  <c r="E94" i="2"/>
  <c r="F89" i="2"/>
  <c r="G89" i="2"/>
  <c r="C90" i="2"/>
  <c r="D90" i="2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C105" i="2"/>
  <c r="D107" i="2"/>
  <c r="F107" i="2"/>
  <c r="G107" i="2"/>
  <c r="G137" i="2" s="1"/>
  <c r="C110" i="2"/>
  <c r="C113" i="2"/>
  <c r="E113" i="2"/>
  <c r="C114" i="2"/>
  <c r="E117" i="2"/>
  <c r="D119" i="2"/>
  <c r="D120" i="2"/>
  <c r="F120" i="2"/>
  <c r="G120" i="2"/>
  <c r="E122" i="2"/>
  <c r="D126" i="2"/>
  <c r="D136" i="2" s="1"/>
  <c r="D137" i="2" s="1"/>
  <c r="F126" i="2"/>
  <c r="K411" i="1"/>
  <c r="K419" i="1"/>
  <c r="K425" i="1"/>
  <c r="L255" i="1"/>
  <c r="C127" i="2" s="1"/>
  <c r="E127" i="2"/>
  <c r="L256" i="1"/>
  <c r="C128" i="2" s="1"/>
  <c r="L257" i="1"/>
  <c r="C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D151" i="2"/>
  <c r="E151" i="2"/>
  <c r="G151" i="2" s="1"/>
  <c r="F151" i="2"/>
  <c r="B152" i="2"/>
  <c r="C152" i="2"/>
  <c r="G152" i="2" s="1"/>
  <c r="D152" i="2"/>
  <c r="E152" i="2"/>
  <c r="F152" i="2"/>
  <c r="F490" i="1"/>
  <c r="B153" i="2" s="1"/>
  <c r="G490" i="1"/>
  <c r="C153" i="2"/>
  <c r="H490" i="1"/>
  <c r="K490" i="1" s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 s="1"/>
  <c r="G493" i="1"/>
  <c r="C156" i="2"/>
  <c r="H493" i="1"/>
  <c r="D156" i="2" s="1"/>
  <c r="I493" i="1"/>
  <c r="E156" i="2"/>
  <c r="J493" i="1"/>
  <c r="K493" i="1" s="1"/>
  <c r="F156" i="2"/>
  <c r="F19" i="1"/>
  <c r="G19" i="1"/>
  <c r="G608" i="1"/>
  <c r="H19" i="1"/>
  <c r="G609" i="1" s="1"/>
  <c r="I19" i="1"/>
  <c r="G610" i="1"/>
  <c r="J610" i="1" s="1"/>
  <c r="F33" i="1"/>
  <c r="G33" i="1"/>
  <c r="H33" i="1"/>
  <c r="I33" i="1"/>
  <c r="F43" i="1"/>
  <c r="G612" i="1" s="1"/>
  <c r="J612" i="1" s="1"/>
  <c r="F44" i="1"/>
  <c r="H607" i="1" s="1"/>
  <c r="J607" i="1" s="1"/>
  <c r="G43" i="1"/>
  <c r="H43" i="1"/>
  <c r="I43" i="1"/>
  <c r="I44" i="1" s="1"/>
  <c r="H610" i="1" s="1"/>
  <c r="F169" i="1"/>
  <c r="I169" i="1"/>
  <c r="F175" i="1"/>
  <c r="G175" i="1"/>
  <c r="H175" i="1"/>
  <c r="H184" i="1" s="1"/>
  <c r="I175" i="1"/>
  <c r="I184" i="1" s="1"/>
  <c r="J175" i="1"/>
  <c r="J184" i="1" s="1"/>
  <c r="F180" i="1"/>
  <c r="G180" i="1"/>
  <c r="H180" i="1"/>
  <c r="I180" i="1"/>
  <c r="F203" i="1"/>
  <c r="F249" i="1" s="1"/>
  <c r="F263" i="1" s="1"/>
  <c r="G203" i="1"/>
  <c r="H203" i="1"/>
  <c r="I203" i="1"/>
  <c r="J203" i="1"/>
  <c r="K203" i="1"/>
  <c r="F221" i="1"/>
  <c r="G221" i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L262" i="1"/>
  <c r="F282" i="1"/>
  <c r="G282" i="1"/>
  <c r="H282" i="1"/>
  <c r="I282" i="1"/>
  <c r="F301" i="1"/>
  <c r="G301" i="1"/>
  <c r="G330" i="1" s="1"/>
  <c r="G344" i="1" s="1"/>
  <c r="H301" i="1"/>
  <c r="I301" i="1"/>
  <c r="F320" i="1"/>
  <c r="G320" i="1"/>
  <c r="G329" i="1"/>
  <c r="I329" i="1"/>
  <c r="K329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H400" i="1" s="1"/>
  <c r="H634" i="1" s="1"/>
  <c r="I385" i="1"/>
  <c r="I400" i="1" s="1"/>
  <c r="F393" i="1"/>
  <c r="F400" i="1" s="1"/>
  <c r="H633" i="1" s="1"/>
  <c r="J633" i="1" s="1"/>
  <c r="G393" i="1"/>
  <c r="H393" i="1"/>
  <c r="I393" i="1"/>
  <c r="F399" i="1"/>
  <c r="G399" i="1"/>
  <c r="H399" i="1"/>
  <c r="I399" i="1"/>
  <c r="L405" i="1"/>
  <c r="L406" i="1"/>
  <c r="L411" i="1" s="1"/>
  <c r="L407" i="1"/>
  <c r="L408" i="1"/>
  <c r="L409" i="1"/>
  <c r="L410" i="1"/>
  <c r="F411" i="1"/>
  <c r="F426" i="1" s="1"/>
  <c r="G411" i="1"/>
  <c r="H411" i="1"/>
  <c r="H426" i="1" s="1"/>
  <c r="I411" i="1"/>
  <c r="J411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 s="1"/>
  <c r="F438" i="1"/>
  <c r="G438" i="1"/>
  <c r="G630" i="1" s="1"/>
  <c r="J630" i="1" s="1"/>
  <c r="H438" i="1"/>
  <c r="G631" i="1" s="1"/>
  <c r="F444" i="1"/>
  <c r="G444" i="1"/>
  <c r="G451" i="1" s="1"/>
  <c r="H630" i="1" s="1"/>
  <c r="H444" i="1"/>
  <c r="H451" i="1" s="1"/>
  <c r="H631" i="1" s="1"/>
  <c r="F450" i="1"/>
  <c r="F451" i="1" s="1"/>
  <c r="H629" i="1" s="1"/>
  <c r="G450" i="1"/>
  <c r="H450" i="1"/>
  <c r="F460" i="1"/>
  <c r="G460" i="1"/>
  <c r="H460" i="1"/>
  <c r="H466" i="1" s="1"/>
  <c r="H614" i="1" s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K514" i="1"/>
  <c r="K535" i="1" s="1"/>
  <c r="F519" i="1"/>
  <c r="F535" i="1" s="1"/>
  <c r="G519" i="1"/>
  <c r="H519" i="1"/>
  <c r="I519" i="1"/>
  <c r="J519" i="1"/>
  <c r="J535" i="1" s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I534" i="1"/>
  <c r="J534" i="1"/>
  <c r="K534" i="1"/>
  <c r="L547" i="1"/>
  <c r="L548" i="1"/>
  <c r="L549" i="1"/>
  <c r="L550" i="1" s="1"/>
  <c r="L561" i="1" s="1"/>
  <c r="F550" i="1"/>
  <c r="G550" i="1"/>
  <c r="G561" i="1" s="1"/>
  <c r="H550" i="1"/>
  <c r="H561" i="1" s="1"/>
  <c r="I550" i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59" i="1"/>
  <c r="F560" i="1"/>
  <c r="F561" i="1" s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J639" i="1" s="1"/>
  <c r="I588" i="1"/>
  <c r="H640" i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13" i="1"/>
  <c r="J613" i="1" s="1"/>
  <c r="G61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3" i="1"/>
  <c r="G634" i="1"/>
  <c r="G639" i="1"/>
  <c r="G640" i="1"/>
  <c r="J640" i="1" s="1"/>
  <c r="G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 s="1"/>
  <c r="D18" i="13"/>
  <c r="C18" i="13" s="1"/>
  <c r="E70" i="2"/>
  <c r="L529" i="1"/>
  <c r="L519" i="1"/>
  <c r="I438" i="1"/>
  <c r="G632" i="1"/>
  <c r="G184" i="1"/>
  <c r="E80" i="2"/>
  <c r="I161" i="1"/>
  <c r="I132" i="1"/>
  <c r="H132" i="1"/>
  <c r="G132" i="1"/>
  <c r="G466" i="1"/>
  <c r="H613" i="1" s="1"/>
  <c r="F466" i="1"/>
  <c r="H612" i="1" s="1"/>
  <c r="I561" i="1"/>
  <c r="J561" i="1"/>
  <c r="I104" i="1"/>
  <c r="G535" i="1"/>
  <c r="H44" i="1"/>
  <c r="H609" i="1" s="1"/>
  <c r="L560" i="1"/>
  <c r="K561" i="1"/>
  <c r="I535" i="1"/>
  <c r="I426" i="1"/>
  <c r="G426" i="1"/>
  <c r="F184" i="1"/>
  <c r="G44" i="1"/>
  <c r="H608" i="1" s="1"/>
  <c r="J608" i="1" s="1"/>
  <c r="K426" i="1"/>
  <c r="G126" i="2" s="1"/>
  <c r="G136" i="2" s="1"/>
  <c r="C32" i="2"/>
  <c r="C26" i="10"/>
  <c r="D95" i="2"/>
  <c r="D73" i="2"/>
  <c r="G148" i="2"/>
  <c r="D7" i="13"/>
  <c r="C7" i="13" s="1"/>
  <c r="G161" i="1"/>
  <c r="G155" i="2"/>
  <c r="D29" i="13"/>
  <c r="C29" i="13" s="1"/>
  <c r="D17" i="13"/>
  <c r="C17" i="13" s="1"/>
  <c r="E13" i="13"/>
  <c r="E8" i="13"/>
  <c r="C8" i="13" s="1"/>
  <c r="K249" i="1"/>
  <c r="K263" i="1" s="1"/>
  <c r="J249" i="1"/>
  <c r="J263" i="1" s="1"/>
  <c r="H249" i="1"/>
  <c r="H263" i="1" s="1"/>
  <c r="G249" i="1"/>
  <c r="G263" i="1" s="1"/>
  <c r="C13" i="13"/>
  <c r="D6" i="13"/>
  <c r="C6" i="13" s="1"/>
  <c r="K541" i="1" l="1"/>
  <c r="I185" i="1"/>
  <c r="G620" i="1" s="1"/>
  <c r="J620" i="1" s="1"/>
  <c r="I330" i="1"/>
  <c r="I344" i="1" s="1"/>
  <c r="E136" i="2"/>
  <c r="C130" i="2"/>
  <c r="C133" i="2" s="1"/>
  <c r="L400" i="1"/>
  <c r="F161" i="1"/>
  <c r="C39" i="10" s="1"/>
  <c r="C77" i="2"/>
  <c r="C83" i="2" s="1"/>
  <c r="G156" i="2"/>
  <c r="K539" i="1"/>
  <c r="K542" i="1" s="1"/>
  <c r="F542" i="1"/>
  <c r="J539" i="1"/>
  <c r="J542" i="1" s="1"/>
  <c r="L534" i="1"/>
  <c r="A40" i="12"/>
  <c r="E73" i="2"/>
  <c r="F330" i="1"/>
  <c r="F344" i="1" s="1"/>
  <c r="J609" i="1"/>
  <c r="E43" i="2"/>
  <c r="I542" i="1"/>
  <c r="J634" i="1"/>
  <c r="A22" i="12"/>
  <c r="H330" i="1"/>
  <c r="H344" i="1" s="1"/>
  <c r="J614" i="1"/>
  <c r="L426" i="1"/>
  <c r="G628" i="1" s="1"/>
  <c r="J628" i="1" s="1"/>
  <c r="G625" i="1"/>
  <c r="J625" i="1" s="1"/>
  <c r="C27" i="10"/>
  <c r="C107" i="2"/>
  <c r="C49" i="2"/>
  <c r="C54" i="2" s="1"/>
  <c r="F104" i="1"/>
  <c r="F185" i="1" s="1"/>
  <c r="G617" i="1" s="1"/>
  <c r="J617" i="1" s="1"/>
  <c r="J185" i="1"/>
  <c r="G153" i="2"/>
  <c r="J19" i="1"/>
  <c r="G611" i="1" s="1"/>
  <c r="G9" i="2"/>
  <c r="G19" i="2" s="1"/>
  <c r="H185" i="1"/>
  <c r="G619" i="1" s="1"/>
  <c r="J619" i="1" s="1"/>
  <c r="C25" i="13"/>
  <c r="H33" i="13"/>
  <c r="H535" i="1"/>
  <c r="G36" i="2"/>
  <c r="G42" i="2" s="1"/>
  <c r="G43" i="2" s="1"/>
  <c r="J43" i="1"/>
  <c r="G104" i="1"/>
  <c r="G185" i="1" s="1"/>
  <c r="G618" i="1" s="1"/>
  <c r="J618" i="1" s="1"/>
  <c r="A31" i="12"/>
  <c r="J631" i="1"/>
  <c r="G32" i="2"/>
  <c r="G542" i="1"/>
  <c r="C55" i="2"/>
  <c r="F33" i="13"/>
  <c r="H650" i="1"/>
  <c r="H654" i="1" s="1"/>
  <c r="E105" i="2"/>
  <c r="E107" i="2" s="1"/>
  <c r="C23" i="10"/>
  <c r="C35" i="10"/>
  <c r="L514" i="1"/>
  <c r="L535" i="1" s="1"/>
  <c r="E48" i="2"/>
  <c r="E55" i="2" s="1"/>
  <c r="C123" i="2"/>
  <c r="G48" i="2"/>
  <c r="G55" i="2" s="1"/>
  <c r="G96" i="2" s="1"/>
  <c r="C104" i="2"/>
  <c r="E16" i="13"/>
  <c r="C16" i="13" s="1"/>
  <c r="H534" i="1"/>
  <c r="C122" i="2"/>
  <c r="C136" i="2" s="1"/>
  <c r="C112" i="2"/>
  <c r="L282" i="1"/>
  <c r="D52" i="2"/>
  <c r="D54" i="2" s="1"/>
  <c r="D55" i="2" s="1"/>
  <c r="D96" i="2" s="1"/>
  <c r="L325" i="1"/>
  <c r="E106" i="2" s="1"/>
  <c r="G652" i="1"/>
  <c r="I652" i="1" s="1"/>
  <c r="F651" i="1"/>
  <c r="I651" i="1" s="1"/>
  <c r="D5" i="13"/>
  <c r="L301" i="1"/>
  <c r="G650" i="1" s="1"/>
  <c r="G654" i="1" s="1"/>
  <c r="I450" i="1"/>
  <c r="I451" i="1" s="1"/>
  <c r="H632" i="1" s="1"/>
  <c r="J632" i="1" s="1"/>
  <c r="H637" i="1"/>
  <c r="J637" i="1" s="1"/>
  <c r="C111" i="2"/>
  <c r="F122" i="2"/>
  <c r="F136" i="2" s="1"/>
  <c r="F137" i="2" s="1"/>
  <c r="F22" i="13"/>
  <c r="C22" i="13" s="1"/>
  <c r="E116" i="2"/>
  <c r="E120" i="2" s="1"/>
  <c r="L203" i="1"/>
  <c r="C20" i="10"/>
  <c r="G635" i="1"/>
  <c r="J635" i="1" s="1"/>
  <c r="J330" i="1"/>
  <c r="G615" i="1"/>
  <c r="J615" i="1" s="1"/>
  <c r="C32" i="10"/>
  <c r="D14" i="13"/>
  <c r="C14" i="13" s="1"/>
  <c r="C24" i="10"/>
  <c r="J33" i="1"/>
  <c r="K330" i="1"/>
  <c r="K344" i="1" s="1"/>
  <c r="D12" i="13"/>
  <c r="C12" i="13" s="1"/>
  <c r="E137" i="2" l="1"/>
  <c r="G662" i="1"/>
  <c r="C5" i="10" s="1"/>
  <c r="G657" i="1"/>
  <c r="C120" i="2"/>
  <c r="C137" i="2" s="1"/>
  <c r="H662" i="1"/>
  <c r="C6" i="10" s="1"/>
  <c r="H657" i="1"/>
  <c r="G616" i="1"/>
  <c r="J616" i="1" s="1"/>
  <c r="J44" i="1"/>
  <c r="H611" i="1" s="1"/>
  <c r="G621" i="1"/>
  <c r="J621" i="1" s="1"/>
  <c r="G636" i="1"/>
  <c r="C96" i="2"/>
  <c r="C5" i="13"/>
  <c r="J344" i="1"/>
  <c r="H638" i="1"/>
  <c r="J638" i="1" s="1"/>
  <c r="E96" i="2"/>
  <c r="C41" i="10"/>
  <c r="D35" i="10"/>
  <c r="C36" i="10"/>
  <c r="C28" i="10"/>
  <c r="D27" i="10"/>
  <c r="L249" i="1"/>
  <c r="L263" i="1" s="1"/>
  <c r="G622" i="1" s="1"/>
  <c r="J622" i="1" s="1"/>
  <c r="F650" i="1"/>
  <c r="E33" i="13"/>
  <c r="D35" i="13" s="1"/>
  <c r="D31" i="13"/>
  <c r="C31" i="13" s="1"/>
  <c r="L330" i="1"/>
  <c r="L344" i="1" s="1"/>
  <c r="G623" i="1" s="1"/>
  <c r="J623" i="1" s="1"/>
  <c r="D23" i="10"/>
  <c r="J611" i="1"/>
  <c r="G627" i="1"/>
  <c r="J627" i="1" s="1"/>
  <c r="H636" i="1"/>
  <c r="D22" i="10" l="1"/>
  <c r="D26" i="10"/>
  <c r="C30" i="10"/>
  <c r="D10" i="10"/>
  <c r="D11" i="10"/>
  <c r="D25" i="10"/>
  <c r="D13" i="10"/>
  <c r="D18" i="10"/>
  <c r="D16" i="10"/>
  <c r="D21" i="10"/>
  <c r="D15" i="10"/>
  <c r="D19" i="10"/>
  <c r="D12" i="10"/>
  <c r="D17" i="10"/>
  <c r="D36" i="10"/>
  <c r="D41" i="10" s="1"/>
  <c r="J636" i="1"/>
  <c r="D40" i="10"/>
  <c r="D37" i="10"/>
  <c r="D38" i="10"/>
  <c r="D39" i="10"/>
  <c r="D20" i="10"/>
  <c r="D24" i="10"/>
  <c r="F654" i="1"/>
  <c r="I650" i="1"/>
  <c r="I654" i="1" s="1"/>
  <c r="H646" i="1"/>
  <c r="D33" i="13"/>
  <c r="D36" i="13" s="1"/>
  <c r="F662" i="1" l="1"/>
  <c r="C4" i="10" s="1"/>
  <c r="F657" i="1"/>
  <c r="I657" i="1"/>
  <c r="I662" i="1"/>
  <c r="C7" i="10" s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25B52E8-5FA3-4ACE-856D-479D3398EA3C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57C17A9-D69E-4DDC-B041-2A3D9963C8F8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8FA159B-C3A0-4F45-A8A5-9004CE6E7FA3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2AFAF03-F9A7-4130-81BA-472642D24C02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9AC7179D-961D-4404-AF64-81F25B806389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3B97973-94AD-4F69-96B6-CB62167F4AE7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86ED7872-F5B2-4135-B5FF-E91EED4019A8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46FA91F8-48F0-45F5-AD39-25DEAAD6742C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EB413BCB-93F7-4F7C-85EE-5504D78160D3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AB68E7E5-5B5B-4254-BABF-E1C54BEBDE99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7C6F62AE-BF44-4C9D-9D54-89CCD7905702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B25229B-BEA9-4577-93FC-68A77F7ECA4E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<sst xmlns="http://schemas.openxmlformats.org/spreadsheetml/2006/main" count="3858" uniqueCount="895">
  <si>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</si>
  <si>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</si>
  <si>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</si>
  <si>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</si>
  <si>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</si>
  <si>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</si>
  <si>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</si>
  <si>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</si>
  <si>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</si>
  <si>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</si>
  <si>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</si>
  <si>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</si>
  <si>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</si>
  <si>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</si>
  <si>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</si>
  <si>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</si>
  <si>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</si>
  <si>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</si>
  <si>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</si>
  <si>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</si>
  <si>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</si>
  <si>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</si>
  <si>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</si>
  <si>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</si>
  <si>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</si>
  <si>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</si>
  <si>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</si>
  <si>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</si>
  <si>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</si>
  <si>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</si>
  <si>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</si>
  <si>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</si>
  <si>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</si>
  <si>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</si>
  <si>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</si>
  <si>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</si>
  <si>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</si>
  <si>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</si>
  <si>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</si>
  <si>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</si>
  <si>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</si>
  <si>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</si>
  <si>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</si>
  <si>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</si>
  <si>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</si>
  <si>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</si>
  <si>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</si>
  <si>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</si>
  <si>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</si>
  <si>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</si>
  <si>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</si>
  <si>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</si>
  <si>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</si>
  <si>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</si>
  <si>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</si>
  <si>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</si>
  <si>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</si>
  <si>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</si>
  <si>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</si>
  <si>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</si>
  <si>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</si>
  <si>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</si>
  <si>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</si>
  <si>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</si>
  <si>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</si>
  <si>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</si>
  <si>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</si>
  <si>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</si>
  <si>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</si>
  <si>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</si>
  <si>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</si>
  <si>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</si>
  <si>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</si>
  <si>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</si>
  <si>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</si>
  <si>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</si>
  <si>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</si>
  <si>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</si>
  <si>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</si>
  <si>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</si>
  <si>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</si>
  <si>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</si>
  <si>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</si>
  <si>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</si>
  <si>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</si>
  <si>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</si>
  <si>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</si>
  <si>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</si>
  <si>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</si>
  <si>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</si>
  <si>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</si>
  <si>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</si>
  <si>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</si>
  <si>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</si>
  <si>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</si>
  <si>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</si>
  <si>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</si>
  <si>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</si>
  <si>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</si>
  <si>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</si>
  <si>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</si>
  <si>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</si>
  <si>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</si>
  <si>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</si>
  <si>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</si>
  <si>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</si>
  <si>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</si>
  <si>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</si>
  <si>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</si>
  <si>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</si>
  <si>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</si>
  <si>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</si>
  <si>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</si>
  <si>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</si>
  <si>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</si>
  <si>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</si>
  <si>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</si>
  <si>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</si>
  <si>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</si>
  <si>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</si>
  <si>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</si>
  <si>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</si>
  <si>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</si>
  <si>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</si>
  <si>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</si>
  <si>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</si>
  <si>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</si>
  <si>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</si>
  <si>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</si>
  <si>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</si>
  <si>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</si>
  <si>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</si>
  <si>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</si>
  <si>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</si>
  <si>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</si>
  <si>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</si>
  <si>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</si>
  <si>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</si>
  <si>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</si>
  <si>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</si>
  <si>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</si>
  <si>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</si>
  <si>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</si>
  <si>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</si>
  <si>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</si>
  <si>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</si>
  <si>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</si>
  <si>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</si>
  <si>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</si>
  <si>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</si>
  <si>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</si>
  <si>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</si>
  <si>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</si>
  <si>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</si>
  <si>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</si>
  <si>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</si>
  <si>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</si>
  <si>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</si>
  <si>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</si>
  <si>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</si>
  <si>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</si>
  <si>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</si>
  <si>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</si>
  <si>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</si>
  <si>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</si>
  <si>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</si>
  <si>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</si>
  <si>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</si>
  <si>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</si>
  <si>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</si>
  <si>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</si>
  <si>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</si>
  <si>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</si>
  <si>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</si>
  <si>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</si>
  <si>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</si>
  <si>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</si>
  <si>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</si>
  <si>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</si>
  <si>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</si>
  <si>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</si>
  <si>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</si>
  <si>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</si>
  <si>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</si>
  <si>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</si>
  <si>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</si>
  <si>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</si>
  <si>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</si>
  <si>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</si>
  <si>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</si>
  <si>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</si>
  <si>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</si>
  <si>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</si>
  <si>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</si>
  <si>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</si>
  <si>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</si>
  <si>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</si>
  <si>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</si>
  <si>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</si>
  <si>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</si>
  <si>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</si>
  <si>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</si>
  <si>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</si>
  <si>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</si>
  <si>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</si>
  <si>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</si>
  <si>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</si>
  <si>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</si>
  <si>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</si>
  <si>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</si>
  <si>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</si>
  <si>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</si>
  <si>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</si>
  <si>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</si>
  <si>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</si>
  <si>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</si>
  <si>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</si>
  <si>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</si>
  <si>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</si>
  <si>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</si>
  <si>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</si>
  <si>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</si>
  <si>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</si>
  <si>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</si>
  <si>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</si>
  <si>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</si>
  <si>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</si>
  <si>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</si>
  <si>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</si>
  <si>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</si>
  <si>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</si>
  <si>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</si>
  <si>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</si>
  <si>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</si>
  <si>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</si>
  <si>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</si>
  <si>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</si>
  <si>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</si>
  <si>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</si>
  <si>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</si>
  <si>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</si>
  <si>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</si>
  <si>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</si>
  <si>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</si>
  <si>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</si>
  <si>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</si>
  <si>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</si>
  <si>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</si>
  <si>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</si>
  <si>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</si>
  <si>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</si>
  <si>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</si>
  <si>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</si>
  <si>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</si>
  <si>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</si>
  <si>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</si>
  <si>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</si>
  <si>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</si>
  <si>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</si>
  <si>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</si>
  <si>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</si>
  <si>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</si>
  <si>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</si>
  <si>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</si>
  <si>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</si>
  <si>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</si>
  <si>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</si>
  <si>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</si>
  <si>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</si>
  <si>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</si>
  <si>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</si>
  <si>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</si>
  <si>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</si>
  <si>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</si>
  <si>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</si>
  <si>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</si>
  <si>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</si>
  <si>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</si>
  <si>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</si>
  <si>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</si>
  <si>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</si>
  <si>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</si>
  <si>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</si>
  <si>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</si>
  <si>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</si>
  <si>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</si>
  <si>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</si>
  <si>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</si>
  <si>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</si>
  <si>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</si>
  <si>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</si>
  <si>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</si>
  <si>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</si>
  <si>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</si>
  <si>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</si>
  <si>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</si>
  <si>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</si>
  <si>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</si>
  <si>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</si>
  <si>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</si>
  <si>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</si>
  <si>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</si>
  <si>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</si>
  <si>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</si>
  <si>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</si>
  <si>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</si>
  <si>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</si>
  <si>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</si>
  <si>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</si>
  <si>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</si>
  <si>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</si>
  <si>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</si>
  <si>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</si>
  <si>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</si>
  <si>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</si>
  <si>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</si>
  <si>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</si>
  <si>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</si>
  <si>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</si>
  <si>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</si>
  <si>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</si>
  <si>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</si>
  <si>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</si>
  <si>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</si>
  <si>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</si>
  <si>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</si>
  <si>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</si>
  <si>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</si>
  <si>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</si>
  <si>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</si>
  <si>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</si>
  <si>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</si>
  <si>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</si>
  <si>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</si>
  <si>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</si>
  <si>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</si>
  <si>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</si>
  <si>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</si>
  <si>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</si>
  <si>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</si>
  <si>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</si>
  <si>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</si>
  <si>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</si>
  <si>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</si>
  <si>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</si>
  <si>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</si>
  <si>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</si>
  <si>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</si>
  <si>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</si>
  <si>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</si>
  <si>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</si>
  <si>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</si>
  <si>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</si>
  <si>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</si>
  <si>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</si>
  <si>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</si>
  <si>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</si>
  <si>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</si>
  <si>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</si>
  <si>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</si>
  <si>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</si>
  <si>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</si>
  <si>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</si>
  <si>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</si>
  <si>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</si>
  <si>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</si>
  <si>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</si>
  <si>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</si>
  <si>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</si>
  <si>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</si>
  <si>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</si>
  <si>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</si>
  <si>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</si>
  <si>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</si>
  <si>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</si>
  <si>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</si>
  <si>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</si>
  <si>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</si>
  <si>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</si>
  <si>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</si>
  <si>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</si>
  <si>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</si>
  <si>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</si>
  <si>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</si>
  <si>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</si>
  <si>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</si>
  <si>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</si>
  <si>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</si>
  <si>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</si>
  <si>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</si>
  <si>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</si>
  <si>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</si>
  <si>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</si>
  <si>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</si>
  <si>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</si>
  <si>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</si>
  <si>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</si>
  <si>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</si>
  <si>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</si>
  <si>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</si>
  <si>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</si>
  <si>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</si>
  <si>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</si>
  <si>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</si>
  <si>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</si>
  <si>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</si>
  <si>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</si>
  <si>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</si>
  <si>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</si>
  <si>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</si>
  <si>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</si>
  <si>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</si>
  <si>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</si>
  <si>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</si>
  <si>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</si>
  <si>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</si>
  <si>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</si>
  <si>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</si>
  <si>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</si>
  <si>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</si>
  <si>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</si>
  <si>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</si>
  <si>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</si>
  <si>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</si>
  <si>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</si>
  <si>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</si>
  <si>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</si>
  <si>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</si>
  <si>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</si>
  <si>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</si>
  <si>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</si>
  <si>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</si>
  <si>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</si>
  <si>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</si>
  <si>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</si>
  <si>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</si>
  <si>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</si>
  <si>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</si>
  <si>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</si>
  <si>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</si>
  <si>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</si>
  <si>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</si>
  <si>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</si>
  <si>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</si>
  <si>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</si>
  <si>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</si>
  <si>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</si>
  <si>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</si>
  <si>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</si>
  <si>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</si>
  <si>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</si>
  <si>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</si>
  <si>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</si>
  <si>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</si>
  <si>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</si>
  <si>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</si>
  <si>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</si>
  <si>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</si>
  <si>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</si>
  <si>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</si>
  <si>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</si>
  <si>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</si>
  <si>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</si>
  <si>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</si>
  <si>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</si>
  <si>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</si>
  <si>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</si>
  <si>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</si>
  <si>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</si>
  <si>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</si>
  <si>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</si>
  <si>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</si>
  <si>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</si>
  <si>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</si>
  <si>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</si>
  <si>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</si>
  <si>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</si>
  <si>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</si>
  <si>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</si>
  <si>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</si>
  <si>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</si>
  <si>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</si>
  <si>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</si>
  <si>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</si>
  <si>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</si>
  <si>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</si>
  <si>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</si>
  <si>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</si>
  <si>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</si>
  <si>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</si>
  <si>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</si>
  <si>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</si>
  <si>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</si>
  <si>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</si>
  <si>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</si>
  <si>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</si>
  <si>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</si>
  <si>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</si>
  <si>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</si>
  <si>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</si>
  <si>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</si>
  <si>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</si>
  <si>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</si>
  <si>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</si>
  <si>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</si>
  <si>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</si>
  <si>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</si>
  <si>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</si>
  <si>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</si>
  <si>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</si>
  <si>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</si>
  <si>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</si>
  <si>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</si>
  <si>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</si>
  <si>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</si>
  <si>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</si>
  <si>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</si>
  <si>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</si>
  <si>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</si>
  <si>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</si>
  <si>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</si>
  <si>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</si>
  <si>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</si>
  <si>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</si>
  <si>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</si>
  <si>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</si>
  <si>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</si>
  <si>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</si>
  <si>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</si>
  <si>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</si>
  <si>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</si>
  <si>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</si>
  <si>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</si>
  <si>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</si>
  <si>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</si>
  <si>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</si>
  <si>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</si>
  <si>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</si>
  <si>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</si>
  <si>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</si>
  <si>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</si>
  <si>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</si>
  <si>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</si>
  <si>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</si>
  <si>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</si>
  <si>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</si>
  <si>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</si>
  <si>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</si>
  <si>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</si>
  <si>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</si>
  <si>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</si>
  <si>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</si>
  <si>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</si>
  <si>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</si>
  <si>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</si>
  <si>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</si>
  <si>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</si>
  <si>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</si>
  <si>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</si>
  <si>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</si>
  <si>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</si>
  <si>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</si>
  <si>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</si>
  <si>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</si>
  <si>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</si>
  <si>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</si>
  <si>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</si>
  <si>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</si>
  <si>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</si>
  <si>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</si>
  <si>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</si>
  <si>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</si>
  <si>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</si>
  <si>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</si>
  <si>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</si>
  <si>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</si>
  <si>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</si>
  <si>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</si>
  <si>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</si>
  <si>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</si>
  <si>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</si>
  <si>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</si>
  <si>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</si>
  <si>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</si>
  <si>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</si>
  <si>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</si>
  <si>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</si>
  <si>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</si>
  <si>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</si>
  <si>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</si>
  <si>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</si>
  <si>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</si>
  <si>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</si>
  <si>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</si>
  <si>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</si>
  <si>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</si>
  <si>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</si>
  <si>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</si>
  <si>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</si>
  <si>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</si>
  <si>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</si>
  <si>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</si>
  <si>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</si>
  <si>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</si>
  <si>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</si>
  <si>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</si>
  <si>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</si>
  <si>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</si>
  <si>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</si>
  <si>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</si>
  <si>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</si>
  <si>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</si>
  <si>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</si>
  <si>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</si>
  <si>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</si>
  <si>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</si>
  <si>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</si>
  <si>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</si>
  <si>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</si>
  <si>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</si>
  <si>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</si>
  <si>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</si>
  <si>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</si>
  <si>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</si>
  <si>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</si>
  <si>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</si>
  <si>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</si>
  <si>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</si>
  <si>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</si>
  <si>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</si>
  <si>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</si>
  <si>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</si>
  <si>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</si>
  <si>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</si>
  <si>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</si>
  <si>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</si>
  <si>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</si>
  <si>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</si>
  <si>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</si>
  <si>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</si>
  <si>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</si>
  <si>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</si>
  <si>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</si>
  <si>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</si>
  <si>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</si>
  <si>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</si>
  <si>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</si>
  <si>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</si>
  <si>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</si>
  <si>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</si>
  <si>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</si>
  <si>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</si>
  <si>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</si>
  <si>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</si>
  <si>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</si>
  <si>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</si>
  <si>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</si>
  <si>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</si>
  <si>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</si>
  <si>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</si>
  <si>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</si>
  <si>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</si>
  <si>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</si>
  <si>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</si>
  <si>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</si>
  <si>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</si>
  <si>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</si>
  <si>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</si>
  <si>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</si>
  <si>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</si>
  <si>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</si>
  <si>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</si>
  <si>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</si>
  <si>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</si>
  <si>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</si>
  <si>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</si>
  <si>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</si>
  <si>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</si>
  <si>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</si>
  <si>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</si>
  <si>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</si>
  <si>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</si>
  <si>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</si>
  <si>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</si>
  <si>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</si>
  <si>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</si>
  <si>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</si>
  <si>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</si>
  <si>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</si>
  <si>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</si>
  <si>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</si>
  <si>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</si>
  <si>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</si>
  <si>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</si>
  <si>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</si>
  <si>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</si>
  <si>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</si>
  <si>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</si>
  <si>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</si>
  <si>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</si>
  <si>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</si>
  <si>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</si>
  <si>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</si>
  <si>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</si>
  <si>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</si>
  <si>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</si>
  <si>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</si>
  <si>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</si>
  <si>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</si>
  <si>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</si>
  <si>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</si>
  <si>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</si>
  <si>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</si>
  <si>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</si>
  <si>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</si>
  <si>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</si>
  <si>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</si>
  <si>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</si>
  <si>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</si>
  <si>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</si>
  <si>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</si>
  <si>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</si>
  <si>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</si>
  <si>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</si>
  <si>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</si>
  <si>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</si>
  <si>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</si>
  <si>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</si>
  <si>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</si>
  <si>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</si>
  <si>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</si>
  <si>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</si>
  <si>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</si>
  <si>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</si>
  <si>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</si>
  <si>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</si>
  <si>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</si>
  <si>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</si>
  <si>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</si>
  <si>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</si>
  <si>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</si>
  <si>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</si>
  <si>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</si>
  <si>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</si>
  <si>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</si>
  <si>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</si>
  <si>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</si>
  <si>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</si>
  <si>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</si>
  <si>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</si>
  <si>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</si>
  <si>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</si>
  <si>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</si>
  <si>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</si>
  <si>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</si>
  <si>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</si>
  <si>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</si>
  <si>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</si>
  <si>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</si>
  <si>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</si>
  <si>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</si>
  <si>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</si>
  <si>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</si>
  <si>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</si>
  <si>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</si>
  <si>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</si>
  <si>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</si>
  <si>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</si>
  <si>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</si>
  <si>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</si>
  <si>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</si>
  <si>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</si>
  <si>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</si>
  <si>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</si>
  <si>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</si>
  <si>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</si>
  <si>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</si>
  <si>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</si>
  <si>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</si>
  <si>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</si>
  <si>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</si>
  <si>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</si>
  <si>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</si>
  <si>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</si>
  <si>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</si>
  <si>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</si>
  <si>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</si>
  <si>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</si>
  <si>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</si>
  <si>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</si>
  <si>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</si>
  <si>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</si>
  <si>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</si>
  <si>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</si>
  <si>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</si>
  <si>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</si>
  <si>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</si>
  <si>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</si>
  <si>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</si>
  <si>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</si>
  <si>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</si>
  <si>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</si>
  <si>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</si>
  <si>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</si>
  <si>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</si>
  <si>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</si>
  <si>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</si>
  <si>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</si>
  <si>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</si>
  <si>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</si>
  <si>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</si>
  <si>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</si>
  <si>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</si>
  <si>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</si>
  <si>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</si>
  <si>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</si>
  <si>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</si>
  <si>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</si>
  <si>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</si>
  <si>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</si>
  <si>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</si>
  <si>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</si>
  <si>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</si>
  <si>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</si>
  <si>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</si>
  <si>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</si>
  <si>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</si>
  <si>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</si>
  <si>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</si>
  <si>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</si>
  <si>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</si>
  <si>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</si>
  <si>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</si>
  <si>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</si>
  <si>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</si>
  <si>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</si>
  <si>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</si>
  <si>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</si>
  <si>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</si>
  <si>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</si>
  <si>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</si>
  <si>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</si>
  <si>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</si>
  <si>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</si>
  <si>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</si>
  <si>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</si>
  <si>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</si>
  <si>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</si>
  <si>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</si>
  <si>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</si>
  <si>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</si>
  <si>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</si>
  <si>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</si>
  <si>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</si>
  <si>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</si>
  <si>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</si>
  <si>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</si>
  <si>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</si>
  <si>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</si>
  <si>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</si>
  <si>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</si>
  <si>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</si>
  <si>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</si>
  <si>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</si>
  <si>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</si>
  <si>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</si>
  <si>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</si>
  <si>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</si>
  <si>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</si>
  <si>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</si>
  <si>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</si>
  <si>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</si>
  <si>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</si>
  <si>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</si>
  <si>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</si>
  <si>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</si>
  <si>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</si>
  <si>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</si>
  <si>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</si>
  <si>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</si>
  <si>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</si>
  <si>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</si>
  <si>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</si>
  <si>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</si>
  <si>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</si>
  <si>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</si>
  <si>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</si>
  <si>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</si>
  <si>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</si>
  <si>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</si>
  <si>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</si>
  <si>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</si>
  <si>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</si>
  <si>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</si>
  <si>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Dover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</si>
</sst>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7AD3-73BD-4D79-844C-648DB2715C2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141</v>
      </c>
      <c r="C2" s="21">
        <v>141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/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70.28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50460.53</v>
      </c>
      <c r="H13" s="18">
        <v>878893.55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417806.73+106369.04</f>
        <v>524175.76999999996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2231715.63</v>
      </c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2755891.4</v>
      </c>
      <c r="G19" s="41">
        <f>SUM(G9:G18)</f>
        <v>50530.81</v>
      </c>
      <c r="H19" s="41">
        <f>SUM(H9:H18)</f>
        <v>878893.55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106369.04</v>
      </c>
      <c r="G25" s="18">
        <v>70.28</v>
      </c>
      <c r="H25" s="18">
        <v>3857.86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2231715.63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2338084.67</v>
      </c>
      <c r="G33" s="41">
        <f>SUM(G23:G32)</f>
        <v>70.28</v>
      </c>
      <c r="H33" s="41">
        <f>SUM(H23:H32)</f>
        <v>3857.86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>
        <v>146827.98000000001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417806.73</v>
      </c>
      <c r="G41" s="18">
        <v>50460.53</v>
      </c>
      <c r="H41" s="18">
        <v>728207.71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417806.73</v>
      </c>
      <c r="G43" s="41">
        <f>SUM(G35:G42)</f>
        <v>50460.53</v>
      </c>
      <c r="H43" s="41">
        <f>SUM(H35:H42)</f>
        <v>875035.69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2755891.4</v>
      </c>
      <c r="G44" s="41">
        <f>G43+G33</f>
        <v>50530.81</v>
      </c>
      <c r="H44" s="41">
        <f>H43+H33</f>
        <v>878893.54999999993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24640583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f>10704.95+113806.87</f>
        <v>124511.81999999999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24765094.82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10400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163325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118230.71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1600358.9+3469142.84</f>
        <v>5069501.74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103316.25</v>
      </c>
      <c r="G61" s="24" t="s">
        <v>312</v>
      </c>
      <c r="H61" s="18">
        <f>8766.2+319638.15</f>
        <v>328404.35000000003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93279.08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36618.559999999998</v>
      </c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3913.74</v>
      </c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>
        <v>447000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5306629.37</v>
      </c>
      <c r="G71" s="45" t="s">
        <v>312</v>
      </c>
      <c r="H71" s="41">
        <f>SUM(H55:H70)</f>
        <v>1067360.06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665909.3+4888.88+124778.97+15013.87</f>
        <v>810591.02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f>434267.66+75</f>
        <v>434342.66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>
        <f>3256.35+143734.41</f>
        <v>146990.76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0</v>
      </c>
      <c r="G103" s="41">
        <f>SUM(G88:G102)</f>
        <v>810591.02</v>
      </c>
      <c r="H103" s="41">
        <f>SUM(H88:H102)</f>
        <v>581333.41999999993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30071724.190000001</v>
      </c>
      <c r="G104" s="41">
        <f>G52+G103</f>
        <v>810591.02</v>
      </c>
      <c r="H104" s="41">
        <f>H52+H71+H86+H103</f>
        <v>1648693.48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4373548.2699999996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6431633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1677993.73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12483175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656936.49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275905.44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277725.49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36900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16379.03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37350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91225.43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1247467.42</v>
      </c>
      <c r="G128" s="41">
        <f>SUM(G115:G127)</f>
        <v>16379.03</v>
      </c>
      <c r="H128" s="41">
        <f>SUM(H115:H127)</f>
        <v>128575.43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13730642.42</v>
      </c>
      <c r="G132" s="41">
        <f>G113+SUM(G128:G129)</f>
        <v>16379.03</v>
      </c>
      <c r="H132" s="41">
        <f>H113+SUM(H128:H131)</f>
        <v>128575.43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f>6254.08+29644.81</f>
        <v>35898.89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35898.89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1106612.24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420035.14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146459.69+6039.85</f>
        <v>152499.54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502371.38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547607.07999999996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750389.58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313243.49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f>39917.11+3851.25</f>
        <v>43768.36</v>
      </c>
      <c r="H153" s="18">
        <f>969242.58+656.98+2500</f>
        <v>972399.55999999994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313243.49</v>
      </c>
      <c r="G154" s="41">
        <f>SUM(G142:G153)</f>
        <v>591375.43999999994</v>
      </c>
      <c r="H154" s="41">
        <f>SUM(H142:H153)</f>
        <v>3904307.44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349142.38</v>
      </c>
      <c r="G161" s="41">
        <f>G139+G154+SUM(G155:G160)</f>
        <v>591375.43999999994</v>
      </c>
      <c r="H161" s="41">
        <f>H139+H154+SUM(H155:H160)</f>
        <v>3904307.44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2832948.62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2832948.62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447000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447000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2832948.62</v>
      </c>
      <c r="J184" s="41">
        <f>J175</f>
        <v>447000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44151508.990000002</v>
      </c>
      <c r="G185" s="47">
        <f>G104+G132+G161+G184</f>
        <v>1418345.49</v>
      </c>
      <c r="H185" s="47">
        <f>H104+H132+H161+H184</f>
        <v>5681576.3499999996</v>
      </c>
      <c r="I185" s="47">
        <f>I104+I132+I161+I184</f>
        <v>2832948.62</v>
      </c>
      <c r="J185" s="47">
        <f>J104+J132+J184</f>
        <v>447000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4392683.79</v>
      </c>
      <c r="G189" s="18">
        <v>1946261.05</v>
      </c>
      <c r="H189" s="18">
        <v>1907.84</v>
      </c>
      <c r="I189" s="18">
        <v>80250.789999999994</v>
      </c>
      <c r="J189" s="18">
        <v>35494.36</v>
      </c>
      <c r="K189" s="18">
        <v>0</v>
      </c>
      <c r="L189" s="19">
        <f>SUM(F189:K189)</f>
        <v>6456597.8300000001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1657098.4</v>
      </c>
      <c r="G190" s="18">
        <v>424733.74</v>
      </c>
      <c r="H190" s="18">
        <v>246979.23</v>
      </c>
      <c r="I190" s="18">
        <v>2552.88</v>
      </c>
      <c r="J190" s="18">
        <v>1358.01</v>
      </c>
      <c r="K190" s="18">
        <v>488.22</v>
      </c>
      <c r="L190" s="19">
        <f>SUM(F190:K190)</f>
        <v>2333210.48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14566.01</v>
      </c>
      <c r="G192" s="18">
        <v>1730.17</v>
      </c>
      <c r="H192" s="18">
        <v>363.91</v>
      </c>
      <c r="I192" s="18">
        <v>205.55</v>
      </c>
      <c r="J192" s="18">
        <v>0</v>
      </c>
      <c r="K192" s="18">
        <v>0</v>
      </c>
      <c r="L192" s="19">
        <f>SUM(F192:K192)</f>
        <v>16865.64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517869.58</v>
      </c>
      <c r="G194" s="18">
        <v>228200.8</v>
      </c>
      <c r="H194" s="18">
        <v>44239</v>
      </c>
      <c r="I194" s="18">
        <v>855.77</v>
      </c>
      <c r="J194" s="18">
        <v>0</v>
      </c>
      <c r="K194" s="18">
        <v>0</v>
      </c>
      <c r="L194" s="19">
        <f t="shared" ref="L194:L200" si="0">SUM(F194:K194)</f>
        <v>791165.15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266232.78000000003</v>
      </c>
      <c r="G195" s="18">
        <v>125681.58</v>
      </c>
      <c r="H195" s="18">
        <v>6190.88</v>
      </c>
      <c r="I195" s="18">
        <v>218493.94</v>
      </c>
      <c r="J195" s="18">
        <v>3514.67</v>
      </c>
      <c r="K195" s="18">
        <v>120.02</v>
      </c>
      <c r="L195" s="19">
        <f t="shared" si="0"/>
        <v>620233.87000000011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171902.64</v>
      </c>
      <c r="G196" s="18">
        <v>73753.919999999998</v>
      </c>
      <c r="H196" s="18">
        <v>107690.51</v>
      </c>
      <c r="I196" s="18">
        <v>5151.84</v>
      </c>
      <c r="J196" s="18">
        <v>77.64</v>
      </c>
      <c r="K196" s="18">
        <v>5767.64</v>
      </c>
      <c r="L196" s="19">
        <f t="shared" si="0"/>
        <v>364344.19000000006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421565.82</v>
      </c>
      <c r="G197" s="18">
        <v>155482.32</v>
      </c>
      <c r="H197" s="18">
        <v>76311.81</v>
      </c>
      <c r="I197" s="18">
        <v>221.69</v>
      </c>
      <c r="J197" s="18">
        <v>0</v>
      </c>
      <c r="K197" s="18">
        <v>2230</v>
      </c>
      <c r="L197" s="19">
        <f t="shared" si="0"/>
        <v>655811.6399999999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16642.830000000002</v>
      </c>
      <c r="G199" s="18">
        <v>6139.05</v>
      </c>
      <c r="H199" s="18">
        <v>905235.19</v>
      </c>
      <c r="I199" s="18">
        <v>309624.15000000002</v>
      </c>
      <c r="J199" s="18">
        <v>0</v>
      </c>
      <c r="K199" s="18">
        <v>0</v>
      </c>
      <c r="L199" s="19">
        <f t="shared" si="0"/>
        <v>1237641.22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4750.25</v>
      </c>
      <c r="G200" s="18">
        <v>436.3</v>
      </c>
      <c r="H200" s="18">
        <v>469911.12</v>
      </c>
      <c r="I200" s="18">
        <v>0</v>
      </c>
      <c r="J200" s="18">
        <v>0</v>
      </c>
      <c r="K200" s="18">
        <v>0</v>
      </c>
      <c r="L200" s="19">
        <f t="shared" si="0"/>
        <v>475097.67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115607.58</v>
      </c>
      <c r="G201" s="18">
        <v>141116</v>
      </c>
      <c r="H201" s="18">
        <v>27628.37</v>
      </c>
      <c r="I201" s="18">
        <v>413.74</v>
      </c>
      <c r="J201" s="18">
        <v>74970.3</v>
      </c>
      <c r="K201" s="18">
        <v>3224.09</v>
      </c>
      <c r="L201" s="19">
        <f>SUM(F201:K201)</f>
        <v>362960.08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7578919.6799999997</v>
      </c>
      <c r="G203" s="41">
        <f t="shared" si="1"/>
        <v>3103534.9299999992</v>
      </c>
      <c r="H203" s="41">
        <f t="shared" si="1"/>
        <v>1886457.8599999999</v>
      </c>
      <c r="I203" s="41">
        <f t="shared" si="1"/>
        <v>617770.35000000009</v>
      </c>
      <c r="J203" s="41">
        <f t="shared" si="1"/>
        <v>115414.98000000001</v>
      </c>
      <c r="K203" s="41">
        <f t="shared" si="1"/>
        <v>11829.970000000001</v>
      </c>
      <c r="L203" s="41">
        <f t="shared" si="1"/>
        <v>13313927.770000003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3470309.2</v>
      </c>
      <c r="G207" s="18">
        <v>1521020.49</v>
      </c>
      <c r="H207" s="18">
        <v>4573.22</v>
      </c>
      <c r="I207" s="18">
        <v>68190.37</v>
      </c>
      <c r="J207" s="18">
        <v>8092.99</v>
      </c>
      <c r="K207" s="18">
        <v>0</v>
      </c>
      <c r="L207" s="19">
        <f>SUM(F207:K207)</f>
        <v>5072186.2700000005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1015675.17</v>
      </c>
      <c r="G208" s="18">
        <v>314060.7</v>
      </c>
      <c r="H208" s="18">
        <v>389084.47</v>
      </c>
      <c r="I208" s="18">
        <v>1331.5</v>
      </c>
      <c r="J208" s="18">
        <v>998.54</v>
      </c>
      <c r="K208" s="18">
        <v>358.98</v>
      </c>
      <c r="L208" s="19">
        <f>SUM(F208:K208)</f>
        <v>1721509.36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34592</v>
      </c>
      <c r="G210" s="18">
        <v>3735.55</v>
      </c>
      <c r="H210" s="18">
        <v>5351.58</v>
      </c>
      <c r="I210" s="18">
        <v>1656.3</v>
      </c>
      <c r="J210" s="18">
        <v>0</v>
      </c>
      <c r="K210" s="18">
        <v>1202</v>
      </c>
      <c r="L210" s="19">
        <f>SUM(F210:K210)</f>
        <v>46537.430000000008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472600.4</v>
      </c>
      <c r="G212" s="18">
        <v>187463.69</v>
      </c>
      <c r="H212" s="18">
        <v>3748.79</v>
      </c>
      <c r="I212" s="18">
        <v>1441.26</v>
      </c>
      <c r="J212" s="18">
        <v>0</v>
      </c>
      <c r="K212" s="18">
        <v>0</v>
      </c>
      <c r="L212" s="19">
        <f t="shared" ref="L212:L218" si="2">SUM(F212:K212)</f>
        <v>665254.14000000013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122459.85</v>
      </c>
      <c r="G213" s="18">
        <v>64245.93</v>
      </c>
      <c r="H213" s="18">
        <v>7546.26</v>
      </c>
      <c r="I213" s="18">
        <v>127013.64</v>
      </c>
      <c r="J213" s="18">
        <v>2608.66</v>
      </c>
      <c r="K213" s="18">
        <v>88.25</v>
      </c>
      <c r="L213" s="19">
        <f t="shared" si="2"/>
        <v>323962.58999999997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126399</v>
      </c>
      <c r="G214" s="18">
        <v>54230.83</v>
      </c>
      <c r="H214" s="18">
        <v>69903.25</v>
      </c>
      <c r="I214" s="18">
        <v>3788.12</v>
      </c>
      <c r="J214" s="18">
        <v>57.09</v>
      </c>
      <c r="K214" s="18">
        <v>4240.91</v>
      </c>
      <c r="L214" s="19">
        <f t="shared" si="2"/>
        <v>258619.2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317279.68</v>
      </c>
      <c r="G215" s="18">
        <v>145700.35999999999</v>
      </c>
      <c r="H215" s="18">
        <v>94733.92</v>
      </c>
      <c r="I215" s="18">
        <v>5099.91</v>
      </c>
      <c r="J215" s="18">
        <v>0</v>
      </c>
      <c r="K215" s="18">
        <v>2856</v>
      </c>
      <c r="L215" s="19">
        <f t="shared" si="2"/>
        <v>565669.87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12237.38</v>
      </c>
      <c r="G217" s="18">
        <v>4514.01</v>
      </c>
      <c r="H217" s="18">
        <v>660939.18000000005</v>
      </c>
      <c r="I217" s="18">
        <v>263681.53000000003</v>
      </c>
      <c r="J217" s="18">
        <v>0</v>
      </c>
      <c r="K217" s="18">
        <v>262</v>
      </c>
      <c r="L217" s="19">
        <f t="shared" si="2"/>
        <v>941634.10000000009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3492.83</v>
      </c>
      <c r="G218" s="18">
        <v>320.81</v>
      </c>
      <c r="H218" s="18">
        <v>361479.23</v>
      </c>
      <c r="I218" s="18">
        <v>0</v>
      </c>
      <c r="J218" s="18">
        <v>0</v>
      </c>
      <c r="K218" s="18">
        <v>0</v>
      </c>
      <c r="L218" s="19">
        <f t="shared" si="2"/>
        <v>365292.87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100459.22</v>
      </c>
      <c r="G219" s="18">
        <v>74362.03</v>
      </c>
      <c r="H219" s="18">
        <v>20282.47</v>
      </c>
      <c r="I219" s="18">
        <v>304.22000000000003</v>
      </c>
      <c r="J219" s="18">
        <v>55125.22</v>
      </c>
      <c r="K219" s="18">
        <v>2370.44</v>
      </c>
      <c r="L219" s="19">
        <f>SUM(F219:K219)</f>
        <v>252903.6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5675504.7299999995</v>
      </c>
      <c r="G221" s="41">
        <f>SUM(G207:G220)</f>
        <v>2369654.3999999994</v>
      </c>
      <c r="H221" s="41">
        <f>SUM(H207:H220)</f>
        <v>1617642.3699999999</v>
      </c>
      <c r="I221" s="41">
        <f>SUM(I207:I220)</f>
        <v>472506.85</v>
      </c>
      <c r="J221" s="41">
        <f>SUM(J207:J220)</f>
        <v>66882.5</v>
      </c>
      <c r="K221" s="41">
        <f t="shared" si="3"/>
        <v>11378.58</v>
      </c>
      <c r="L221" s="41">
        <f t="shared" si="3"/>
        <v>10213569.43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4465309.42</v>
      </c>
      <c r="G225" s="18">
        <v>1914027.01</v>
      </c>
      <c r="H225" s="18">
        <v>2985.15</v>
      </c>
      <c r="I225" s="18">
        <v>65562.2</v>
      </c>
      <c r="J225" s="18">
        <v>31591.71</v>
      </c>
      <c r="K225" s="18">
        <v>0</v>
      </c>
      <c r="L225" s="19">
        <f>SUM(F225:K225)</f>
        <v>6479475.4900000002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963791.14</v>
      </c>
      <c r="G226" s="18">
        <v>255769.57</v>
      </c>
      <c r="H226" s="18">
        <v>494712.2</v>
      </c>
      <c r="I226" s="18">
        <v>2711.35</v>
      </c>
      <c r="J226" s="18">
        <v>1637.6</v>
      </c>
      <c r="K226" s="18">
        <v>4698.7299999999996</v>
      </c>
      <c r="L226" s="19">
        <f>SUM(F226:K226)</f>
        <v>1723320.59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1207387.3700000001</v>
      </c>
      <c r="G227" s="18">
        <v>562039.68000000005</v>
      </c>
      <c r="H227" s="18">
        <v>153457.79999999999</v>
      </c>
      <c r="I227" s="18">
        <v>87358.19</v>
      </c>
      <c r="J227" s="18">
        <v>39077.1</v>
      </c>
      <c r="K227" s="18">
        <v>340</v>
      </c>
      <c r="L227" s="19">
        <f>SUM(F227:K227)</f>
        <v>2049660.1400000004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413417.34</v>
      </c>
      <c r="G228" s="18">
        <v>100866.08</v>
      </c>
      <c r="H228" s="18">
        <v>70715.259999999995</v>
      </c>
      <c r="I228" s="18">
        <v>24889.17</v>
      </c>
      <c r="J228" s="18">
        <v>34102.78</v>
      </c>
      <c r="K228" s="18">
        <v>1911</v>
      </c>
      <c r="L228" s="19">
        <f>SUM(F228:K228)</f>
        <v>645901.63000000012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642755.28</v>
      </c>
      <c r="G230" s="18">
        <v>238269.95</v>
      </c>
      <c r="H230" s="18">
        <v>31793.13</v>
      </c>
      <c r="I230" s="18">
        <v>2989.09</v>
      </c>
      <c r="J230" s="18">
        <v>296.17</v>
      </c>
      <c r="K230" s="18">
        <v>0</v>
      </c>
      <c r="L230" s="19">
        <f t="shared" ref="L230:L236" si="4">SUM(F230:K230)</f>
        <v>916103.62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194146.26</v>
      </c>
      <c r="G231" s="18">
        <v>74897.23</v>
      </c>
      <c r="H231" s="18">
        <v>15028.01</v>
      </c>
      <c r="I231" s="18">
        <v>79614.679999999993</v>
      </c>
      <c r="J231" s="18">
        <v>14655.41</v>
      </c>
      <c r="K231" s="18">
        <v>144.72999999999999</v>
      </c>
      <c r="L231" s="19">
        <f t="shared" si="4"/>
        <v>378486.31999999995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207294.36</v>
      </c>
      <c r="G232" s="18">
        <v>88938.55</v>
      </c>
      <c r="H232" s="18">
        <v>84658.96</v>
      </c>
      <c r="I232" s="18">
        <v>6212.51</v>
      </c>
      <c r="J232" s="18">
        <v>93.62</v>
      </c>
      <c r="K232" s="18">
        <v>6955.1</v>
      </c>
      <c r="L232" s="19">
        <f t="shared" si="4"/>
        <v>394153.1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561711.97</v>
      </c>
      <c r="G233" s="18">
        <v>196251.64</v>
      </c>
      <c r="H233" s="18">
        <v>85789.34</v>
      </c>
      <c r="I233" s="18">
        <v>11085.36</v>
      </c>
      <c r="J233" s="18">
        <v>0</v>
      </c>
      <c r="K233" s="18">
        <v>3684</v>
      </c>
      <c r="L233" s="19">
        <f t="shared" si="4"/>
        <v>858522.30999999994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20069.3</v>
      </c>
      <c r="G235" s="18">
        <v>7402.97</v>
      </c>
      <c r="H235" s="18">
        <v>1096807.6499999999</v>
      </c>
      <c r="I235" s="18">
        <v>356624.7</v>
      </c>
      <c r="J235" s="18">
        <v>0</v>
      </c>
      <c r="K235" s="18">
        <v>0</v>
      </c>
      <c r="L235" s="19">
        <f t="shared" si="4"/>
        <v>1480904.6199999999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5728.24</v>
      </c>
      <c r="G236" s="18">
        <v>526.12</v>
      </c>
      <c r="H236" s="18">
        <v>752196.86</v>
      </c>
      <c r="I236" s="18">
        <v>70</v>
      </c>
      <c r="J236" s="18">
        <v>0</v>
      </c>
      <c r="K236" s="18">
        <v>0</v>
      </c>
      <c r="L236" s="19">
        <f t="shared" si="4"/>
        <v>758521.22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126941.08</v>
      </c>
      <c r="G237" s="18">
        <v>119655.46</v>
      </c>
      <c r="H237" s="18">
        <v>33293.74</v>
      </c>
      <c r="I237" s="18">
        <v>498.92</v>
      </c>
      <c r="J237" s="18">
        <v>90405.36</v>
      </c>
      <c r="K237" s="18">
        <v>3887.52</v>
      </c>
      <c r="L237" s="19">
        <f>SUM(F237:K237)</f>
        <v>374682.08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8808551.7600000016</v>
      </c>
      <c r="G239" s="41">
        <f t="shared" si="5"/>
        <v>3558644.2600000007</v>
      </c>
      <c r="H239" s="41">
        <f t="shared" si="5"/>
        <v>2821438.1</v>
      </c>
      <c r="I239" s="41">
        <f t="shared" si="5"/>
        <v>637616.17000000004</v>
      </c>
      <c r="J239" s="41">
        <f t="shared" si="5"/>
        <v>211859.75</v>
      </c>
      <c r="K239" s="41">
        <f t="shared" si="5"/>
        <v>21621.079999999998</v>
      </c>
      <c r="L239" s="41">
        <f t="shared" si="5"/>
        <v>16059731.120000001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22062976.170000002</v>
      </c>
      <c r="G249" s="41">
        <f t="shared" si="8"/>
        <v>9031833.5899999999</v>
      </c>
      <c r="H249" s="41">
        <f t="shared" si="8"/>
        <v>6325538.3300000001</v>
      </c>
      <c r="I249" s="41">
        <f t="shared" si="8"/>
        <v>1727893.37</v>
      </c>
      <c r="J249" s="41">
        <f t="shared" si="8"/>
        <v>394157.23</v>
      </c>
      <c r="K249" s="41">
        <f t="shared" si="8"/>
        <v>44829.630000000005</v>
      </c>
      <c r="L249" s="41">
        <f t="shared" si="8"/>
        <v>39587228.320000008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2317601.7200000002</v>
      </c>
      <c r="L252" s="19">
        <f>SUM(F252:K252)</f>
        <v>2317601.7200000002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1616538.8</v>
      </c>
      <c r="L253" s="19">
        <f>SUM(F253:K253)</f>
        <v>1616538.8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447000</v>
      </c>
      <c r="L258" s="19">
        <f t="shared" si="9"/>
        <v>447000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4381140.5200000005</v>
      </c>
      <c r="L262" s="41">
        <f t="shared" si="9"/>
        <v>4381140.5200000005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22062976.170000002</v>
      </c>
      <c r="G263" s="42">
        <f t="shared" si="11"/>
        <v>9031833.5899999999</v>
      </c>
      <c r="H263" s="42">
        <f t="shared" si="11"/>
        <v>6325538.3300000001</v>
      </c>
      <c r="I263" s="42">
        <f t="shared" si="11"/>
        <v>1727893.37</v>
      </c>
      <c r="J263" s="42">
        <f t="shared" si="11"/>
        <v>394157.23</v>
      </c>
      <c r="K263" s="42">
        <f t="shared" si="11"/>
        <v>4425970.1500000004</v>
      </c>
      <c r="L263" s="42">
        <f t="shared" si="11"/>
        <v>43968368.840000011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599102.42000000004</v>
      </c>
      <c r="G269" s="18">
        <v>119093.53</v>
      </c>
      <c r="H269" s="18">
        <v>28871.99</v>
      </c>
      <c r="I269" s="18">
        <v>43659.51</v>
      </c>
      <c r="J269" s="18">
        <v>19502.72</v>
      </c>
      <c r="K269" s="18">
        <v>54.45</v>
      </c>
      <c r="L269" s="19">
        <f>SUM(F269:K269)</f>
        <v>810284.62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60704.87</v>
      </c>
      <c r="G273" s="18">
        <v>14792.39</v>
      </c>
      <c r="H273" s="18">
        <v>58894.3</v>
      </c>
      <c r="I273" s="18">
        <v>3850.05</v>
      </c>
      <c r="J273" s="18">
        <v>2231.86</v>
      </c>
      <c r="K273" s="18"/>
      <c r="L273" s="19">
        <f t="shared" ref="L273:L279" si="12">SUM(F273:K273)</f>
        <v>140473.46999999997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166509.92000000001</v>
      </c>
      <c r="G274" s="18">
        <v>38278</v>
      </c>
      <c r="H274" s="18">
        <v>112716.02</v>
      </c>
      <c r="I274" s="18">
        <v>4240.95</v>
      </c>
      <c r="J274" s="18">
        <v>2518.88</v>
      </c>
      <c r="K274" s="18"/>
      <c r="L274" s="19">
        <f t="shared" si="12"/>
        <v>324263.77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15391.64</v>
      </c>
      <c r="G275" s="18">
        <v>5529.09</v>
      </c>
      <c r="H275" s="18">
        <v>3930.75</v>
      </c>
      <c r="I275" s="18">
        <v>7586.32</v>
      </c>
      <c r="J275" s="18"/>
      <c r="K275" s="18"/>
      <c r="L275" s="19">
        <f t="shared" si="12"/>
        <v>32437.8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55769.88</v>
      </c>
      <c r="G276" s="18">
        <v>19418.54</v>
      </c>
      <c r="H276" s="18">
        <v>3554.45</v>
      </c>
      <c r="I276" s="18">
        <v>3758.6</v>
      </c>
      <c r="J276" s="18"/>
      <c r="K276" s="18">
        <v>300</v>
      </c>
      <c r="L276" s="19">
        <f t="shared" si="12"/>
        <v>82801.47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6266.53</v>
      </c>
      <c r="I279" s="18"/>
      <c r="J279" s="18"/>
      <c r="K279" s="18"/>
      <c r="L279" s="19">
        <f t="shared" si="12"/>
        <v>6266.53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>
        <v>309.02999999999997</v>
      </c>
      <c r="J280" s="18"/>
      <c r="K280" s="18">
        <v>39188.629999999997</v>
      </c>
      <c r="L280" s="19">
        <f>SUM(F280:K280)</f>
        <v>39497.659999999996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897478.7300000001</v>
      </c>
      <c r="G282" s="42">
        <f t="shared" si="13"/>
        <v>197111.55</v>
      </c>
      <c r="H282" s="42">
        <f t="shared" si="13"/>
        <v>214234.04</v>
      </c>
      <c r="I282" s="42">
        <f t="shared" si="13"/>
        <v>63404.46</v>
      </c>
      <c r="J282" s="42">
        <f t="shared" si="13"/>
        <v>24253.460000000003</v>
      </c>
      <c r="K282" s="42">
        <f t="shared" si="13"/>
        <v>39543.079999999994</v>
      </c>
      <c r="L282" s="41">
        <f t="shared" si="13"/>
        <v>1436025.3199999998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285276.48</v>
      </c>
      <c r="G288" s="18">
        <v>60312.4</v>
      </c>
      <c r="H288" s="18">
        <v>30998.2</v>
      </c>
      <c r="I288" s="18">
        <v>40960.33</v>
      </c>
      <c r="J288" s="18">
        <v>17277.66</v>
      </c>
      <c r="K288" s="18">
        <v>54.45</v>
      </c>
      <c r="L288" s="19">
        <f>SUM(F288:K288)</f>
        <v>434879.52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53459.28</v>
      </c>
      <c r="G292" s="18">
        <v>13309.32</v>
      </c>
      <c r="H292" s="18">
        <v>65830.17</v>
      </c>
      <c r="I292" s="18">
        <v>5365.72</v>
      </c>
      <c r="J292" s="18">
        <v>4464.8</v>
      </c>
      <c r="K292" s="18"/>
      <c r="L292" s="19">
        <f t="shared" ref="L292:L298" si="14">SUM(F292:K292)</f>
        <v>142429.29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121456.86</v>
      </c>
      <c r="G293" s="18">
        <v>33996.15</v>
      </c>
      <c r="H293" s="18">
        <v>33607.879999999997</v>
      </c>
      <c r="I293" s="18">
        <v>6983.78</v>
      </c>
      <c r="J293" s="18">
        <v>3686.23</v>
      </c>
      <c r="K293" s="18"/>
      <c r="L293" s="19">
        <f t="shared" si="14"/>
        <v>199730.90000000002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2667.88</v>
      </c>
      <c r="G294" s="18">
        <v>958.38</v>
      </c>
      <c r="H294" s="18">
        <v>681.33</v>
      </c>
      <c r="I294" s="18">
        <v>1314.96</v>
      </c>
      <c r="J294" s="18"/>
      <c r="K294" s="18"/>
      <c r="L294" s="19">
        <f t="shared" si="14"/>
        <v>5622.55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26270.06</v>
      </c>
      <c r="G295" s="18">
        <v>9309.64</v>
      </c>
      <c r="H295" s="18">
        <v>616.1</v>
      </c>
      <c r="I295" s="18">
        <v>1091.77</v>
      </c>
      <c r="J295" s="18"/>
      <c r="K295" s="18">
        <v>52</v>
      </c>
      <c r="L295" s="19">
        <f t="shared" si="14"/>
        <v>37339.569999999992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1860.33</v>
      </c>
      <c r="I298" s="18"/>
      <c r="J298" s="18"/>
      <c r="K298" s="18"/>
      <c r="L298" s="19">
        <f t="shared" si="14"/>
        <v>1860.33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>
        <v>309.02999999999997</v>
      </c>
      <c r="J299" s="18"/>
      <c r="K299" s="18">
        <v>25191.94</v>
      </c>
      <c r="L299" s="19">
        <f>SUM(F299:K299)</f>
        <v>25500.969999999998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489130.56</v>
      </c>
      <c r="G301" s="42">
        <f t="shared" si="15"/>
        <v>117885.89</v>
      </c>
      <c r="H301" s="42">
        <f t="shared" si="15"/>
        <v>133594.00999999998</v>
      </c>
      <c r="I301" s="42">
        <f t="shared" si="15"/>
        <v>56025.59</v>
      </c>
      <c r="J301" s="42">
        <f t="shared" si="15"/>
        <v>25428.69</v>
      </c>
      <c r="K301" s="42">
        <f t="shared" si="15"/>
        <v>25298.39</v>
      </c>
      <c r="L301" s="41">
        <f t="shared" si="15"/>
        <v>847363.13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205299.12+475917.8</f>
        <v>681216.91999999993</v>
      </c>
      <c r="G307" s="18">
        <f>53051.15+213147.97</f>
        <v>266199.12</v>
      </c>
      <c r="H307" s="18">
        <f>56856.92+54856.1</f>
        <v>111713.01999999999</v>
      </c>
      <c r="I307" s="18">
        <f>26967.12+12591.25</f>
        <v>39558.369999999995</v>
      </c>
      <c r="J307" s="18">
        <f>26143.74+3854.79</f>
        <v>29998.530000000002</v>
      </c>
      <c r="K307" s="18">
        <v>56.1</v>
      </c>
      <c r="L307" s="19">
        <f>SUM(F307:K307)</f>
        <v>1128742.0599999998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5799.19</v>
      </c>
      <c r="G308" s="18">
        <v>443</v>
      </c>
      <c r="H308" s="18">
        <v>19407</v>
      </c>
      <c r="I308" s="18">
        <v>15668.69</v>
      </c>
      <c r="J308" s="18">
        <v>60442.61</v>
      </c>
      <c r="K308" s="18">
        <v>63</v>
      </c>
      <c r="L308" s="19">
        <f>SUM(F308:K308)</f>
        <v>101823.48999999999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133023.26</v>
      </c>
      <c r="G311" s="18">
        <v>27801.33</v>
      </c>
      <c r="H311" s="18">
        <v>179760.47</v>
      </c>
      <c r="I311" s="18">
        <v>9132.1200000000008</v>
      </c>
      <c r="J311" s="18">
        <v>19973.78</v>
      </c>
      <c r="K311" s="18">
        <v>2380</v>
      </c>
      <c r="L311" s="19">
        <f t="shared" ref="L311:L317" si="16">SUM(F311:K311)</f>
        <v>372070.96000000008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87361.91</v>
      </c>
      <c r="G312" s="18">
        <v>27056.18</v>
      </c>
      <c r="H312" s="18">
        <v>45735.27</v>
      </c>
      <c r="I312" s="18">
        <v>3633.38</v>
      </c>
      <c r="J312" s="18">
        <v>2410.48</v>
      </c>
      <c r="K312" s="18">
        <v>4867.8599999999997</v>
      </c>
      <c r="L312" s="19">
        <f t="shared" si="16"/>
        <v>171065.08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2462.66</v>
      </c>
      <c r="G313" s="18">
        <v>884.65</v>
      </c>
      <c r="H313" s="18">
        <f>628.92+143.09</f>
        <v>772.01</v>
      </c>
      <c r="I313" s="18">
        <v>1213.81</v>
      </c>
      <c r="J313" s="18"/>
      <c r="K313" s="18"/>
      <c r="L313" s="19">
        <f t="shared" si="16"/>
        <v>5333.1299999999992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13047.45</v>
      </c>
      <c r="G314" s="18">
        <v>5476.16</v>
      </c>
      <c r="H314" s="18">
        <v>568.71</v>
      </c>
      <c r="I314" s="18">
        <v>646.89</v>
      </c>
      <c r="J314" s="18"/>
      <c r="K314" s="18">
        <v>48</v>
      </c>
      <c r="L314" s="19">
        <f t="shared" si="16"/>
        <v>19787.21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f>16617.04</f>
        <v>16617.04</v>
      </c>
      <c r="I316" s="18">
        <f>7185.4</f>
        <v>7185.4</v>
      </c>
      <c r="J316" s="18"/>
      <c r="K316" s="18"/>
      <c r="L316" s="19">
        <f t="shared" si="16"/>
        <v>23802.440000000002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f>3567.39+14848.5</f>
        <v>18415.89</v>
      </c>
      <c r="I317" s="18">
        <f>1826.1</f>
        <v>1826.1</v>
      </c>
      <c r="J317" s="18"/>
      <c r="K317" s="18"/>
      <c r="L317" s="19">
        <f t="shared" si="16"/>
        <v>20241.989999999998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>
        <v>318.39</v>
      </c>
      <c r="J318" s="18"/>
      <c r="K318" s="18">
        <v>33419.03</v>
      </c>
      <c r="L318" s="19">
        <f>SUM(F318:K318)</f>
        <v>33737.42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922911.3899999999</v>
      </c>
      <c r="G320" s="42">
        <f t="shared" si="17"/>
        <v>327860.44</v>
      </c>
      <c r="H320" s="42">
        <f t="shared" si="17"/>
        <v>392989.41000000003</v>
      </c>
      <c r="I320" s="42">
        <f t="shared" si="17"/>
        <v>79183.149999999994</v>
      </c>
      <c r="J320" s="42">
        <f t="shared" si="17"/>
        <v>112825.4</v>
      </c>
      <c r="K320" s="42">
        <f t="shared" si="17"/>
        <v>40833.99</v>
      </c>
      <c r="L320" s="41">
        <f t="shared" si="17"/>
        <v>1876603.7799999996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f>3208.88+4070+21320.77</f>
        <v>28599.65</v>
      </c>
      <c r="G324" s="18">
        <f>245.47+102.63+150.16+4.52+301.15+289.14+1631.04</f>
        <v>2724.1099999999997</v>
      </c>
      <c r="H324" s="18">
        <f>27864.97+5032+3107+3074+573+500+4509</f>
        <v>44659.97</v>
      </c>
      <c r="I324" s="18">
        <f>651.52+925.34+432.16</f>
        <v>2009.0200000000002</v>
      </c>
      <c r="J324" s="18">
        <f>4326.6+150+11680</f>
        <v>16156.6</v>
      </c>
      <c r="K324" s="18"/>
      <c r="L324" s="19">
        <f t="shared" ref="L324:L329" si="18">SUM(F324:K324)</f>
        <v>94149.35000000002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8225+109425.36+37296+16542+5492+256723.66+85374.94+16398.01</f>
        <v>535476.97</v>
      </c>
      <c r="G325" s="18">
        <f>626.25+616.05+8366.02+439.33+2853.12+1218.22+1095.84+406.77+411.34+38304.22+12238.26+1270.14</f>
        <v>67845.56</v>
      </c>
      <c r="H325" s="18">
        <f>216700+23025+77.78+97.4+22+4095.8+48261.3</f>
        <v>292279.27999999997</v>
      </c>
      <c r="I325" s="18">
        <f>1777.54+24715.98+1745.28</f>
        <v>28238.799999999999</v>
      </c>
      <c r="J325" s="18"/>
      <c r="K325" s="18">
        <f>224+16467.27</f>
        <v>16691.27</v>
      </c>
      <c r="L325" s="19">
        <f t="shared" si="18"/>
        <v>940531.88000000012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f>343618.33</f>
        <v>343618.33</v>
      </c>
      <c r="G327" s="18">
        <f>40110.81+636+520.02+25970.6+22430.51</f>
        <v>89667.939999999988</v>
      </c>
      <c r="H327" s="18">
        <f>373.08+2500</f>
        <v>2873.08</v>
      </c>
      <c r="I327" s="18">
        <f>283.9+65.3</f>
        <v>349.2</v>
      </c>
      <c r="J327" s="18">
        <f>30647.39</f>
        <v>30647.39</v>
      </c>
      <c r="K327" s="18"/>
      <c r="L327" s="19">
        <f t="shared" si="18"/>
        <v>467155.94000000006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907694.95</v>
      </c>
      <c r="G329" s="41">
        <f t="shared" si="19"/>
        <v>160237.60999999999</v>
      </c>
      <c r="H329" s="41">
        <f t="shared" si="19"/>
        <v>339812.33</v>
      </c>
      <c r="I329" s="41">
        <f t="shared" si="19"/>
        <v>30597.02</v>
      </c>
      <c r="J329" s="41">
        <f t="shared" si="19"/>
        <v>46803.99</v>
      </c>
      <c r="K329" s="41">
        <f t="shared" si="19"/>
        <v>16691.27</v>
      </c>
      <c r="L329" s="41">
        <f t="shared" si="18"/>
        <v>1501837.1700000002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3217215.63</v>
      </c>
      <c r="G330" s="41">
        <f t="shared" si="20"/>
        <v>803095.49</v>
      </c>
      <c r="H330" s="41">
        <f t="shared" si="20"/>
        <v>1080629.79</v>
      </c>
      <c r="I330" s="41">
        <f t="shared" si="20"/>
        <v>229210.21999999997</v>
      </c>
      <c r="J330" s="41">
        <f t="shared" si="20"/>
        <v>209311.53999999998</v>
      </c>
      <c r="K330" s="41">
        <f t="shared" si="20"/>
        <v>122366.73</v>
      </c>
      <c r="L330" s="41">
        <f t="shared" si="20"/>
        <v>5661829.3999999994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3217215.63</v>
      </c>
      <c r="G344" s="41">
        <f>G330</f>
        <v>803095.49</v>
      </c>
      <c r="H344" s="41">
        <f>H330</f>
        <v>1080629.79</v>
      </c>
      <c r="I344" s="41">
        <f>I330</f>
        <v>229210.21999999997</v>
      </c>
      <c r="J344" s="41">
        <f>J330</f>
        <v>209311.53999999998</v>
      </c>
      <c r="K344" s="47">
        <f>K330+K343</f>
        <v>122366.73</v>
      </c>
      <c r="L344" s="41">
        <f>L330+L343</f>
        <v>5661829.3999999994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164566.46</v>
      </c>
      <c r="G350" s="18">
        <v>24426.99</v>
      </c>
      <c r="H350" s="18">
        <v>14895.35</v>
      </c>
      <c r="I350" s="18">
        <v>239411.89</v>
      </c>
      <c r="J350" s="18">
        <v>4499.53</v>
      </c>
      <c r="K350" s="18">
        <v>74.849999999999994</v>
      </c>
      <c r="L350" s="13">
        <f>SUM(F350:K350)</f>
        <v>447875.07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121004.75</v>
      </c>
      <c r="G351" s="18">
        <v>17961.02</v>
      </c>
      <c r="H351" s="18">
        <v>10952.46</v>
      </c>
      <c r="I351" s="18">
        <v>176038.15</v>
      </c>
      <c r="J351" s="18">
        <v>3308.48</v>
      </c>
      <c r="K351" s="18">
        <v>55.04</v>
      </c>
      <c r="L351" s="19">
        <f>SUM(F351:K351)</f>
        <v>329319.89999999997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198447.77</v>
      </c>
      <c r="G352" s="18">
        <v>29456.080000000002</v>
      </c>
      <c r="H352" s="18">
        <v>17962.03</v>
      </c>
      <c r="I352" s="18">
        <v>288702.57</v>
      </c>
      <c r="J352" s="18">
        <v>5425.9</v>
      </c>
      <c r="K352" s="18">
        <v>90.26</v>
      </c>
      <c r="L352" s="19">
        <f>SUM(F352:K352)</f>
        <v>540084.61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484018.98</v>
      </c>
      <c r="G354" s="47">
        <f t="shared" si="22"/>
        <v>71844.09</v>
      </c>
      <c r="H354" s="47">
        <f t="shared" si="22"/>
        <v>43809.84</v>
      </c>
      <c r="I354" s="47">
        <f t="shared" si="22"/>
        <v>704152.6100000001</v>
      </c>
      <c r="J354" s="47">
        <f t="shared" si="22"/>
        <v>13233.91</v>
      </c>
      <c r="K354" s="47">
        <f t="shared" si="22"/>
        <v>220.14999999999998</v>
      </c>
      <c r="L354" s="47">
        <f t="shared" si="22"/>
        <v>1317279.58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223833.24</v>
      </c>
      <c r="G359" s="18">
        <v>164583.28</v>
      </c>
      <c r="H359" s="18">
        <v>269916.58</v>
      </c>
      <c r="I359" s="56">
        <f>SUM(F359:H359)</f>
        <v>658333.10000000009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15578.63</v>
      </c>
      <c r="G360" s="63">
        <v>11454.88</v>
      </c>
      <c r="H360" s="63">
        <v>18786</v>
      </c>
      <c r="I360" s="56">
        <f>SUM(F360:H360)</f>
        <v>45819.509999999995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239411.87</v>
      </c>
      <c r="G361" s="47">
        <f>SUM(G359:G360)</f>
        <v>176038.16</v>
      </c>
      <c r="H361" s="47">
        <f>SUM(H359:H360)</f>
        <v>288702.58</v>
      </c>
      <c r="I361" s="47">
        <f>SUM(I359:I360)</f>
        <v>704152.6100000001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v>19277.29</v>
      </c>
      <c r="I367" s="18"/>
      <c r="J367" s="18"/>
      <c r="K367" s="18"/>
      <c r="L367" s="13">
        <f t="shared" ref="L367:L373" si="23">SUM(F367:K367)</f>
        <v>19277.29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401456.19</v>
      </c>
      <c r="I368" s="18"/>
      <c r="J368" s="18"/>
      <c r="K368" s="18"/>
      <c r="L368" s="13">
        <f t="shared" si="23"/>
        <v>401456.19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21950</v>
      </c>
      <c r="G370" s="18">
        <v>1679.2</v>
      </c>
      <c r="H370" s="18">
        <v>2212551</v>
      </c>
      <c r="I370" s="18"/>
      <c r="J370" s="18"/>
      <c r="K370" s="18">
        <v>1312.8</v>
      </c>
      <c r="L370" s="13">
        <f t="shared" si="23"/>
        <v>2237493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100727.47</v>
      </c>
      <c r="I371" s="18"/>
      <c r="J371" s="18">
        <v>73994.67</v>
      </c>
      <c r="K371" s="18"/>
      <c r="L371" s="13">
        <f t="shared" si="23"/>
        <v>174722.14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21950</v>
      </c>
      <c r="G374" s="139">
        <f t="shared" ref="G374:L374" si="24">SUM(G366:G373)</f>
        <v>1679.2</v>
      </c>
      <c r="H374" s="139">
        <f t="shared" si="24"/>
        <v>2734011.95</v>
      </c>
      <c r="I374" s="41">
        <f t="shared" si="24"/>
        <v>0</v>
      </c>
      <c r="J374" s="47">
        <f t="shared" si="24"/>
        <v>73994.67</v>
      </c>
      <c r="K374" s="47">
        <f t="shared" si="24"/>
        <v>1312.8</v>
      </c>
      <c r="L374" s="47">
        <f t="shared" si="24"/>
        <v>2832948.62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447000</v>
      </c>
      <c r="H389" s="18"/>
      <c r="I389" s="18"/>
      <c r="J389" s="24" t="s">
        <v>312</v>
      </c>
      <c r="K389" s="24" t="s">
        <v>312</v>
      </c>
      <c r="L389" s="56">
        <f t="shared" si="26"/>
        <v>447000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447000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447000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447000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447000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447000</v>
      </c>
      <c r="L415" s="56">
        <f t="shared" si="29"/>
        <v>447000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447000</v>
      </c>
      <c r="L419" s="47">
        <f t="shared" si="30"/>
        <v>447000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447000</v>
      </c>
      <c r="L426" s="47">
        <f t="shared" si="32"/>
        <v>447000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/>
      <c r="G455" s="18"/>
      <c r="H455" s="18"/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44151508.990000002</v>
      </c>
      <c r="G458" s="18">
        <v>1418345.49</v>
      </c>
      <c r="H458" s="18">
        <v>5681576.3499999996</v>
      </c>
      <c r="I458" s="18">
        <v>2832948.62</v>
      </c>
      <c r="J458" s="18">
        <v>447000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64757.58+169909</f>
        <v>234666.58000000002</v>
      </c>
      <c r="G459" s="18"/>
      <c r="H459" s="18">
        <v>855288.74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44386175.57</v>
      </c>
      <c r="G460" s="53">
        <f>SUM(G458:G459)</f>
        <v>1418345.49</v>
      </c>
      <c r="H460" s="53">
        <f>SUM(H458:H459)</f>
        <v>6536865.0899999999</v>
      </c>
      <c r="I460" s="53">
        <f>SUM(I458:I459)</f>
        <v>2832948.62</v>
      </c>
      <c r="J460" s="53">
        <f>SUM(J458:J459)</f>
        <v>447000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43968368.840000004</v>
      </c>
      <c r="G462" s="18">
        <v>1317279.58</v>
      </c>
      <c r="H462" s="18">
        <v>5661829.4000000004</v>
      </c>
      <c r="I462" s="18">
        <v>2832948.62</v>
      </c>
      <c r="J462" s="18">
        <v>447000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50605.38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43968368.840000004</v>
      </c>
      <c r="G464" s="53">
        <f>SUM(G462:G463)</f>
        <v>1367884.96</v>
      </c>
      <c r="H464" s="53">
        <f>SUM(H462:H463)</f>
        <v>5661829.4000000004</v>
      </c>
      <c r="I464" s="53">
        <f>SUM(I462:I463)</f>
        <v>2832948.62</v>
      </c>
      <c r="J464" s="53">
        <f>SUM(J462:J463)</f>
        <v>447000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417806.72999999672</v>
      </c>
      <c r="G466" s="53">
        <f>(G455+G460)- G464</f>
        <v>50460.530000000028</v>
      </c>
      <c r="H466" s="53">
        <f>(H455+H460)- H464</f>
        <v>875035.68999999948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27408664</v>
      </c>
      <c r="G485" s="18"/>
      <c r="H485" s="18"/>
      <c r="I485" s="18"/>
      <c r="J485" s="18"/>
      <c r="K485" s="53">
        <f>SUM(F485:J485)</f>
        <v>27408664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2317602</v>
      </c>
      <c r="G487" s="18"/>
      <c r="H487" s="18"/>
      <c r="I487" s="18"/>
      <c r="J487" s="18"/>
      <c r="K487" s="53">
        <f t="shared" si="34"/>
        <v>2317602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25091062</v>
      </c>
      <c r="G488" s="205"/>
      <c r="H488" s="205"/>
      <c r="I488" s="205"/>
      <c r="J488" s="205"/>
      <c r="K488" s="206">
        <f t="shared" si="34"/>
        <v>25091062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14254577</v>
      </c>
      <c r="G489" s="18"/>
      <c r="H489" s="18"/>
      <c r="I489" s="18"/>
      <c r="J489" s="18"/>
      <c r="K489" s="53">
        <f t="shared" si="34"/>
        <v>14254577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39345639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39345639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1793889</v>
      </c>
      <c r="G497" s="144">
        <v>127019</v>
      </c>
      <c r="H497" s="144">
        <v>-257385</v>
      </c>
      <c r="I497" s="144">
        <v>1663523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2256200.8199999998</v>
      </c>
      <c r="G511" s="18">
        <v>543827.27</v>
      </c>
      <c r="H511" s="18">
        <v>275851.21999999997</v>
      </c>
      <c r="I511" s="18">
        <v>46212.39</v>
      </c>
      <c r="J511" s="18">
        <v>20860.73</v>
      </c>
      <c r="K511" s="18">
        <v>542.66999999999996</v>
      </c>
      <c r="L511" s="88">
        <f>SUM(F511:K511)</f>
        <v>3143495.0999999996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1300951.6499999999</v>
      </c>
      <c r="G512" s="18">
        <v>374373.1</v>
      </c>
      <c r="H512" s="18">
        <v>420082.67</v>
      </c>
      <c r="I512" s="18">
        <v>42291.83</v>
      </c>
      <c r="J512" s="18">
        <v>18276.2</v>
      </c>
      <c r="K512" s="18">
        <v>413.43</v>
      </c>
      <c r="L512" s="88">
        <f>SUM(F512:K512)</f>
        <v>2156388.8800000004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1645008.06</v>
      </c>
      <c r="G513" s="18">
        <v>521968.69</v>
      </c>
      <c r="H513" s="18">
        <v>606425.22</v>
      </c>
      <c r="I513" s="18">
        <v>42269.72</v>
      </c>
      <c r="J513" s="18">
        <v>31636.13</v>
      </c>
      <c r="K513" s="18">
        <v>4754.83</v>
      </c>
      <c r="L513" s="88">
        <f>SUM(F513:K513)</f>
        <v>2852062.65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5202160.5299999993</v>
      </c>
      <c r="G514" s="108">
        <f t="shared" ref="G514:L514" si="35">SUM(G511:G513)</f>
        <v>1440169.06</v>
      </c>
      <c r="H514" s="108">
        <f t="shared" si="35"/>
        <v>1302359.1099999999</v>
      </c>
      <c r="I514" s="108">
        <f t="shared" si="35"/>
        <v>130773.94</v>
      </c>
      <c r="J514" s="108">
        <f t="shared" si="35"/>
        <v>70773.06</v>
      </c>
      <c r="K514" s="108">
        <f t="shared" si="35"/>
        <v>5710.93</v>
      </c>
      <c r="L514" s="89">
        <f t="shared" si="35"/>
        <v>8151946.6300000008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240908.82</v>
      </c>
      <c r="G516" s="18">
        <v>69573.41</v>
      </c>
      <c r="H516" s="18">
        <v>99201.81</v>
      </c>
      <c r="I516" s="18">
        <v>4118.05</v>
      </c>
      <c r="J516" s="18">
        <v>2231.86</v>
      </c>
      <c r="K516" s="18">
        <v>0</v>
      </c>
      <c r="L516" s="88">
        <f>SUM(F516:K516)</f>
        <v>416033.94999999995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140641.65</v>
      </c>
      <c r="G517" s="18">
        <v>51861.19</v>
      </c>
      <c r="H517" s="18">
        <v>129894.07</v>
      </c>
      <c r="I517" s="18">
        <v>5415.72</v>
      </c>
      <c r="J517" s="18">
        <v>4464.8</v>
      </c>
      <c r="K517" s="18">
        <v>0</v>
      </c>
      <c r="L517" s="88">
        <f>SUM(F517:K517)</f>
        <v>332277.43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303873.65000000002</v>
      </c>
      <c r="G518" s="18">
        <v>78557.740000000005</v>
      </c>
      <c r="H518" s="18">
        <v>180715.26</v>
      </c>
      <c r="I518" s="18">
        <v>9214.1200000000008</v>
      </c>
      <c r="J518" s="18">
        <v>19973.78</v>
      </c>
      <c r="K518" s="18">
        <v>2380</v>
      </c>
      <c r="L518" s="88">
        <f>SUM(F518:K518)</f>
        <v>594714.55000000005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685424.12</v>
      </c>
      <c r="G519" s="89">
        <f t="shared" ref="G519:L519" si="36">SUM(G516:G518)</f>
        <v>199992.34000000003</v>
      </c>
      <c r="H519" s="89">
        <f t="shared" si="36"/>
        <v>409811.14</v>
      </c>
      <c r="I519" s="89">
        <f t="shared" si="36"/>
        <v>18747.89</v>
      </c>
      <c r="J519" s="89">
        <f t="shared" si="36"/>
        <v>26670.44</v>
      </c>
      <c r="K519" s="89">
        <f t="shared" si="36"/>
        <v>2380</v>
      </c>
      <c r="L519" s="89">
        <f t="shared" si="36"/>
        <v>1343025.93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53521.19</v>
      </c>
      <c r="G521" s="18">
        <v>38953.550000000003</v>
      </c>
      <c r="H521" s="18">
        <v>2983.99</v>
      </c>
      <c r="I521" s="18">
        <v>1729.94</v>
      </c>
      <c r="J521" s="18">
        <v>1358.01</v>
      </c>
      <c r="K521" s="18">
        <v>488.22</v>
      </c>
      <c r="L521" s="88">
        <f>SUM(F521:K521)</f>
        <v>99034.900000000009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39353.82</v>
      </c>
      <c r="G522" s="18">
        <v>28642.31</v>
      </c>
      <c r="H522" s="18">
        <v>2194.11</v>
      </c>
      <c r="I522" s="18">
        <v>1272.02</v>
      </c>
      <c r="J522" s="18">
        <v>998.54</v>
      </c>
      <c r="K522" s="18">
        <v>358.98</v>
      </c>
      <c r="L522" s="88">
        <f>SUM(F522:K522)</f>
        <v>72819.78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64540.26</v>
      </c>
      <c r="G523" s="18">
        <v>46973.39</v>
      </c>
      <c r="H523" s="18">
        <v>3598.34</v>
      </c>
      <c r="I523" s="18">
        <v>2086.11</v>
      </c>
      <c r="J523" s="18">
        <v>1637.6</v>
      </c>
      <c r="K523" s="18">
        <v>588.73</v>
      </c>
      <c r="L523" s="88">
        <f>SUM(F523:K523)</f>
        <v>119424.43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157415.27000000002</v>
      </c>
      <c r="G524" s="89">
        <f t="shared" ref="G524:L524" si="37">SUM(G521:G523)</f>
        <v>114569.25</v>
      </c>
      <c r="H524" s="89">
        <f t="shared" si="37"/>
        <v>8776.44</v>
      </c>
      <c r="I524" s="89">
        <f t="shared" si="37"/>
        <v>5088.07</v>
      </c>
      <c r="J524" s="89">
        <f t="shared" si="37"/>
        <v>3994.15</v>
      </c>
      <c r="K524" s="89">
        <f t="shared" si="37"/>
        <v>1435.93</v>
      </c>
      <c r="L524" s="89">
        <f t="shared" si="37"/>
        <v>291279.11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4305.88</v>
      </c>
      <c r="I526" s="18">
        <v>0</v>
      </c>
      <c r="J526" s="18">
        <v>0</v>
      </c>
      <c r="K526" s="18">
        <v>0</v>
      </c>
      <c r="L526" s="88">
        <f>SUM(F526:K526)</f>
        <v>4305.88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3392.51</v>
      </c>
      <c r="I527" s="18">
        <v>0</v>
      </c>
      <c r="J527" s="18">
        <v>0</v>
      </c>
      <c r="K527" s="18">
        <v>0</v>
      </c>
      <c r="L527" s="88">
        <f>SUM(F527:K527)</f>
        <v>3392.51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5349.73</v>
      </c>
      <c r="I528" s="18">
        <v>0</v>
      </c>
      <c r="J528" s="18">
        <v>0</v>
      </c>
      <c r="K528" s="18">
        <v>0</v>
      </c>
      <c r="L528" s="88">
        <f>SUM(F528:K528)</f>
        <v>5349.73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13048.119999999999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13048.119999999999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0</v>
      </c>
      <c r="G531" s="18">
        <v>0</v>
      </c>
      <c r="H531" s="18">
        <f>17065+104105.39</f>
        <v>121170.39</v>
      </c>
      <c r="I531" s="18"/>
      <c r="J531" s="18"/>
      <c r="K531" s="18"/>
      <c r="L531" s="88">
        <f>SUM(F531:K531)</f>
        <v>121170.39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0</v>
      </c>
      <c r="G532" s="18">
        <v>0</v>
      </c>
      <c r="H532" s="18">
        <v>97382.399999999994</v>
      </c>
      <c r="I532" s="18"/>
      <c r="J532" s="18"/>
      <c r="K532" s="18"/>
      <c r="L532" s="88">
        <f>SUM(F532:K532)</f>
        <v>97382.399999999994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0</v>
      </c>
      <c r="G533" s="18">
        <v>0</v>
      </c>
      <c r="H533" s="18">
        <v>157731.4</v>
      </c>
      <c r="I533" s="18"/>
      <c r="J533" s="18"/>
      <c r="K533" s="18"/>
      <c r="L533" s="88">
        <f>SUM(F533:K533)</f>
        <v>157731.4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376284.18999999994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376284.18999999994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6044999.9199999999</v>
      </c>
      <c r="G535" s="89">
        <f t="shared" ref="G535:L535" si="40">G514+G519+G524+G529+G534</f>
        <v>1754730.6500000001</v>
      </c>
      <c r="H535" s="89">
        <f t="shared" si="40"/>
        <v>2110279</v>
      </c>
      <c r="I535" s="89">
        <f t="shared" si="40"/>
        <v>154609.90000000002</v>
      </c>
      <c r="J535" s="89">
        <f t="shared" si="40"/>
        <v>101437.65</v>
      </c>
      <c r="K535" s="89">
        <f t="shared" si="40"/>
        <v>9526.86</v>
      </c>
      <c r="L535" s="89">
        <f t="shared" si="40"/>
        <v>10175583.979999999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3143495.0999999996</v>
      </c>
      <c r="G539" s="87">
        <f>L516</f>
        <v>416033.94999999995</v>
      </c>
      <c r="H539" s="87">
        <f>L521</f>
        <v>99034.900000000009</v>
      </c>
      <c r="I539" s="87">
        <f>L526</f>
        <v>4305.88</v>
      </c>
      <c r="J539" s="87">
        <f>L531</f>
        <v>121170.39</v>
      </c>
      <c r="K539" s="87">
        <f>SUM(F539:J539)</f>
        <v>3784040.2199999997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2156388.8800000004</v>
      </c>
      <c r="G540" s="87">
        <f>L517</f>
        <v>332277.43</v>
      </c>
      <c r="H540" s="87">
        <f>L522</f>
        <v>72819.78</v>
      </c>
      <c r="I540" s="87">
        <f>L527</f>
        <v>3392.51</v>
      </c>
      <c r="J540" s="87">
        <f>L532</f>
        <v>97382.399999999994</v>
      </c>
      <c r="K540" s="87">
        <f>SUM(F540:J540)</f>
        <v>2662261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2852062.65</v>
      </c>
      <c r="G541" s="87">
        <f>L518</f>
        <v>594714.55000000005</v>
      </c>
      <c r="H541" s="87">
        <f>L523</f>
        <v>119424.43</v>
      </c>
      <c r="I541" s="87">
        <f>L528</f>
        <v>5349.73</v>
      </c>
      <c r="J541" s="87">
        <f>L533</f>
        <v>157731.4</v>
      </c>
      <c r="K541" s="87">
        <f>SUM(F541:J541)</f>
        <v>3729282.7600000002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8151946.6300000008</v>
      </c>
      <c r="G542" s="89">
        <f t="shared" si="41"/>
        <v>1343025.93</v>
      </c>
      <c r="H542" s="89">
        <f t="shared" si="41"/>
        <v>291279.11</v>
      </c>
      <c r="I542" s="89">
        <f t="shared" si="41"/>
        <v>13048.119999999999</v>
      </c>
      <c r="J542" s="89">
        <f t="shared" si="41"/>
        <v>376284.18999999994</v>
      </c>
      <c r="K542" s="89">
        <f t="shared" si="41"/>
        <v>10175583.98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18104.43</v>
      </c>
      <c r="G565" s="18">
        <v>32084.9</v>
      </c>
      <c r="H565" s="18">
        <v>40602.68</v>
      </c>
      <c r="I565" s="87">
        <f>SUM(F565:H565)</f>
        <v>90792.010000000009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2550+199850.7</f>
        <v>202400.7</v>
      </c>
      <c r="G572" s="18">
        <v>349250.03</v>
      </c>
      <c r="H572" s="18">
        <f>9760+451823.9</f>
        <v>461583.9</v>
      </c>
      <c r="I572" s="87">
        <f t="shared" si="46"/>
        <v>1013234.63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8620.42</v>
      </c>
      <c r="I574" s="87">
        <f t="shared" si="46"/>
        <v>8620.42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343850.44</v>
      </c>
      <c r="I581" s="18">
        <v>248066.51</v>
      </c>
      <c r="J581" s="18">
        <v>406829.06</v>
      </c>
      <c r="K581" s="104">
        <f t="shared" ref="K581:K587" si="47">SUM(H581:J581)</f>
        <v>998746.01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121170.39</v>
      </c>
      <c r="I582" s="18">
        <v>97382.399999999994</v>
      </c>
      <c r="J582" s="18">
        <v>157731.4</v>
      </c>
      <c r="K582" s="104">
        <f t="shared" si="47"/>
        <v>376284.18999999994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96228.63</v>
      </c>
      <c r="K583" s="104">
        <f t="shared" si="47"/>
        <v>96228.63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10584.52</v>
      </c>
      <c r="J584" s="18">
        <v>80575.929999999993</v>
      </c>
      <c r="K584" s="104">
        <f t="shared" si="47"/>
        <v>91160.45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0</v>
      </c>
      <c r="I585" s="18">
        <v>1850</v>
      </c>
      <c r="J585" s="18">
        <v>5004.72</v>
      </c>
      <c r="K585" s="104">
        <f t="shared" si="47"/>
        <v>6854.72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10076.84</v>
      </c>
      <c r="I587" s="18">
        <v>7409.44</v>
      </c>
      <c r="J587" s="18">
        <v>12151.48</v>
      </c>
      <c r="K587" s="104">
        <f t="shared" si="47"/>
        <v>29637.759999999998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475097.67000000004</v>
      </c>
      <c r="I588" s="108">
        <f>SUM(I581:I587)</f>
        <v>365292.87000000005</v>
      </c>
      <c r="J588" s="108">
        <f>SUM(J581:J587)</f>
        <v>758521.22</v>
      </c>
      <c r="K588" s="108">
        <f>SUM(K581:K587)</f>
        <v>1598911.76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139668.44</v>
      </c>
      <c r="I594" s="18">
        <v>92311.19</v>
      </c>
      <c r="J594" s="18">
        <v>371489.14</v>
      </c>
      <c r="K594" s="104">
        <f>SUM(H594:J594)</f>
        <v>603468.77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139668.44</v>
      </c>
      <c r="I595" s="108">
        <f>SUM(I592:I594)</f>
        <v>92311.19</v>
      </c>
      <c r="J595" s="108">
        <f>SUM(J592:J594)</f>
        <v>371489.14</v>
      </c>
      <c r="K595" s="108">
        <f>SUM(K592:K594)</f>
        <v>603468.77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13706.38</v>
      </c>
      <c r="G601" s="18">
        <v>1816.93</v>
      </c>
      <c r="H601" s="18"/>
      <c r="I601" s="18"/>
      <c r="J601" s="18"/>
      <c r="K601" s="18"/>
      <c r="L601" s="88">
        <f>SUM(F601:K601)</f>
        <v>15523.31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33666.949999999997</v>
      </c>
      <c r="G602" s="18">
        <v>4659.33</v>
      </c>
      <c r="H602" s="18"/>
      <c r="I602" s="18"/>
      <c r="J602" s="18"/>
      <c r="K602" s="18"/>
      <c r="L602" s="88">
        <f>SUM(F602:K602)</f>
        <v>38326.28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17425</v>
      </c>
      <c r="G603" s="18">
        <v>2499.37</v>
      </c>
      <c r="H603" s="18"/>
      <c r="I603" s="18"/>
      <c r="J603" s="18"/>
      <c r="K603" s="18"/>
      <c r="L603" s="88">
        <f>SUM(F603:K603)</f>
        <v>19924.37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64798.329999999994</v>
      </c>
      <c r="G604" s="108">
        <f t="shared" si="48"/>
        <v>8975.630000000001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73773.959999999992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2755891.4</v>
      </c>
      <c r="H607" s="109">
        <f>SUM(F44)</f>
        <v>2755891.4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50530.81</v>
      </c>
      <c r="H608" s="109">
        <f>SUM(G44)</f>
        <v>50530.81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878893.55</v>
      </c>
      <c r="H609" s="109">
        <f>SUM(H44)</f>
        <v>878893.54999999993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417806.73</v>
      </c>
      <c r="H612" s="109">
        <f>F466</f>
        <v>417806.72999999672</v>
      </c>
      <c r="I612" s="121" t="s">
        <v>106</v>
      </c>
      <c r="J612" s="109">
        <f t="shared" ref="J612:J645" si="49">G612-H612</f>
        <v>3.2596290111541748E-9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50460.53</v>
      </c>
      <c r="H613" s="109">
        <f>G466</f>
        <v>50460.530000000028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875035.69</v>
      </c>
      <c r="H614" s="109">
        <f>H466</f>
        <v>875035.68999999948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44151508.990000002</v>
      </c>
      <c r="H617" s="104">
        <f>SUM(F458)</f>
        <v>44151508.990000002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1418345.49</v>
      </c>
      <c r="H618" s="104">
        <f>SUM(G458)</f>
        <v>1418345.49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5681576.3499999996</v>
      </c>
      <c r="H619" s="104">
        <f>SUM(H458)</f>
        <v>5681576.3499999996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2832948.62</v>
      </c>
      <c r="H620" s="104">
        <f>SUM(I458)</f>
        <v>2832948.62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447000</v>
      </c>
      <c r="H621" s="104">
        <f>SUM(J458)</f>
        <v>447000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43968368.840000011</v>
      </c>
      <c r="H622" s="104">
        <f>SUM(F462)</f>
        <v>43968368.840000004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5661829.3999999994</v>
      </c>
      <c r="H623" s="104">
        <f>SUM(H462)</f>
        <v>5661829.4000000004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704152.6100000001</v>
      </c>
      <c r="H624" s="104">
        <f>I361</f>
        <v>704152.6100000001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1317279.58</v>
      </c>
      <c r="H625" s="104">
        <f>SUM(G462)</f>
        <v>1317279.58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2832948.62</v>
      </c>
      <c r="H626" s="104">
        <f>SUM(I462)</f>
        <v>2832948.62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447000</v>
      </c>
      <c r="H627" s="164">
        <f>SUM(J458)</f>
        <v>447000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447000</v>
      </c>
      <c r="H628" s="164">
        <f>SUM(J462)</f>
        <v>447000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447000</v>
      </c>
      <c r="H635" s="104">
        <f>G400</f>
        <v>447000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447000</v>
      </c>
      <c r="H636" s="104">
        <f>L400</f>
        <v>447000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1598911.76</v>
      </c>
      <c r="H637" s="104">
        <f>L200+L218+L236</f>
        <v>1598911.76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603468.77</v>
      </c>
      <c r="H638" s="104">
        <f>(J249+J330)-(J247+J328)</f>
        <v>603468.77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475097.67</v>
      </c>
      <c r="H639" s="104">
        <f>H588</f>
        <v>475097.67000000004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365292.87</v>
      </c>
      <c r="H640" s="104">
        <f>I588</f>
        <v>365292.87000000005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758521.22</v>
      </c>
      <c r="H641" s="104">
        <f>J588</f>
        <v>758521.22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447000</v>
      </c>
      <c r="H645" s="104">
        <f>K258+K339</f>
        <v>447000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15197828.160000004</v>
      </c>
      <c r="G650" s="19">
        <f>(L221+L301+L351)</f>
        <v>11390252.460000001</v>
      </c>
      <c r="H650" s="19">
        <f>(L239+L320+L352)</f>
        <v>18476419.510000002</v>
      </c>
      <c r="I650" s="19">
        <f>SUM(F650:H650)</f>
        <v>45064500.13000001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275600.95467650943</v>
      </c>
      <c r="G651" s="19">
        <f>(L351/IF(SUM(L350:L352)=0,1,SUM(L350:L352))*(SUM(G89:G102)))</f>
        <v>202647.7580767615</v>
      </c>
      <c r="H651" s="19">
        <f>(L352/IF(SUM(L350:L352)=0,1,SUM(L350:L352))*(SUM(G89:G102)))</f>
        <v>332342.30724672903</v>
      </c>
      <c r="I651" s="19">
        <f>SUM(F651:H651)</f>
        <v>810591.02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481364.2</v>
      </c>
      <c r="G652" s="19">
        <f>(L218+L298)-(J218+J298)</f>
        <v>367153.2</v>
      </c>
      <c r="H652" s="19">
        <f>(L236+L317)-(J236+J317)</f>
        <v>778763.21</v>
      </c>
      <c r="I652" s="19">
        <f>SUM(F652:H652)</f>
        <v>1627280.6099999999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375696.88</v>
      </c>
      <c r="G653" s="200">
        <f>SUM(G565:G577)+SUM(I592:I594)+L602</f>
        <v>511972.4</v>
      </c>
      <c r="H653" s="200">
        <f>SUM(H565:H577)+SUM(J592:J594)+L603</f>
        <v>902220.51</v>
      </c>
      <c r="I653" s="19">
        <f>SUM(F653:H653)</f>
        <v>1789889.79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14065166.125323495</v>
      </c>
      <c r="G654" s="19">
        <f>G650-SUM(G651:G653)</f>
        <v>10308479.101923238</v>
      </c>
      <c r="H654" s="19">
        <f>H650-SUM(H651:H653)</f>
        <v>16463093.482753273</v>
      </c>
      <c r="I654" s="19">
        <f>I650-SUM(I651:I653)</f>
        <v>40836738.710000008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1399.24</v>
      </c>
      <c r="G655" s="249">
        <v>1068.99</v>
      </c>
      <c r="H655" s="249">
        <v>1539.56</v>
      </c>
      <c r="I655" s="19">
        <f>SUM(F655:H655)</f>
        <v>4007.79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10052</v>
      </c>
      <c r="G657" s="19">
        <f>ROUND(G654/G655,2)</f>
        <v>9643.2000000000007</v>
      </c>
      <c r="H657" s="19">
        <f>ROUND(H654/H655,2)</f>
        <v>10693.38</v>
      </c>
      <c r="I657" s="19">
        <f>ROUND(I654/I655,2)</f>
        <v>10189.34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41.42</v>
      </c>
      <c r="I660" s="19">
        <f>SUM(F660:H660)</f>
        <v>41.42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10052</v>
      </c>
      <c r="G662" s="19">
        <f>ROUND((G654+G659)/(G655+G660),2)</f>
        <v>9643.2000000000007</v>
      </c>
      <c r="H662" s="19">
        <f>ROUND((H654+H659)/(H655+H660),2)</f>
        <v>10413.219999999999</v>
      </c>
      <c r="I662" s="19">
        <f>ROUND((I654+I659)/(I655+I660),2)</f>
        <v>10085.11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1A47-2495-43DD-A07D-A40E71F41C20}">
  <sheetPr>
    <tabColor indexed="20"/>
  </sheetPr>
  <dimension ref="A1:C52"/>
  <sheetViews>
    <sheetView workbookViewId="0">
      <selection activeCell="F43" sqref="F4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Dover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12328302.41</v>
      </c>
      <c r="C9" s="230">
        <f>'DOE25'!G189+'DOE25'!G207+'DOE25'!G225+'DOE25'!G268+'DOE25'!G287+'DOE25'!G306</f>
        <v>5381308.5499999998</v>
      </c>
    </row>
    <row r="10" spans="1:3" x14ac:dyDescent="0.2">
      <c r="A10" t="s">
        <v>813</v>
      </c>
      <c r="B10" s="241">
        <f>10945951.34+327801.93+5388.8+40716.95+47356.55+46013.55</f>
        <v>11413229.120000001</v>
      </c>
      <c r="C10" s="241">
        <f>4889117.59+297274.08+25444.46+1444.2+5718.5+10414.98+2733.43+195.85+0.01</f>
        <v>5232343.0999999996</v>
      </c>
    </row>
    <row r="11" spans="1:3" x14ac:dyDescent="0.2">
      <c r="A11" t="s">
        <v>814</v>
      </c>
      <c r="B11" s="241">
        <f>703611.68+4850+4627.49+24902.13</f>
        <v>737991.3</v>
      </c>
      <c r="C11" s="241">
        <f>26825.24+48265.78+18808.43+353.99+25461.65</f>
        <v>119715.09000000003</v>
      </c>
    </row>
    <row r="12" spans="1:3" x14ac:dyDescent="0.2">
      <c r="A12" t="s">
        <v>815</v>
      </c>
      <c r="B12" s="241">
        <v>177081.99</v>
      </c>
      <c r="C12" s="241">
        <f>29250.36</f>
        <v>29250.36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12328302.410000002</v>
      </c>
      <c r="C13" s="232">
        <f>SUM(C10:C12)</f>
        <v>5381308.5499999998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5202160.5299999993</v>
      </c>
      <c r="C18" s="230">
        <f>'DOE25'!G190+'DOE25'!G208+'DOE25'!G226+'DOE25'!G269+'DOE25'!G288+'DOE25'!G307</f>
        <v>1440169.06</v>
      </c>
    </row>
    <row r="19" spans="1:3" x14ac:dyDescent="0.2">
      <c r="A19" t="s">
        <v>813</v>
      </c>
      <c r="B19" s="241">
        <f>394885.88+110153.28+934311.24+176892.2+13706.38+8917.46+422.5+24642.11+25736.4+3794.38+151203.78+3055+29057.76+6732.76+390540.27+6027.75+401835.79+561.05</f>
        <v>2682475.9899999993</v>
      </c>
      <c r="C19" s="241">
        <f>180154.06+46421.05+398785.12+75344.36+1816.93+494.54+32.32+3393.71+13087.12+549.66+54957.8+462.53+18574.66+1014.78+85534.61+549.13+206763.96-0.1</f>
        <v>1087936.24</v>
      </c>
    </row>
    <row r="20" spans="1:3" x14ac:dyDescent="0.2">
      <c r="A20" t="s">
        <v>814</v>
      </c>
      <c r="B20" s="241">
        <f>1566389.7+154832.81+4800+127966.88+15799.7+1925+345607.58+1287.72+4314.27+21621.85+58253.7+1218.46</f>
        <v>2304017.6700000004</v>
      </c>
      <c r="C20" s="241">
        <f>58299.33+150171.15+18834.68+1208.66+41409.41+98.51+389.15+1654.09+5216.08+93.18+9789.8</f>
        <v>287164.04000000004</v>
      </c>
    </row>
    <row r="21" spans="1:3" x14ac:dyDescent="0.2">
      <c r="A21" t="s">
        <v>815</v>
      </c>
      <c r="B21" s="241">
        <f>90473.58+36435.6+1000+25472.47+32054.03+16182.39+14048.8</f>
        <v>215666.87</v>
      </c>
      <c r="C21" s="241">
        <f>31187.3+22057.03+4083.44+5428.31+1237.95+1074.75</f>
        <v>65068.78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5202160.53</v>
      </c>
      <c r="C22" s="232">
        <f>SUM(C19:C21)</f>
        <v>1440169.06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1213186.5600000001</v>
      </c>
      <c r="C27" s="235">
        <f>'DOE25'!G191+'DOE25'!G209+'DOE25'!G227+'DOE25'!G270+'DOE25'!G289+'DOE25'!G308</f>
        <v>562482.68000000005</v>
      </c>
    </row>
    <row r="28" spans="1:3" x14ac:dyDescent="0.2">
      <c r="A28" t="s">
        <v>813</v>
      </c>
      <c r="B28" s="241">
        <f>1058207.54+3170.05+5925.99</f>
        <v>1067303.58</v>
      </c>
      <c r="C28" s="241">
        <f>522490.79+197.84+897.2</f>
        <v>523585.83</v>
      </c>
    </row>
    <row r="29" spans="1:3" x14ac:dyDescent="0.2">
      <c r="A29" t="s">
        <v>814</v>
      </c>
      <c r="B29" s="241">
        <f>2675+5799.19</f>
        <v>8474.1899999999987</v>
      </c>
      <c r="C29" s="241">
        <f>204.63+443</f>
        <v>647.63</v>
      </c>
    </row>
    <row r="30" spans="1:3" x14ac:dyDescent="0.2">
      <c r="A30" t="s">
        <v>815</v>
      </c>
      <c r="B30" s="241">
        <f>97523.19+36435.6+1300+2150</f>
        <v>137408.79</v>
      </c>
      <c r="C30" s="241">
        <f>16338.1+21746.6+164.52</f>
        <v>38249.219999999994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1213186.5600000001</v>
      </c>
      <c r="C31" s="232">
        <f>SUM(C28:C30)</f>
        <v>562482.68000000005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462575.35000000003</v>
      </c>
      <c r="C36" s="236">
        <f>'DOE25'!G192+'DOE25'!G210+'DOE25'!G228+'DOE25'!G271+'DOE25'!G290+'DOE25'!G309</f>
        <v>106331.8</v>
      </c>
    </row>
    <row r="37" spans="1:3" x14ac:dyDescent="0.2">
      <c r="A37" t="s">
        <v>813</v>
      </c>
      <c r="B37" s="241">
        <f>28310+10677.15+35882</f>
        <v>74869.149999999994</v>
      </c>
      <c r="C37" s="241">
        <f>1163.7+4784.69+1896.94</f>
        <v>7845.33</v>
      </c>
    </row>
    <row r="38" spans="1:3" x14ac:dyDescent="0.2">
      <c r="A38" t="s">
        <v>814</v>
      </c>
      <c r="B38" s="241">
        <f>10739.78</f>
        <v>10739.78</v>
      </c>
      <c r="C38" s="241">
        <f>936.95</f>
        <v>936.95</v>
      </c>
    </row>
    <row r="39" spans="1:3" x14ac:dyDescent="0.2">
      <c r="A39" t="s">
        <v>815</v>
      </c>
      <c r="B39" s="241">
        <f>1856+93468.11+500.37+61543.24+350+167018+2000+50230.7</f>
        <v>376966.42</v>
      </c>
      <c r="C39" s="241">
        <f>470.59+37994.61+20.16+20431.34+17976.06+339.8+20316.96</f>
        <v>97549.51999999999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462575.35</v>
      </c>
      <c r="C40" s="232">
        <f>SUM(C37:C39)</f>
        <v>106331.79999999999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477E-1A74-45E4-8FCD-E77C5798CF90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Dover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26545264.860000003</v>
      </c>
      <c r="D5" s="20">
        <f>SUM('DOE25'!L189:L192)+SUM('DOE25'!L207:L210)+SUM('DOE25'!L225:L228)-F5-G5</f>
        <v>26383912.840000004</v>
      </c>
      <c r="E5" s="244"/>
      <c r="F5" s="256">
        <f>SUM('DOE25'!J189:J192)+SUM('DOE25'!J207:J210)+SUM('DOE25'!J225:J228)</f>
        <v>152353.09</v>
      </c>
      <c r="G5" s="53">
        <f>SUM('DOE25'!K189:K192)+SUM('DOE25'!K207:K210)+SUM('DOE25'!K225:K228)</f>
        <v>8998.93</v>
      </c>
      <c r="H5" s="260"/>
    </row>
    <row r="6" spans="1:9" x14ac:dyDescent="0.2">
      <c r="A6" s="32">
        <v>2100</v>
      </c>
      <c r="B6" t="s">
        <v>835</v>
      </c>
      <c r="C6" s="246">
        <f t="shared" si="0"/>
        <v>2372522.91</v>
      </c>
      <c r="D6" s="20">
        <f>'DOE25'!L194+'DOE25'!L212+'DOE25'!L230-F6-G6</f>
        <v>2372226.7400000002</v>
      </c>
      <c r="E6" s="244"/>
      <c r="F6" s="256">
        <f>'DOE25'!J194+'DOE25'!J212+'DOE25'!J230</f>
        <v>296.17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1322682.78</v>
      </c>
      <c r="D7" s="20">
        <f>'DOE25'!L195+'DOE25'!L213+'DOE25'!L231-F7-G7</f>
        <v>1301551.04</v>
      </c>
      <c r="E7" s="244"/>
      <c r="F7" s="256">
        <f>'DOE25'!J195+'DOE25'!J213+'DOE25'!J231</f>
        <v>20778.739999999998</v>
      </c>
      <c r="G7" s="53">
        <f>'DOE25'!K195+'DOE25'!K213+'DOE25'!K231</f>
        <v>353</v>
      </c>
      <c r="H7" s="260"/>
    </row>
    <row r="8" spans="1:9" x14ac:dyDescent="0.2">
      <c r="A8" s="32">
        <v>2300</v>
      </c>
      <c r="B8" t="s">
        <v>836</v>
      </c>
      <c r="C8" s="246">
        <f t="shared" si="0"/>
        <v>682011.07000000007</v>
      </c>
      <c r="D8" s="244"/>
      <c r="E8" s="20">
        <f>'DOE25'!L196+'DOE25'!L214+'DOE25'!L232-F8-G8-D9-D11</f>
        <v>664819.07000000007</v>
      </c>
      <c r="F8" s="256">
        <f>'DOE25'!J196+'DOE25'!J214+'DOE25'!J232</f>
        <v>228.35000000000002</v>
      </c>
      <c r="G8" s="53">
        <f>'DOE25'!K196+'DOE25'!K214+'DOE25'!K232</f>
        <v>16963.650000000001</v>
      </c>
      <c r="H8" s="260"/>
    </row>
    <row r="9" spans="1:9" x14ac:dyDescent="0.2">
      <c r="A9" s="32">
        <v>2310</v>
      </c>
      <c r="B9" t="s">
        <v>852</v>
      </c>
      <c r="C9" s="246">
        <f t="shared" si="0"/>
        <v>83425.429999999993</v>
      </c>
      <c r="D9" s="245">
        <f>7150.45+76274.98</f>
        <v>83425.429999999993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13901.2</v>
      </c>
      <c r="D10" s="244"/>
      <c r="E10" s="245">
        <v>13901.2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251679.99</v>
      </c>
      <c r="D11" s="245">
        <v>251679.99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2080003.8199999998</v>
      </c>
      <c r="D12" s="20">
        <f>'DOE25'!L197+'DOE25'!L215+'DOE25'!L233-F12-G12</f>
        <v>2071233.8199999998</v>
      </c>
      <c r="E12" s="244"/>
      <c r="F12" s="256">
        <f>'DOE25'!J197+'DOE25'!J215+'DOE25'!J233</f>
        <v>0</v>
      </c>
      <c r="G12" s="53">
        <f>'DOE25'!K197+'DOE25'!K215+'DOE25'!K233</f>
        <v>8770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3660179.9400000004</v>
      </c>
      <c r="D14" s="20">
        <f>'DOE25'!L199+'DOE25'!L217+'DOE25'!L235-F14-G14</f>
        <v>3659917.9400000004</v>
      </c>
      <c r="E14" s="244"/>
      <c r="F14" s="256">
        <f>'DOE25'!J199+'DOE25'!J217+'DOE25'!J235</f>
        <v>0</v>
      </c>
      <c r="G14" s="53">
        <f>'DOE25'!K199+'DOE25'!K217+'DOE25'!K235</f>
        <v>262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1598911.76</v>
      </c>
      <c r="D15" s="20">
        <f>'DOE25'!L200+'DOE25'!L218+'DOE25'!L236-F15-G15</f>
        <v>1598911.76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990545.76</v>
      </c>
      <c r="D16" s="244"/>
      <c r="E16" s="20">
        <f>'DOE25'!L201+'DOE25'!L219+'DOE25'!L237-F16-G16</f>
        <v>760562.83</v>
      </c>
      <c r="F16" s="256">
        <f>'DOE25'!J201+'DOE25'!J219+'DOE25'!J237</f>
        <v>220500.88</v>
      </c>
      <c r="G16" s="53">
        <f>'DOE25'!K201+'DOE25'!K219+'DOE25'!K237</f>
        <v>9482.0500000000011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3934140.5200000005</v>
      </c>
      <c r="D25" s="244"/>
      <c r="E25" s="244"/>
      <c r="F25" s="259"/>
      <c r="G25" s="257"/>
      <c r="H25" s="258">
        <f>'DOE25'!L252+'DOE25'!L253+'DOE25'!L333+'DOE25'!L334</f>
        <v>3934140.5200000005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658946.48</v>
      </c>
      <c r="D29" s="20">
        <f>'DOE25'!L350+'DOE25'!L351+'DOE25'!L352-'DOE25'!I359-F29-G29</f>
        <v>645492.41999999993</v>
      </c>
      <c r="E29" s="244"/>
      <c r="F29" s="256">
        <f>'DOE25'!J350+'DOE25'!J351+'DOE25'!J352</f>
        <v>13233.91</v>
      </c>
      <c r="G29" s="53">
        <f>'DOE25'!K350+'DOE25'!K351+'DOE25'!K352</f>
        <v>220.14999999999998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5567680.0499999998</v>
      </c>
      <c r="D31" s="20">
        <f>'DOE25'!L282+'DOE25'!L301+'DOE25'!L320+'DOE25'!L325+'DOE25'!L326+'DOE25'!L327-F31-G31</f>
        <v>5252158.379999999</v>
      </c>
      <c r="E31" s="244"/>
      <c r="F31" s="256">
        <f>'DOE25'!J282+'DOE25'!J301+'DOE25'!J320+'DOE25'!J325+'DOE25'!J326+'DOE25'!J327</f>
        <v>193154.94</v>
      </c>
      <c r="G31" s="53">
        <f>'DOE25'!K282+'DOE25'!K301+'DOE25'!K320+'DOE25'!K325+'DOE25'!K326+'DOE25'!K327</f>
        <v>122366.73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43620510.359999999</v>
      </c>
      <c r="E33" s="247">
        <f>SUM(E5:E31)</f>
        <v>1439283.1</v>
      </c>
      <c r="F33" s="247">
        <f>SUM(F5:F31)</f>
        <v>600546.07999999996</v>
      </c>
      <c r="G33" s="247">
        <f>SUM(G5:G31)</f>
        <v>167416.51</v>
      </c>
      <c r="H33" s="247">
        <f>SUM(H5:H31)</f>
        <v>3934140.5200000005</v>
      </c>
    </row>
    <row r="35" spans="2:8" ht="12" thickBot="1" x14ac:dyDescent="0.25">
      <c r="B35" s="254" t="s">
        <v>881</v>
      </c>
      <c r="D35" s="255">
        <f>E33</f>
        <v>1439283.1</v>
      </c>
      <c r="E35" s="250"/>
    </row>
    <row r="36" spans="2:8" ht="12" thickTop="1" x14ac:dyDescent="0.2">
      <c r="B36" t="s">
        <v>849</v>
      </c>
      <c r="D36" s="20">
        <f>D33</f>
        <v>43620510.359999999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1806-D70D-4ACC-8177-64BBB2E5CA9E}">
  <sheetPr transitionEvaluation="1" codeName="Sheet2">
    <tabColor indexed="10"/>
  </sheetPr>
  <dimension ref="A1:I156"/>
  <sheetViews>
    <sheetView zoomScale="75" workbookViewId="0">
      <pane ySplit="2" topLeftCell="A110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Dover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70.28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50460.53</v>
      </c>
      <c r="E13" s="95">
        <f>'DOE25'!H13</f>
        <v>878893.55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524175.76999999996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2231715.63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2755891.4</v>
      </c>
      <c r="D19" s="41">
        <f>SUM(D9:D18)</f>
        <v>50530.81</v>
      </c>
      <c r="E19" s="41">
        <f>SUM(E9:E18)</f>
        <v>878893.55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106369.04</v>
      </c>
      <c r="D24" s="95">
        <f>'DOE25'!G25</f>
        <v>70.28</v>
      </c>
      <c r="E24" s="95">
        <f>'DOE25'!H25</f>
        <v>3857.86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2231715.63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2338084.67</v>
      </c>
      <c r="D32" s="41">
        <f>SUM(D22:D31)</f>
        <v>70.28</v>
      </c>
      <c r="E32" s="41">
        <f>SUM(E22:E31)</f>
        <v>3857.86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146827.98000000001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417806.73</v>
      </c>
      <c r="D40" s="95">
        <f>'DOE25'!G41</f>
        <v>50460.53</v>
      </c>
      <c r="E40" s="95">
        <f>'DOE25'!H41</f>
        <v>728207.71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417806.73</v>
      </c>
      <c r="D42" s="41">
        <f>SUM(D34:D41)</f>
        <v>50460.53</v>
      </c>
      <c r="E42" s="41">
        <f>SUM(E34:E41)</f>
        <v>875035.69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2755891.4</v>
      </c>
      <c r="D43" s="41">
        <f>D42+D32</f>
        <v>50530.81</v>
      </c>
      <c r="E43" s="41">
        <f>E42+E32</f>
        <v>878893.54999999993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24765094.82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5306629.37</v>
      </c>
      <c r="D49" s="24" t="s">
        <v>312</v>
      </c>
      <c r="E49" s="95">
        <f>'DOE25'!H71</f>
        <v>1067360.06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810591.02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581333.41999999993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5306629.37</v>
      </c>
      <c r="D54" s="130">
        <f>SUM(D49:D53)</f>
        <v>810591.02</v>
      </c>
      <c r="E54" s="130">
        <f>SUM(E49:E53)</f>
        <v>1648693.48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30071724.190000001</v>
      </c>
      <c r="D55" s="22">
        <f>D48+D54</f>
        <v>810591.02</v>
      </c>
      <c r="E55" s="22">
        <f>E48+E54</f>
        <v>1648693.48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4373548.2699999996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6431633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1677993.73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12483175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656936.49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275905.44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314625.49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16379.03</v>
      </c>
      <c r="E69" s="95">
        <f>SUM('DOE25'!H123:H127)</f>
        <v>128575.43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1247467.42</v>
      </c>
      <c r="D70" s="130">
        <f>SUM(D64:D69)</f>
        <v>16379.03</v>
      </c>
      <c r="E70" s="130">
        <f>SUM(E64:E69)</f>
        <v>128575.43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13730642.42</v>
      </c>
      <c r="D73" s="130">
        <f>SUM(D71:D72)+D70+D62</f>
        <v>16379.03</v>
      </c>
      <c r="E73" s="130">
        <f>SUM(E71:E72)+E70+E62</f>
        <v>128575.43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35898.89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313243.49</v>
      </c>
      <c r="D80" s="95">
        <f>SUM('DOE25'!G145:G153)</f>
        <v>591375.43999999994</v>
      </c>
      <c r="E80" s="95">
        <f>SUM('DOE25'!H145:H153)</f>
        <v>3904307.44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349142.38</v>
      </c>
      <c r="D83" s="131">
        <f>SUM(D77:D82)</f>
        <v>591375.43999999994</v>
      </c>
      <c r="E83" s="131">
        <f>SUM(E77:E82)</f>
        <v>3904307.44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2832948.62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447000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2832948.62</v>
      </c>
      <c r="G95" s="86">
        <f>SUM(G85:G94)</f>
        <v>447000</v>
      </c>
    </row>
    <row r="96" spans="1:7" ht="12.75" thickTop="1" thickBot="1" x14ac:dyDescent="0.25">
      <c r="A96" s="33" t="s">
        <v>797</v>
      </c>
      <c r="C96" s="86">
        <f>C55+C73+C83+C95</f>
        <v>44151508.990000002</v>
      </c>
      <c r="D96" s="86">
        <f>D55+D73+D83+D95</f>
        <v>1418345.49</v>
      </c>
      <c r="E96" s="86">
        <f>E55+E73+E83+E95</f>
        <v>5681576.3499999996</v>
      </c>
      <c r="F96" s="86">
        <f>F55+F73+F83+F95</f>
        <v>2832948.62</v>
      </c>
      <c r="G96" s="86">
        <f>G55+G73+G95</f>
        <v>447000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18008259.590000004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5778040.4299999997</v>
      </c>
      <c r="D102" s="24" t="s">
        <v>312</v>
      </c>
      <c r="E102" s="95">
        <f>('DOE25'!L269)+('DOE25'!L288)+('DOE25'!L307)</f>
        <v>2373906.2000000002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2049660.1400000004</v>
      </c>
      <c r="D103" s="24" t="s">
        <v>312</v>
      </c>
      <c r="E103" s="95">
        <f>('DOE25'!L270)+('DOE25'!L289)+('DOE25'!L308)</f>
        <v>101823.48999999999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709304.70000000019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94149.35000000002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1407687.8200000003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26545264.860000003</v>
      </c>
      <c r="D107" s="86">
        <f>SUM(D101:D106)</f>
        <v>0</v>
      </c>
      <c r="E107" s="86">
        <f>SUM(E101:E106)</f>
        <v>3977566.8600000008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2372522.91</v>
      </c>
      <c r="D110" s="24" t="s">
        <v>312</v>
      </c>
      <c r="E110" s="95">
        <f>+('DOE25'!L273)+('DOE25'!L292)+('DOE25'!L311)</f>
        <v>654973.72000000009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1322682.78</v>
      </c>
      <c r="D111" s="24" t="s">
        <v>312</v>
      </c>
      <c r="E111" s="95">
        <f>+('DOE25'!L274)+('DOE25'!L293)+('DOE25'!L312)</f>
        <v>695059.75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1017116.4900000001</v>
      </c>
      <c r="D112" s="24" t="s">
        <v>312</v>
      </c>
      <c r="E112" s="95">
        <f>+('DOE25'!L275)+('DOE25'!L294)+('DOE25'!L313)</f>
        <v>43393.479999999996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2080003.8199999998</v>
      </c>
      <c r="D113" s="24" t="s">
        <v>312</v>
      </c>
      <c r="E113" s="95">
        <f>+('DOE25'!L276)+('DOE25'!L295)+('DOE25'!L314)</f>
        <v>139928.25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3660179.9400000004</v>
      </c>
      <c r="D115" s="24" t="s">
        <v>312</v>
      </c>
      <c r="E115" s="95">
        <f>+('DOE25'!L278)+('DOE25'!L297)+('DOE25'!L316)</f>
        <v>23802.440000000002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1598911.76</v>
      </c>
      <c r="D116" s="24" t="s">
        <v>312</v>
      </c>
      <c r="E116" s="95">
        <f>+('DOE25'!L279)+('DOE25'!L298)+('DOE25'!L317)</f>
        <v>28368.85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990545.76</v>
      </c>
      <c r="D117" s="24" t="s">
        <v>312</v>
      </c>
      <c r="E117" s="95">
        <f>+('DOE25'!L280)+('DOE25'!L299)+('DOE25'!L318)</f>
        <v>98736.049999999988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1317279.58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13041963.460000001</v>
      </c>
      <c r="D120" s="86">
        <f>SUM(D110:D119)</f>
        <v>1317279.58</v>
      </c>
      <c r="E120" s="86">
        <f>SUM(E110:E119)</f>
        <v>1684262.5400000003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2832948.62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2317601.7200000002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1616538.8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447000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447000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4381140.5200000005</v>
      </c>
      <c r="D136" s="141">
        <f>SUM(D122:D135)</f>
        <v>0</v>
      </c>
      <c r="E136" s="141">
        <f>SUM(E122:E135)</f>
        <v>0</v>
      </c>
      <c r="F136" s="141">
        <f>SUM(F122:F135)</f>
        <v>2832948.62</v>
      </c>
      <c r="G136" s="141">
        <f>SUM(G122:G135)</f>
        <v>447000</v>
      </c>
    </row>
    <row r="137" spans="1:9" ht="12.75" thickTop="1" thickBot="1" x14ac:dyDescent="0.25">
      <c r="A137" s="33" t="s">
        <v>267</v>
      </c>
      <c r="C137" s="86">
        <f>(C107+C120+C136)</f>
        <v>43968368.840000011</v>
      </c>
      <c r="D137" s="86">
        <f>(D107+D120+D136)</f>
        <v>1317279.58</v>
      </c>
      <c r="E137" s="86">
        <f>(E107+E120+E136)</f>
        <v>5661829.4000000013</v>
      </c>
      <c r="F137" s="86">
        <f>(F107+F120+F136)</f>
        <v>2832948.62</v>
      </c>
      <c r="G137" s="86">
        <f>(G107+G120+G136)</f>
        <v>447000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27408664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27408664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2317602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2317602</v>
      </c>
    </row>
    <row r="151" spans="1:7" x14ac:dyDescent="0.2">
      <c r="A151" s="22" t="s">
        <v>35</v>
      </c>
      <c r="B151" s="137">
        <f>'DOE25'!F488</f>
        <v>25091062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25091062</v>
      </c>
    </row>
    <row r="152" spans="1:7" x14ac:dyDescent="0.2">
      <c r="A152" s="22" t="s">
        <v>36</v>
      </c>
      <c r="B152" s="137">
        <f>'DOE25'!F489</f>
        <v>14254577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14254577</v>
      </c>
    </row>
    <row r="153" spans="1:7" x14ac:dyDescent="0.2">
      <c r="A153" s="22" t="s">
        <v>37</v>
      </c>
      <c r="B153" s="137">
        <f>'DOE25'!F490</f>
        <v>39345639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39345639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3AD4-E11F-4C35-B4B3-DFD4252C2433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Dover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10052</v>
      </c>
    </row>
    <row r="5" spans="1:4" x14ac:dyDescent="0.2">
      <c r="B5" t="s">
        <v>735</v>
      </c>
      <c r="C5" s="179">
        <f>IF('DOE25'!G655+'DOE25'!G660=0,0,ROUND('DOE25'!G662,0))</f>
        <v>9643</v>
      </c>
    </row>
    <row r="6" spans="1:4" x14ac:dyDescent="0.2">
      <c r="B6" t="s">
        <v>62</v>
      </c>
      <c r="C6" s="179">
        <f>IF('DOE25'!H655+'DOE25'!H660=0,0,ROUND('DOE25'!H662,0))</f>
        <v>10413</v>
      </c>
    </row>
    <row r="7" spans="1:4" x14ac:dyDescent="0.2">
      <c r="B7" t="s">
        <v>736</v>
      </c>
      <c r="C7" s="179">
        <f>IF('DOE25'!I655+'DOE25'!I660=0,0,ROUND('DOE25'!I662,0))</f>
        <v>10085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18008260</v>
      </c>
      <c r="D10" s="182">
        <f>ROUND((C10/$C$28)*100,1)</f>
        <v>38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8151947</v>
      </c>
      <c r="D11" s="182">
        <f>ROUND((C11/$C$28)*100,1)</f>
        <v>17.2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2151484</v>
      </c>
      <c r="D12" s="182">
        <f>ROUND((C12/$C$28)*100,1)</f>
        <v>4.5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709305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3027497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2017743</v>
      </c>
      <c r="D16" s="182">
        <f t="shared" si="0"/>
        <v>4.3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2149792</v>
      </c>
      <c r="D17" s="182">
        <f t="shared" si="0"/>
        <v>4.5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2219932</v>
      </c>
      <c r="D18" s="182">
        <f t="shared" si="0"/>
        <v>4.7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3683982</v>
      </c>
      <c r="D20" s="182">
        <f t="shared" si="0"/>
        <v>7.8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1627281</v>
      </c>
      <c r="D21" s="182">
        <f t="shared" si="0"/>
        <v>3.4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94149</v>
      </c>
      <c r="D23" s="182">
        <f t="shared" si="0"/>
        <v>0.2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1407688</v>
      </c>
      <c r="D24" s="182">
        <f t="shared" si="0"/>
        <v>3</v>
      </c>
    </row>
    <row r="25" spans="1:4" x14ac:dyDescent="0.2">
      <c r="A25">
        <v>5120</v>
      </c>
      <c r="B25" t="s">
        <v>751</v>
      </c>
      <c r="C25" s="179">
        <f>ROUND('DOE25'!L253+'DOE25'!L334,0)</f>
        <v>1616539</v>
      </c>
      <c r="D25" s="182">
        <f t="shared" si="0"/>
        <v>3.4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506688.98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47372287.979999997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2832949</v>
      </c>
    </row>
    <row r="30" spans="1:4" x14ac:dyDescent="0.2">
      <c r="B30" s="187" t="s">
        <v>760</v>
      </c>
      <c r="C30" s="180">
        <f>SUM(C28:C29)</f>
        <v>50205236.979999997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2317602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24765095</v>
      </c>
      <c r="D35" s="182">
        <f t="shared" ref="D35:D40" si="1">ROUND((C35/$C$41)*100,1)</f>
        <v>49.1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6955322.6700000018</v>
      </c>
      <c r="D36" s="182">
        <f t="shared" si="1"/>
        <v>13.8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10805181</v>
      </c>
      <c r="D37" s="182">
        <f t="shared" si="1"/>
        <v>21.4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3070416</v>
      </c>
      <c r="D38" s="182">
        <f t="shared" si="1"/>
        <v>6.1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4844825</v>
      </c>
      <c r="D39" s="182">
        <f t="shared" si="1"/>
        <v>9.6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50440839.670000002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2832949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A40B-DABC-454D-AFBE-90F0CE7938D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94" t="s">
        <v>799</v>
      </c>
      <c r="B2" s="295"/>
      <c r="C2" s="295"/>
      <c r="D2" s="295"/>
      <c r="E2" s="295"/>
      <c r="F2" s="292" t="str">
        <f>'DOE25'!A2</f>
        <v>Dover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3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70A" sheet="1" objects="1" scenarios="1"/>
  <mergeCells count="223">
    <mergeCell ref="C46:M46"/>
    <mergeCell ref="C44:M44"/>
    <mergeCell ref="C52:M52"/>
    <mergeCell ref="C48:M48"/>
    <mergeCell ref="C49:M49"/>
    <mergeCell ref="BC40:BM40"/>
    <mergeCell ref="BP40:BZ40"/>
    <mergeCell ref="AP40:AZ40"/>
    <mergeCell ref="C42:M42"/>
    <mergeCell ref="C40:M40"/>
    <mergeCell ref="P40:Z40"/>
    <mergeCell ref="AC40:AM40"/>
    <mergeCell ref="FC40:FM40"/>
    <mergeCell ref="FP40:FZ40"/>
    <mergeCell ref="CC40:CM40"/>
    <mergeCell ref="CP40:CZ40"/>
    <mergeCell ref="DC40:DM40"/>
    <mergeCell ref="EC40:EM40"/>
    <mergeCell ref="EP40:EZ40"/>
    <mergeCell ref="DP40:DZ40"/>
    <mergeCell ref="IC40:IM40"/>
    <mergeCell ref="IP40:IV40"/>
    <mergeCell ref="GC40:GM40"/>
    <mergeCell ref="GP40:GZ40"/>
    <mergeCell ref="HC40:HM40"/>
    <mergeCell ref="HP40:HZ40"/>
    <mergeCell ref="GP39:GZ39"/>
    <mergeCell ref="IP38:IV38"/>
    <mergeCell ref="CC39:CM39"/>
    <mergeCell ref="CP39:CZ39"/>
    <mergeCell ref="IP39:IV39"/>
    <mergeCell ref="EP39:EZ39"/>
    <mergeCell ref="FC39:FM39"/>
    <mergeCell ref="FP39:FZ39"/>
    <mergeCell ref="IC39:IM39"/>
    <mergeCell ref="FP38:FZ38"/>
    <mergeCell ref="CC38:CM38"/>
    <mergeCell ref="CP38:CZ38"/>
    <mergeCell ref="DC38:DM38"/>
    <mergeCell ref="DP38:DZ38"/>
    <mergeCell ref="HP39:HZ39"/>
    <mergeCell ref="HC39:HM39"/>
    <mergeCell ref="DC39:DM39"/>
    <mergeCell ref="DP39:DZ39"/>
    <mergeCell ref="EC39:EM39"/>
    <mergeCell ref="GC39:GM39"/>
    <mergeCell ref="GP38:GZ38"/>
    <mergeCell ref="HC38:HM38"/>
    <mergeCell ref="HP38:HZ38"/>
    <mergeCell ref="IC38:IM38"/>
    <mergeCell ref="EC38:EM38"/>
    <mergeCell ref="EP38:EZ38"/>
    <mergeCell ref="FC38:FM38"/>
    <mergeCell ref="GC38:GM38"/>
    <mergeCell ref="HP32:HZ32"/>
    <mergeCell ref="IC32:IM32"/>
    <mergeCell ref="IP32:IV32"/>
    <mergeCell ref="FC32:FM32"/>
    <mergeCell ref="GP32:GZ32"/>
    <mergeCell ref="HC32:HM32"/>
    <mergeCell ref="FP32:FZ32"/>
    <mergeCell ref="GC32:GM32"/>
    <mergeCell ref="EC32:EM32"/>
    <mergeCell ref="EP32:EZ32"/>
    <mergeCell ref="P32:Z32"/>
    <mergeCell ref="AC32:AM32"/>
    <mergeCell ref="AP32:AZ32"/>
    <mergeCell ref="CC32:CM32"/>
    <mergeCell ref="DC32:DM32"/>
    <mergeCell ref="DP32:DZ32"/>
    <mergeCell ref="BC31:BM31"/>
    <mergeCell ref="BC32:BM32"/>
    <mergeCell ref="BC39:BM39"/>
    <mergeCell ref="BP31:BZ31"/>
    <mergeCell ref="BP39:BZ39"/>
    <mergeCell ref="BP32:BZ32"/>
    <mergeCell ref="BC38:BM38"/>
    <mergeCell ref="BP38:BZ38"/>
    <mergeCell ref="FC30:FM30"/>
    <mergeCell ref="FP30:FZ30"/>
    <mergeCell ref="EP31:EZ31"/>
    <mergeCell ref="FC31:FM31"/>
    <mergeCell ref="FP31:FZ31"/>
    <mergeCell ref="CC31:CM31"/>
    <mergeCell ref="CP31:CZ31"/>
    <mergeCell ref="DC31:DM31"/>
    <mergeCell ref="DP31:DZ31"/>
    <mergeCell ref="IC30:IM30"/>
    <mergeCell ref="IP30:IV30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EC31:EM31"/>
    <mergeCell ref="AP31:AZ31"/>
    <mergeCell ref="IC29:IM29"/>
    <mergeCell ref="IP29:IV29"/>
    <mergeCell ref="GC30:GM30"/>
    <mergeCell ref="GP30:GZ30"/>
    <mergeCell ref="GC29:GM29"/>
    <mergeCell ref="GP29:GZ29"/>
    <mergeCell ref="HC30:HM30"/>
    <mergeCell ref="HP30:HZ30"/>
    <mergeCell ref="HC29:HM29"/>
    <mergeCell ref="HP29:HZ29"/>
    <mergeCell ref="FP29:FZ29"/>
    <mergeCell ref="GC31:GM31"/>
    <mergeCell ref="GP31:GZ31"/>
    <mergeCell ref="HC31:HM31"/>
    <mergeCell ref="HP31:HZ31"/>
    <mergeCell ref="P31:Z31"/>
    <mergeCell ref="AC31:AM31"/>
    <mergeCell ref="C33:M33"/>
    <mergeCell ref="C37:M37"/>
    <mergeCell ref="C38:M38"/>
    <mergeCell ref="C39:M39"/>
    <mergeCell ref="C32:M32"/>
    <mergeCell ref="BP30:BZ30"/>
    <mergeCell ref="P38:Z38"/>
    <mergeCell ref="AC38:AM38"/>
    <mergeCell ref="AP38:AZ38"/>
    <mergeCell ref="P39:Z39"/>
    <mergeCell ref="AC39:AM39"/>
    <mergeCell ref="AP39:AZ39"/>
    <mergeCell ref="P30:Z30"/>
    <mergeCell ref="AC30:AM30"/>
    <mergeCell ref="AP30:AZ30"/>
    <mergeCell ref="A1:I1"/>
    <mergeCell ref="C3:M3"/>
    <mergeCell ref="C4:M4"/>
    <mergeCell ref="F2:I2"/>
    <mergeCell ref="A2:E2"/>
    <mergeCell ref="CC30:CM30"/>
    <mergeCell ref="BC29:BM29"/>
    <mergeCell ref="BP29:BZ29"/>
    <mergeCell ref="CC29:CM29"/>
    <mergeCell ref="BC30:BM30"/>
    <mergeCell ref="EP29:EZ29"/>
    <mergeCell ref="FC29:FM29"/>
    <mergeCell ref="P29:Z29"/>
    <mergeCell ref="AC29:AM29"/>
    <mergeCell ref="AP29:AZ29"/>
    <mergeCell ref="CP29:CZ29"/>
    <mergeCell ref="DC29:DM29"/>
    <mergeCell ref="DP29:DZ29"/>
    <mergeCell ref="EC29:EM29"/>
    <mergeCell ref="C47:M47"/>
    <mergeCell ref="C10:M10"/>
    <mergeCell ref="C11:M11"/>
    <mergeCell ref="C12:M12"/>
    <mergeCell ref="C5:M5"/>
    <mergeCell ref="C6:M6"/>
    <mergeCell ref="C7:M7"/>
    <mergeCell ref="C8:M8"/>
    <mergeCell ref="C9:M9"/>
    <mergeCell ref="C45:M45"/>
    <mergeCell ref="C13:M13"/>
    <mergeCell ref="C34:M34"/>
    <mergeCell ref="C35:M35"/>
    <mergeCell ref="C36:M36"/>
    <mergeCell ref="C14:M14"/>
    <mergeCell ref="C15:M15"/>
    <mergeCell ref="C31:M31"/>
    <mergeCell ref="C41:M41"/>
    <mergeCell ref="C28:M28"/>
    <mergeCell ref="C16:M16"/>
    <mergeCell ref="C17:M17"/>
    <mergeCell ref="C18:M18"/>
    <mergeCell ref="C19:M19"/>
    <mergeCell ref="C20:M20"/>
    <mergeCell ref="C29:M29"/>
    <mergeCell ref="C82:M82"/>
    <mergeCell ref="C88:M88"/>
    <mergeCell ref="C89:M89"/>
    <mergeCell ref="C90:M90"/>
    <mergeCell ref="C83:M83"/>
    <mergeCell ref="C84:M84"/>
    <mergeCell ref="C85:M85"/>
    <mergeCell ref="C86:M86"/>
    <mergeCell ref="C87:M87"/>
    <mergeCell ref="C81:M81"/>
    <mergeCell ref="C51:M51"/>
    <mergeCell ref="C76:M76"/>
    <mergeCell ref="C77:M77"/>
    <mergeCell ref="C78:M78"/>
    <mergeCell ref="C73:M73"/>
    <mergeCell ref="C74:M74"/>
    <mergeCell ref="C75:M75"/>
    <mergeCell ref="C60:M60"/>
    <mergeCell ref="C58:M58"/>
    <mergeCell ref="C79:M79"/>
    <mergeCell ref="C80:M80"/>
    <mergeCell ref="C55:M55"/>
    <mergeCell ref="C56:M56"/>
    <mergeCell ref="C57:M57"/>
    <mergeCell ref="C59:M59"/>
    <mergeCell ref="A72:E72"/>
    <mergeCell ref="C67:M67"/>
    <mergeCell ref="C65:M65"/>
    <mergeCell ref="C68:M68"/>
    <mergeCell ref="C69:M69"/>
    <mergeCell ref="C70:M70"/>
    <mergeCell ref="C64:M64"/>
    <mergeCell ref="C66:M66"/>
    <mergeCell ref="C21:M21"/>
    <mergeCell ref="C22:M22"/>
    <mergeCell ref="C23:M23"/>
    <mergeCell ref="C24:M24"/>
    <mergeCell ref="C54:M54"/>
    <mergeCell ref="C63:M63"/>
    <mergeCell ref="C43:M43"/>
    <mergeCell ref="C61:M61"/>
    <mergeCell ref="C53:M53"/>
    <mergeCell ref="C25:M25"/>
    <mergeCell ref="C26:M26"/>
    <mergeCell ref="C27:M27"/>
    <mergeCell ref="C62:M62"/>
    <mergeCell ref="C50:M50"/>
    <mergeCell ref="C30:M3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Eaton, Brian</dc:creator>
  <cp:lastModifiedBy>Eaton, Brian</cp:lastModifiedBy>
  <cp:lastPrinted>2010-11-09T12:56:11Z</cp:lastPrinted>
  <dcterms:created xsi:type="dcterms:W3CDTF">2010-10-27T12:21:40Z</dcterms:created>
  <dcterms:modified xsi:type="dcterms:W3CDTF">2025-01-02T14:19:29Z</dcterms:modified>
</cp:coreProperties>
</file>