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44FEA79E-0D99-4D17-A2D0-317F1A63D1CB}" xr6:coauthVersionLast="47" xr6:coauthVersionMax="47" xr10:uidLastSave="{00000000-0000-0000-0000-000000000000}"/>
  <workbookProtection workbookPassword="B70A" lockStructure="1"/>
  <bookViews>
    <workbookView xWindow="3975" yWindow="3975" windowWidth="21600" windowHeight="11505" tabRatio="855" xr2:uid="{D031A1F9-446E-4A29-AE9F-F4618BD6715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13" i="1"/>
  <c r="F9" i="1"/>
  <c r="H12" i="1"/>
  <c r="H41" i="1"/>
  <c r="H9" i="1"/>
  <c r="G12" i="1"/>
  <c r="H594" i="1"/>
  <c r="J582" i="1"/>
  <c r="I582" i="1"/>
  <c r="I588" i="1" s="1"/>
  <c r="H640" i="1" s="1"/>
  <c r="H582" i="1"/>
  <c r="H588" i="1" s="1"/>
  <c r="H639" i="1" s="1"/>
  <c r="H511" i="1"/>
  <c r="H514" i="1" s="1"/>
  <c r="H535" i="1" s="1"/>
  <c r="F489" i="1"/>
  <c r="F488" i="1"/>
  <c r="G9" i="1"/>
  <c r="F30" i="1"/>
  <c r="I274" i="1"/>
  <c r="I282" i="1" s="1"/>
  <c r="I330" i="1" s="1"/>
  <c r="I344" i="1" s="1"/>
  <c r="H274" i="1"/>
  <c r="H282" i="1" s="1"/>
  <c r="H330" i="1" s="1"/>
  <c r="H344" i="1" s="1"/>
  <c r="G274" i="1"/>
  <c r="G282" i="1" s="1"/>
  <c r="G330" i="1" s="1"/>
  <c r="G344" i="1" s="1"/>
  <c r="H271" i="1"/>
  <c r="I268" i="1"/>
  <c r="G268" i="1"/>
  <c r="H230" i="1"/>
  <c r="L230" i="1" s="1"/>
  <c r="L239" i="1" s="1"/>
  <c r="H226" i="1"/>
  <c r="H225" i="1"/>
  <c r="I189" i="1"/>
  <c r="J199" i="1"/>
  <c r="I199" i="1"/>
  <c r="H199" i="1"/>
  <c r="L199" i="1" s="1"/>
  <c r="I197" i="1"/>
  <c r="L197" i="1" s="1"/>
  <c r="H196" i="1"/>
  <c r="H203" i="1" s="1"/>
  <c r="H249" i="1" s="1"/>
  <c r="H263" i="1" s="1"/>
  <c r="H194" i="1"/>
  <c r="I190" i="1"/>
  <c r="H190" i="1"/>
  <c r="L190" i="1" s="1"/>
  <c r="G189" i="1"/>
  <c r="L189" i="1" s="1"/>
  <c r="H142" i="1"/>
  <c r="G89" i="1"/>
  <c r="C60" i="2"/>
  <c r="B2" i="13"/>
  <c r="F8" i="13"/>
  <c r="G8" i="13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F33" i="13" s="1"/>
  <c r="G5" i="13"/>
  <c r="L191" i="1"/>
  <c r="C103" i="2" s="1"/>
  <c r="L192" i="1"/>
  <c r="C104" i="2" s="1"/>
  <c r="L207" i="1"/>
  <c r="L221" i="1" s="1"/>
  <c r="L208" i="1"/>
  <c r="L209" i="1"/>
  <c r="L210" i="1"/>
  <c r="L225" i="1"/>
  <c r="L226" i="1"/>
  <c r="L227" i="1"/>
  <c r="L228" i="1"/>
  <c r="F6" i="13"/>
  <c r="G6" i="13"/>
  <c r="G33" i="13" s="1"/>
  <c r="L194" i="1"/>
  <c r="C15" i="10" s="1"/>
  <c r="L212" i="1"/>
  <c r="F7" i="13"/>
  <c r="G7" i="13"/>
  <c r="L195" i="1"/>
  <c r="D7" i="13" s="1"/>
  <c r="C7" i="13" s="1"/>
  <c r="L213" i="1"/>
  <c r="L231" i="1"/>
  <c r="F12" i="13"/>
  <c r="G12" i="13"/>
  <c r="L215" i="1"/>
  <c r="L233" i="1"/>
  <c r="F14" i="13"/>
  <c r="G14" i="13"/>
  <c r="L217" i="1"/>
  <c r="L235" i="1"/>
  <c r="F15" i="13"/>
  <c r="G15" i="13"/>
  <c r="L200" i="1"/>
  <c r="H637" i="1" s="1"/>
  <c r="L218" i="1"/>
  <c r="G652" i="1" s="1"/>
  <c r="L236" i="1"/>
  <c r="F17" i="13"/>
  <c r="G17" i="13"/>
  <c r="D17" i="13" s="1"/>
  <c r="C17" i="13" s="1"/>
  <c r="L243" i="1"/>
  <c r="F18" i="13"/>
  <c r="G18" i="13"/>
  <c r="L244" i="1"/>
  <c r="D18" i="13"/>
  <c r="C18" i="13" s="1"/>
  <c r="F19" i="13"/>
  <c r="D19" i="13" s="1"/>
  <c r="C19" i="13" s="1"/>
  <c r="G19" i="13"/>
  <c r="L245" i="1"/>
  <c r="F29" i="13"/>
  <c r="G29" i="13"/>
  <c r="L350" i="1"/>
  <c r="D29" i="13" s="1"/>
  <c r="C29" i="13" s="1"/>
  <c r="L351" i="1"/>
  <c r="L352" i="1"/>
  <c r="I359" i="1"/>
  <c r="J282" i="1"/>
  <c r="F31" i="13" s="1"/>
  <c r="J301" i="1"/>
  <c r="J320" i="1"/>
  <c r="K282" i="1"/>
  <c r="K301" i="1"/>
  <c r="K320" i="1"/>
  <c r="G31" i="13"/>
  <c r="L268" i="1"/>
  <c r="L269" i="1"/>
  <c r="L270" i="1"/>
  <c r="L271" i="1"/>
  <c r="L273" i="1"/>
  <c r="L275" i="1"/>
  <c r="E112" i="2" s="1"/>
  <c r="L276" i="1"/>
  <c r="L277" i="1"/>
  <c r="L278" i="1"/>
  <c r="L279" i="1"/>
  <c r="L280" i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L299" i="1"/>
  <c r="L306" i="1"/>
  <c r="L307" i="1"/>
  <c r="L308" i="1"/>
  <c r="L320" i="1" s="1"/>
  <c r="L309" i="1"/>
  <c r="E104" i="2" s="1"/>
  <c r="L311" i="1"/>
  <c r="L312" i="1"/>
  <c r="L313" i="1"/>
  <c r="L314" i="1"/>
  <c r="L315" i="1"/>
  <c r="L316" i="1"/>
  <c r="L317" i="1"/>
  <c r="L318" i="1"/>
  <c r="L325" i="1"/>
  <c r="L326" i="1"/>
  <c r="E106" i="2" s="1"/>
  <c r="L327" i="1"/>
  <c r="L252" i="1"/>
  <c r="H25" i="13" s="1"/>
  <c r="L253" i="1"/>
  <c r="C25" i="10" s="1"/>
  <c r="L333" i="1"/>
  <c r="L334" i="1"/>
  <c r="L247" i="1"/>
  <c r="C122" i="2" s="1"/>
  <c r="L328" i="1"/>
  <c r="E122" i="2" s="1"/>
  <c r="F22" i="13"/>
  <c r="C22" i="13" s="1"/>
  <c r="C11" i="13"/>
  <c r="C10" i="13"/>
  <c r="C9" i="13"/>
  <c r="L353" i="1"/>
  <c r="L354" i="1"/>
  <c r="G462" i="1" s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0" i="1"/>
  <c r="L385" i="1" s="1"/>
  <c r="L381" i="1"/>
  <c r="L382" i="1"/>
  <c r="L383" i="1"/>
  <c r="L384" i="1"/>
  <c r="L387" i="1"/>
  <c r="L388" i="1"/>
  <c r="L389" i="1"/>
  <c r="L390" i="1"/>
  <c r="L391" i="1"/>
  <c r="L392" i="1"/>
  <c r="L393" i="1"/>
  <c r="C131" i="2"/>
  <c r="L395" i="1"/>
  <c r="L396" i="1"/>
  <c r="L397" i="1"/>
  <c r="L398" i="1"/>
  <c r="L399" i="1"/>
  <c r="C132" i="2" s="1"/>
  <c r="L258" i="1"/>
  <c r="J52" i="1"/>
  <c r="G48" i="2"/>
  <c r="G51" i="2"/>
  <c r="G54" i="2" s="1"/>
  <c r="G53" i="2"/>
  <c r="F2" i="11"/>
  <c r="L603" i="1"/>
  <c r="H653" i="1"/>
  <c r="L602" i="1"/>
  <c r="G653" i="1" s="1"/>
  <c r="I653" i="1" s="1"/>
  <c r="L601" i="1"/>
  <c r="F653" i="1"/>
  <c r="C40" i="10"/>
  <c r="F52" i="1"/>
  <c r="C35" i="10" s="1"/>
  <c r="G52" i="1"/>
  <c r="D48" i="2" s="1"/>
  <c r="D55" i="2" s="1"/>
  <c r="H52" i="1"/>
  <c r="I52" i="1"/>
  <c r="I104" i="1" s="1"/>
  <c r="F71" i="1"/>
  <c r="F86" i="1"/>
  <c r="F103" i="1"/>
  <c r="G103" i="1"/>
  <c r="H71" i="1"/>
  <c r="H104" i="1" s="1"/>
  <c r="H185" i="1" s="1"/>
  <c r="H86" i="1"/>
  <c r="E50" i="2" s="1"/>
  <c r="H103" i="1"/>
  <c r="I103" i="1"/>
  <c r="J103" i="1"/>
  <c r="J104" i="1"/>
  <c r="C37" i="10"/>
  <c r="F113" i="1"/>
  <c r="F128" i="1"/>
  <c r="F132" i="1"/>
  <c r="G113" i="1"/>
  <c r="G132" i="1" s="1"/>
  <c r="G128" i="1"/>
  <c r="H113" i="1"/>
  <c r="H128" i="1"/>
  <c r="H132" i="1"/>
  <c r="I113" i="1"/>
  <c r="I132" i="1" s="1"/>
  <c r="I128" i="1"/>
  <c r="J113" i="1"/>
  <c r="J128" i="1"/>
  <c r="J132" i="1"/>
  <c r="F139" i="1"/>
  <c r="F161" i="1" s="1"/>
  <c r="F154" i="1"/>
  <c r="G139" i="1"/>
  <c r="G154" i="1"/>
  <c r="G161" i="1"/>
  <c r="H139" i="1"/>
  <c r="H161" i="1" s="1"/>
  <c r="H154" i="1"/>
  <c r="I139" i="1"/>
  <c r="I154" i="1"/>
  <c r="I161" i="1"/>
  <c r="C12" i="10"/>
  <c r="C13" i="10"/>
  <c r="C19" i="10"/>
  <c r="L242" i="1"/>
  <c r="L324" i="1"/>
  <c r="C23" i="10"/>
  <c r="L246" i="1"/>
  <c r="C24" i="10"/>
  <c r="L260" i="1"/>
  <c r="L261" i="1"/>
  <c r="L341" i="1"/>
  <c r="L342" i="1"/>
  <c r="C26" i="10" s="1"/>
  <c r="I655" i="1"/>
  <c r="I660" i="1"/>
  <c r="F651" i="1"/>
  <c r="I651" i="1" s="1"/>
  <c r="G651" i="1"/>
  <c r="H651" i="1"/>
  <c r="H652" i="1"/>
  <c r="I659" i="1"/>
  <c r="C6" i="10"/>
  <c r="C5" i="10"/>
  <c r="C42" i="10"/>
  <c r="C32" i="10"/>
  <c r="L366" i="1"/>
  <c r="F122" i="2" s="1"/>
  <c r="F136" i="2" s="1"/>
  <c r="L367" i="1"/>
  <c r="L368" i="1"/>
  <c r="L369" i="1"/>
  <c r="L370" i="1"/>
  <c r="L371" i="1"/>
  <c r="L372" i="1"/>
  <c r="B2" i="10"/>
  <c r="L336" i="1"/>
  <c r="L343" i="1" s="1"/>
  <c r="L337" i="1"/>
  <c r="E127" i="2" s="1"/>
  <c r="L338" i="1"/>
  <c r="L339" i="1"/>
  <c r="K343" i="1"/>
  <c r="L512" i="1"/>
  <c r="F540" i="1"/>
  <c r="L513" i="1"/>
  <c r="F541" i="1" s="1"/>
  <c r="L516" i="1"/>
  <c r="G539" i="1"/>
  <c r="L517" i="1"/>
  <c r="G540" i="1" s="1"/>
  <c r="L518" i="1"/>
  <c r="G541" i="1" s="1"/>
  <c r="L521" i="1"/>
  <c r="L524" i="1" s="1"/>
  <c r="H539" i="1"/>
  <c r="L522" i="1"/>
  <c r="H540" i="1" s="1"/>
  <c r="L523" i="1"/>
  <c r="H541" i="1" s="1"/>
  <c r="L526" i="1"/>
  <c r="I539" i="1" s="1"/>
  <c r="I542" i="1" s="1"/>
  <c r="L527" i="1"/>
  <c r="I540" i="1" s="1"/>
  <c r="L528" i="1"/>
  <c r="I541" i="1"/>
  <c r="L531" i="1"/>
  <c r="J539" i="1" s="1"/>
  <c r="J542" i="1" s="1"/>
  <c r="L532" i="1"/>
  <c r="J540" i="1" s="1"/>
  <c r="L533" i="1"/>
  <c r="J541" i="1" s="1"/>
  <c r="E124" i="2"/>
  <c r="E123" i="2"/>
  <c r="K262" i="1"/>
  <c r="J262" i="1"/>
  <c r="I262" i="1"/>
  <c r="H262" i="1"/>
  <c r="L262" i="1" s="1"/>
  <c r="G262" i="1"/>
  <c r="F262" i="1"/>
  <c r="C124" i="2"/>
  <c r="C123" i="2"/>
  <c r="A1" i="2"/>
  <c r="A2" i="2"/>
  <c r="C9" i="2"/>
  <c r="C19" i="2" s="1"/>
  <c r="D9" i="2"/>
  <c r="D19" i="2" s="1"/>
  <c r="E9" i="2"/>
  <c r="F9" i="2"/>
  <c r="I431" i="1"/>
  <c r="J9" i="1"/>
  <c r="G9" i="2" s="1"/>
  <c r="C10" i="2"/>
  <c r="D10" i="2"/>
  <c r="E10" i="2"/>
  <c r="F10" i="2"/>
  <c r="I432" i="1"/>
  <c r="J10" i="1"/>
  <c r="G10" i="2"/>
  <c r="C11" i="2"/>
  <c r="C12" i="2"/>
  <c r="D12" i="2"/>
  <c r="E12" i="2"/>
  <c r="E19" i="2" s="1"/>
  <c r="F12" i="2"/>
  <c r="F19" i="2" s="1"/>
  <c r="I433" i="1"/>
  <c r="J12" i="1"/>
  <c r="G12" i="2" s="1"/>
  <c r="C13" i="2"/>
  <c r="D13" i="2"/>
  <c r="E13" i="2"/>
  <c r="F13" i="2"/>
  <c r="I434" i="1"/>
  <c r="J13" i="1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 s="1"/>
  <c r="C22" i="2"/>
  <c r="D22" i="2"/>
  <c r="E22" i="2"/>
  <c r="F22" i="2"/>
  <c r="I440" i="1"/>
  <c r="J23" i="1"/>
  <c r="G22" i="2" s="1"/>
  <c r="C23" i="2"/>
  <c r="D23" i="2"/>
  <c r="E23" i="2"/>
  <c r="E32" i="2" s="1"/>
  <c r="F23" i="2"/>
  <c r="F32" i="2" s="1"/>
  <c r="I441" i="1"/>
  <c r="I444" i="1" s="1"/>
  <c r="J24" i="1"/>
  <c r="J33" i="1" s="1"/>
  <c r="G23" i="2"/>
  <c r="C24" i="2"/>
  <c r="D24" i="2"/>
  <c r="E24" i="2"/>
  <c r="F24" i="2"/>
  <c r="I442" i="1"/>
  <c r="J25" i="1" s="1"/>
  <c r="G24" i="2" s="1"/>
  <c r="C25" i="2"/>
  <c r="D25" i="2"/>
  <c r="E25" i="2"/>
  <c r="F25" i="2"/>
  <c r="C26" i="2"/>
  <c r="C32" i="2" s="1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D32" i="2"/>
  <c r="C34" i="2"/>
  <c r="C42" i="2" s="1"/>
  <c r="C43" i="2" s="1"/>
  <c r="D34" i="2"/>
  <c r="D42" i="2" s="1"/>
  <c r="D43" i="2" s="1"/>
  <c r="E34" i="2"/>
  <c r="F34" i="2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F37" i="2"/>
  <c r="I447" i="1"/>
  <c r="I450" i="1" s="1"/>
  <c r="J38" i="1"/>
  <c r="G37" i="2" s="1"/>
  <c r="C38" i="2"/>
  <c r="D38" i="2"/>
  <c r="E38" i="2"/>
  <c r="F38" i="2"/>
  <c r="I448" i="1"/>
  <c r="J40" i="1"/>
  <c r="G39" i="2" s="1"/>
  <c r="C40" i="2"/>
  <c r="D40" i="2"/>
  <c r="E40" i="2"/>
  <c r="E42" i="2" s="1"/>
  <c r="E43" i="2" s="1"/>
  <c r="F40" i="2"/>
  <c r="F42" i="2" s="1"/>
  <c r="F43" i="2" s="1"/>
  <c r="I449" i="1"/>
  <c r="J41" i="1" s="1"/>
  <c r="G40" i="2" s="1"/>
  <c r="C41" i="2"/>
  <c r="D41" i="2"/>
  <c r="E41" i="2"/>
  <c r="F41" i="2"/>
  <c r="E48" i="2"/>
  <c r="F48" i="2"/>
  <c r="C49" i="2"/>
  <c r="E49" i="2"/>
  <c r="E54" i="2" s="1"/>
  <c r="E55" i="2" s="1"/>
  <c r="C50" i="2"/>
  <c r="C54" i="2" s="1"/>
  <c r="C51" i="2"/>
  <c r="D51" i="2"/>
  <c r="E51" i="2"/>
  <c r="F51" i="2"/>
  <c r="F54" i="2" s="1"/>
  <c r="F55" i="2" s="1"/>
  <c r="D52" i="2"/>
  <c r="C53" i="2"/>
  <c r="D53" i="2"/>
  <c r="E53" i="2"/>
  <c r="F53" i="2"/>
  <c r="D54" i="2"/>
  <c r="C58" i="2"/>
  <c r="C62" i="2" s="1"/>
  <c r="C59" i="2"/>
  <c r="C61" i="2"/>
  <c r="D61" i="2"/>
  <c r="D62" i="2" s="1"/>
  <c r="E61" i="2"/>
  <c r="E62" i="2" s="1"/>
  <c r="F61" i="2"/>
  <c r="F62" i="2" s="1"/>
  <c r="G61" i="2"/>
  <c r="G62" i="2"/>
  <c r="C64" i="2"/>
  <c r="C70" i="2" s="1"/>
  <c r="C73" i="2" s="1"/>
  <c r="F64" i="2"/>
  <c r="C65" i="2"/>
  <c r="F65" i="2"/>
  <c r="C66" i="2"/>
  <c r="C67" i="2"/>
  <c r="C68" i="2"/>
  <c r="E68" i="2"/>
  <c r="F68" i="2"/>
  <c r="C69" i="2"/>
  <c r="D69" i="2"/>
  <c r="E69" i="2"/>
  <c r="F69" i="2"/>
  <c r="G69" i="2"/>
  <c r="G70" i="2" s="1"/>
  <c r="G73" i="2" s="1"/>
  <c r="D70" i="2"/>
  <c r="E70" i="2"/>
  <c r="E73" i="2" s="1"/>
  <c r="F70" i="2"/>
  <c r="F73" i="2" s="1"/>
  <c r="C71" i="2"/>
  <c r="D71" i="2"/>
  <c r="E71" i="2"/>
  <c r="C72" i="2"/>
  <c r="E72" i="2"/>
  <c r="C77" i="2"/>
  <c r="C83" i="2" s="1"/>
  <c r="D77" i="2"/>
  <c r="E77" i="2"/>
  <c r="F77" i="2"/>
  <c r="C79" i="2"/>
  <c r="E79" i="2"/>
  <c r="E83" i="2" s="1"/>
  <c r="F79" i="2"/>
  <c r="C80" i="2"/>
  <c r="D80" i="2"/>
  <c r="E80" i="2"/>
  <c r="F80" i="2"/>
  <c r="F83" i="2" s="1"/>
  <c r="C81" i="2"/>
  <c r="D81" i="2"/>
  <c r="D83" i="2" s="1"/>
  <c r="E81" i="2"/>
  <c r="F81" i="2"/>
  <c r="C82" i="2"/>
  <c r="C85" i="2"/>
  <c r="F85" i="2"/>
  <c r="C86" i="2"/>
  <c r="C95" i="2" s="1"/>
  <c r="F86" i="2"/>
  <c r="F95" i="2" s="1"/>
  <c r="D88" i="2"/>
  <c r="D95" i="2" s="1"/>
  <c r="E88" i="2"/>
  <c r="F88" i="2"/>
  <c r="G88" i="2"/>
  <c r="C89" i="2"/>
  <c r="D89" i="2"/>
  <c r="E89" i="2"/>
  <c r="F89" i="2"/>
  <c r="G89" i="2"/>
  <c r="G95" i="2" s="1"/>
  <c r="C90" i="2"/>
  <c r="D90" i="2"/>
  <c r="E90" i="2"/>
  <c r="E95" i="2" s="1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1" i="2"/>
  <c r="E102" i="2"/>
  <c r="C105" i="2"/>
  <c r="E105" i="2"/>
  <c r="C106" i="2"/>
  <c r="D107" i="2"/>
  <c r="F107" i="2"/>
  <c r="F137" i="2" s="1"/>
  <c r="G107" i="2"/>
  <c r="G137" i="2" s="1"/>
  <c r="C111" i="2"/>
  <c r="E113" i="2"/>
  <c r="C114" i="2"/>
  <c r="E114" i="2"/>
  <c r="E115" i="2"/>
  <c r="E116" i="2"/>
  <c r="E117" i="2"/>
  <c r="D119" i="2"/>
  <c r="D120" i="2" s="1"/>
  <c r="D137" i="2" s="1"/>
  <c r="F120" i="2"/>
  <c r="G120" i="2"/>
  <c r="D126" i="2"/>
  <c r="E126" i="2"/>
  <c r="F126" i="2"/>
  <c r="K411" i="1"/>
  <c r="K426" i="1" s="1"/>
  <c r="G126" i="2" s="1"/>
  <c r="G136" i="2" s="1"/>
  <c r="K419" i="1"/>
  <c r="K425" i="1"/>
  <c r="L255" i="1"/>
  <c r="C127" i="2" s="1"/>
  <c r="L256" i="1"/>
  <c r="C128" i="2" s="1"/>
  <c r="L257" i="1"/>
  <c r="C129" i="2"/>
  <c r="E129" i="2"/>
  <c r="C134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K490" i="1" s="1"/>
  <c r="B153" i="2"/>
  <c r="G153" i="2" s="1"/>
  <c r="G490" i="1"/>
  <c r="C153" i="2" s="1"/>
  <c r="H490" i="1"/>
  <c r="D153" i="2"/>
  <c r="I490" i="1"/>
  <c r="E153" i="2"/>
  <c r="J490" i="1"/>
  <c r="F153" i="2" s="1"/>
  <c r="B154" i="2"/>
  <c r="C154" i="2"/>
  <c r="G154" i="2" s="1"/>
  <c r="D154" i="2"/>
  <c r="E154" i="2"/>
  <c r="F154" i="2"/>
  <c r="B155" i="2"/>
  <c r="C155" i="2"/>
  <c r="G155" i="2" s="1"/>
  <c r="D155" i="2"/>
  <c r="E155" i="2"/>
  <c r="F155" i="2"/>
  <c r="F493" i="1"/>
  <c r="B156" i="2"/>
  <c r="G493" i="1"/>
  <c r="K493" i="1" s="1"/>
  <c r="C156" i="2"/>
  <c r="H493" i="1"/>
  <c r="D156" i="2" s="1"/>
  <c r="I493" i="1"/>
  <c r="E156" i="2"/>
  <c r="J493" i="1"/>
  <c r="F156" i="2" s="1"/>
  <c r="F19" i="1"/>
  <c r="G19" i="1"/>
  <c r="H19" i="1"/>
  <c r="G609" i="1" s="1"/>
  <c r="J609" i="1" s="1"/>
  <c r="I19" i="1"/>
  <c r="G610" i="1" s="1"/>
  <c r="F33" i="1"/>
  <c r="G33" i="1"/>
  <c r="H33" i="1"/>
  <c r="I33" i="1"/>
  <c r="I44" i="1" s="1"/>
  <c r="H610" i="1" s="1"/>
  <c r="F43" i="1"/>
  <c r="G43" i="1"/>
  <c r="H43" i="1"/>
  <c r="H44" i="1" s="1"/>
  <c r="H609" i="1" s="1"/>
  <c r="I43" i="1"/>
  <c r="F44" i="1"/>
  <c r="G44" i="1"/>
  <c r="H608" i="1" s="1"/>
  <c r="J608" i="1" s="1"/>
  <c r="F169" i="1"/>
  <c r="F184" i="1" s="1"/>
  <c r="I169" i="1"/>
  <c r="I184" i="1" s="1"/>
  <c r="F175" i="1"/>
  <c r="G175" i="1"/>
  <c r="H175" i="1"/>
  <c r="I175" i="1"/>
  <c r="J175" i="1"/>
  <c r="G635" i="1" s="1"/>
  <c r="F180" i="1"/>
  <c r="G180" i="1"/>
  <c r="G184" i="1" s="1"/>
  <c r="H180" i="1"/>
  <c r="I180" i="1"/>
  <c r="H184" i="1"/>
  <c r="F203" i="1"/>
  <c r="G203" i="1"/>
  <c r="J203" i="1"/>
  <c r="J249" i="1" s="1"/>
  <c r="K203" i="1"/>
  <c r="K249" i="1" s="1"/>
  <c r="K263" i="1" s="1"/>
  <c r="F221" i="1"/>
  <c r="F249" i="1" s="1"/>
  <c r="F263" i="1" s="1"/>
  <c r="G221" i="1"/>
  <c r="G249" i="1" s="1"/>
  <c r="G263" i="1" s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82" i="1"/>
  <c r="F330" i="1" s="1"/>
  <c r="F344" i="1" s="1"/>
  <c r="F301" i="1"/>
  <c r="G301" i="1"/>
  <c r="H301" i="1"/>
  <c r="I301" i="1"/>
  <c r="F320" i="1"/>
  <c r="G320" i="1"/>
  <c r="H320" i="1"/>
  <c r="I320" i="1"/>
  <c r="F329" i="1"/>
  <c r="G329" i="1"/>
  <c r="H329" i="1"/>
  <c r="I329" i="1"/>
  <c r="J329" i="1"/>
  <c r="K329" i="1"/>
  <c r="K330" i="1" s="1"/>
  <c r="K344" i="1" s="1"/>
  <c r="L329" i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I400" i="1" s="1"/>
  <c r="F399" i="1"/>
  <c r="G399" i="1"/>
  <c r="H399" i="1"/>
  <c r="I399" i="1"/>
  <c r="F400" i="1"/>
  <c r="H633" i="1" s="1"/>
  <c r="G400" i="1"/>
  <c r="H635" i="1" s="1"/>
  <c r="H400" i="1"/>
  <c r="H634" i="1" s="1"/>
  <c r="J634" i="1" s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G426" i="1" s="1"/>
  <c r="H411" i="1"/>
  <c r="H426" i="1" s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F426" i="1" s="1"/>
  <c r="G425" i="1"/>
  <c r="H425" i="1"/>
  <c r="I425" i="1"/>
  <c r="J425" i="1"/>
  <c r="J426" i="1" s="1"/>
  <c r="L425" i="1"/>
  <c r="F438" i="1"/>
  <c r="G438" i="1"/>
  <c r="G630" i="1" s="1"/>
  <c r="H438" i="1"/>
  <c r="I438" i="1"/>
  <c r="G632" i="1" s="1"/>
  <c r="F444" i="1"/>
  <c r="F451" i="1" s="1"/>
  <c r="H629" i="1" s="1"/>
  <c r="G444" i="1"/>
  <c r="G451" i="1" s="1"/>
  <c r="H630" i="1" s="1"/>
  <c r="H444" i="1"/>
  <c r="H451" i="1" s="1"/>
  <c r="H631" i="1" s="1"/>
  <c r="F450" i="1"/>
  <c r="G450" i="1"/>
  <c r="H450" i="1"/>
  <c r="I460" i="1"/>
  <c r="J460" i="1"/>
  <c r="I464" i="1"/>
  <c r="J464" i="1"/>
  <c r="I466" i="1"/>
  <c r="H615" i="1" s="1"/>
  <c r="J615" i="1" s="1"/>
  <c r="J466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I514" i="1"/>
  <c r="I535" i="1" s="1"/>
  <c r="J514" i="1"/>
  <c r="J535" i="1" s="1"/>
  <c r="K514" i="1"/>
  <c r="F519" i="1"/>
  <c r="G519" i="1"/>
  <c r="H519" i="1"/>
  <c r="I519" i="1"/>
  <c r="J519" i="1"/>
  <c r="K519" i="1"/>
  <c r="L519" i="1"/>
  <c r="F524" i="1"/>
  <c r="G524" i="1"/>
  <c r="G535" i="1" s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35" i="1" s="1"/>
  <c r="F535" i="1"/>
  <c r="L547" i="1"/>
  <c r="L548" i="1"/>
  <c r="L549" i="1"/>
  <c r="F550" i="1"/>
  <c r="F561" i="1" s="1"/>
  <c r="G550" i="1"/>
  <c r="G561" i="1" s="1"/>
  <c r="H550" i="1"/>
  <c r="H561" i="1" s="1"/>
  <c r="I550" i="1"/>
  <c r="J550" i="1"/>
  <c r="K550" i="1"/>
  <c r="L550" i="1"/>
  <c r="L552" i="1"/>
  <c r="L555" i="1" s="1"/>
  <c r="L553" i="1"/>
  <c r="L554" i="1"/>
  <c r="F555" i="1"/>
  <c r="G555" i="1"/>
  <c r="H555" i="1"/>
  <c r="I555" i="1"/>
  <c r="I561" i="1" s="1"/>
  <c r="J555" i="1"/>
  <c r="J561" i="1" s="1"/>
  <c r="K555" i="1"/>
  <c r="L557" i="1"/>
  <c r="L558" i="1"/>
  <c r="L559" i="1"/>
  <c r="F560" i="1"/>
  <c r="G560" i="1"/>
  <c r="H560" i="1"/>
  <c r="I560" i="1"/>
  <c r="J560" i="1"/>
  <c r="K560" i="1"/>
  <c r="K561" i="1" s="1"/>
  <c r="L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3" i="1"/>
  <c r="K584" i="1"/>
  <c r="K585" i="1"/>
  <c r="K586" i="1"/>
  <c r="K587" i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7" i="1"/>
  <c r="H607" i="1"/>
  <c r="J607" i="1"/>
  <c r="G608" i="1"/>
  <c r="G612" i="1"/>
  <c r="G613" i="1"/>
  <c r="G614" i="1"/>
  <c r="G615" i="1"/>
  <c r="H616" i="1"/>
  <c r="H620" i="1"/>
  <c r="H621" i="1"/>
  <c r="H624" i="1"/>
  <c r="G625" i="1"/>
  <c r="H626" i="1"/>
  <c r="H627" i="1"/>
  <c r="H628" i="1"/>
  <c r="G629" i="1"/>
  <c r="G631" i="1"/>
  <c r="J631" i="1" s="1"/>
  <c r="G633" i="1"/>
  <c r="J633" i="1" s="1"/>
  <c r="G634" i="1"/>
  <c r="G641" i="1"/>
  <c r="J641" i="1" s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J630" i="1" l="1"/>
  <c r="K541" i="1"/>
  <c r="C39" i="10"/>
  <c r="E136" i="2"/>
  <c r="G650" i="1"/>
  <c r="G654" i="1" s="1"/>
  <c r="C101" i="2"/>
  <c r="C10" i="10"/>
  <c r="H650" i="1"/>
  <c r="H654" i="1" s="1"/>
  <c r="G32" i="2"/>
  <c r="K540" i="1"/>
  <c r="I185" i="1"/>
  <c r="G620" i="1" s="1"/>
  <c r="J620" i="1" s="1"/>
  <c r="C102" i="2"/>
  <c r="C11" i="10"/>
  <c r="J635" i="1"/>
  <c r="F96" i="2"/>
  <c r="G55" i="2"/>
  <c r="G96" i="2" s="1"/>
  <c r="G19" i="2"/>
  <c r="L561" i="1"/>
  <c r="G156" i="2"/>
  <c r="C25" i="13"/>
  <c r="H33" i="13"/>
  <c r="D12" i="13"/>
  <c r="C12" i="13" s="1"/>
  <c r="C113" i="2"/>
  <c r="C18" i="10"/>
  <c r="J263" i="1"/>
  <c r="H638" i="1"/>
  <c r="J638" i="1" s="1"/>
  <c r="H542" i="1"/>
  <c r="H625" i="1"/>
  <c r="J625" i="1" s="1"/>
  <c r="G464" i="1"/>
  <c r="C20" i="10"/>
  <c r="C115" i="2"/>
  <c r="D14" i="13"/>
  <c r="C14" i="13" s="1"/>
  <c r="J610" i="1"/>
  <c r="E96" i="2"/>
  <c r="J629" i="1"/>
  <c r="G36" i="2"/>
  <c r="G42" i="2" s="1"/>
  <c r="G43" i="2" s="1"/>
  <c r="J43" i="1"/>
  <c r="I451" i="1"/>
  <c r="H632" i="1" s="1"/>
  <c r="G13" i="2"/>
  <c r="J19" i="1"/>
  <c r="G611" i="1" s="1"/>
  <c r="H458" i="1"/>
  <c r="G619" i="1"/>
  <c r="D73" i="2"/>
  <c r="D96" i="2" s="1"/>
  <c r="J632" i="1"/>
  <c r="G542" i="1"/>
  <c r="C38" i="10"/>
  <c r="L400" i="1"/>
  <c r="C130" i="2"/>
  <c r="C133" i="2" s="1"/>
  <c r="K582" i="1"/>
  <c r="K588" i="1" s="1"/>
  <c r="G637" i="1" s="1"/>
  <c r="J637" i="1" s="1"/>
  <c r="C117" i="2"/>
  <c r="G640" i="1"/>
  <c r="J640" i="1" s="1"/>
  <c r="L374" i="1"/>
  <c r="G626" i="1" s="1"/>
  <c r="J626" i="1" s="1"/>
  <c r="E110" i="2"/>
  <c r="G104" i="1"/>
  <c r="G185" i="1" s="1"/>
  <c r="L534" i="1"/>
  <c r="L274" i="1"/>
  <c r="L282" i="1" s="1"/>
  <c r="C116" i="2"/>
  <c r="C110" i="2"/>
  <c r="E103" i="2"/>
  <c r="E107" i="2" s="1"/>
  <c r="L511" i="1"/>
  <c r="C27" i="10"/>
  <c r="D5" i="13"/>
  <c r="L196" i="1"/>
  <c r="J184" i="1"/>
  <c r="J185" i="1" s="1"/>
  <c r="C29" i="10"/>
  <c r="C21" i="10"/>
  <c r="F104" i="1"/>
  <c r="F185" i="1" s="1"/>
  <c r="G639" i="1"/>
  <c r="J639" i="1" s="1"/>
  <c r="C48" i="2"/>
  <c r="C55" i="2" s="1"/>
  <c r="C96" i="2" s="1"/>
  <c r="J330" i="1"/>
  <c r="J344" i="1" s="1"/>
  <c r="I203" i="1"/>
  <c r="I249" i="1" s="1"/>
  <c r="I263" i="1" s="1"/>
  <c r="F652" i="1"/>
  <c r="I652" i="1" s="1"/>
  <c r="D15" i="13"/>
  <c r="C15" i="13" s="1"/>
  <c r="D6" i="13"/>
  <c r="C6" i="13" s="1"/>
  <c r="L330" i="1" l="1"/>
  <c r="L344" i="1" s="1"/>
  <c r="D31" i="13"/>
  <c r="C31" i="13" s="1"/>
  <c r="G621" i="1"/>
  <c r="J621" i="1" s="1"/>
  <c r="G636" i="1"/>
  <c r="J611" i="1"/>
  <c r="C28" i="10"/>
  <c r="D27" i="10" s="1"/>
  <c r="D10" i="10"/>
  <c r="E8" i="13"/>
  <c r="C17" i="10"/>
  <c r="C112" i="2"/>
  <c r="C107" i="2"/>
  <c r="H460" i="1"/>
  <c r="H619" i="1"/>
  <c r="J619" i="1" s="1"/>
  <c r="H657" i="1"/>
  <c r="H662" i="1"/>
  <c r="D33" i="13"/>
  <c r="D36" i="13" s="1"/>
  <c r="C5" i="13"/>
  <c r="L203" i="1"/>
  <c r="J44" i="1"/>
  <c r="H611" i="1" s="1"/>
  <c r="G616" i="1"/>
  <c r="G662" i="1"/>
  <c r="G657" i="1"/>
  <c r="L514" i="1"/>
  <c r="L535" i="1" s="1"/>
  <c r="F539" i="1"/>
  <c r="C36" i="10"/>
  <c r="G627" i="1"/>
  <c r="J627" i="1" s="1"/>
  <c r="H636" i="1"/>
  <c r="C136" i="2"/>
  <c r="C120" i="2"/>
  <c r="C16" i="10"/>
  <c r="E111" i="2"/>
  <c r="E120" i="2" s="1"/>
  <c r="E137" i="2" s="1"/>
  <c r="G617" i="1"/>
  <c r="F458" i="1"/>
  <c r="D21" i="10"/>
  <c r="G618" i="1"/>
  <c r="G458" i="1"/>
  <c r="F542" i="1" l="1"/>
  <c r="K539" i="1"/>
  <c r="K542" i="1" s="1"/>
  <c r="J616" i="1"/>
  <c r="C137" i="2"/>
  <c r="D11" i="10"/>
  <c r="D28" i="10" s="1"/>
  <c r="D20" i="10"/>
  <c r="D17" i="10"/>
  <c r="H618" i="1"/>
  <c r="G460" i="1"/>
  <c r="G466" i="1" s="1"/>
  <c r="H613" i="1" s="1"/>
  <c r="J613" i="1" s="1"/>
  <c r="F650" i="1"/>
  <c r="L249" i="1"/>
  <c r="L263" i="1" s="1"/>
  <c r="E33" i="13"/>
  <c r="D35" i="13" s="1"/>
  <c r="C8" i="13"/>
  <c r="J618" i="1"/>
  <c r="D22" i="10"/>
  <c r="D23" i="10"/>
  <c r="C30" i="10"/>
  <c r="D15" i="10"/>
  <c r="D26" i="10"/>
  <c r="D13" i="10"/>
  <c r="D19" i="10"/>
  <c r="D24" i="10"/>
  <c r="D25" i="10"/>
  <c r="D12" i="10"/>
  <c r="H617" i="1"/>
  <c r="F460" i="1"/>
  <c r="C41" i="10"/>
  <c r="D36" i="10" s="1"/>
  <c r="J617" i="1"/>
  <c r="J636" i="1"/>
  <c r="D16" i="10"/>
  <c r="D18" i="10"/>
  <c r="H462" i="1"/>
  <c r="G623" i="1"/>
  <c r="H464" i="1" l="1"/>
  <c r="H466" i="1" s="1"/>
  <c r="H614" i="1" s="1"/>
  <c r="J614" i="1" s="1"/>
  <c r="H623" i="1"/>
  <c r="J623" i="1" s="1"/>
  <c r="F654" i="1"/>
  <c r="I650" i="1"/>
  <c r="I654" i="1" s="1"/>
  <c r="F462" i="1"/>
  <c r="G622" i="1"/>
  <c r="D37" i="10"/>
  <c r="D35" i="10"/>
  <c r="D40" i="10"/>
  <c r="D39" i="10"/>
  <c r="D38" i="10"/>
  <c r="F662" i="1" l="1"/>
  <c r="C4" i="10" s="1"/>
  <c r="F657" i="1"/>
  <c r="F464" i="1"/>
  <c r="F466" i="1" s="1"/>
  <c r="H612" i="1" s="1"/>
  <c r="J612" i="1" s="1"/>
  <c r="H622" i="1"/>
  <c r="J622" i="1" s="1"/>
  <c r="I657" i="1"/>
  <c r="I662" i="1"/>
  <c r="C7" i="10" s="1"/>
  <c r="D41" i="10"/>
  <c r="H6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87B387D6-C42E-4731-887D-BED59CEA767F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BFB7351-7915-4E72-888C-B42CD71C069D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64879B0-2184-49EB-B7EF-5F97968EB1EE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11CA689-655E-43A2-8B44-0414E31D6BE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A666422-8B21-454E-A011-BC2434302F8A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28BD5C8-C830-4532-AFE8-6EE2EA3745D4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827228DE-C8C0-44E9-8F55-224E2E49278D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68C9F151-75EA-4E50-9F1D-F68B82834D5A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DD1C91BF-7C86-4E04-94F2-9795346A9872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42681D52-34C5-4733-9C57-C1D27CA4C6E0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42957723-C542-4E3E-8036-F477834123EA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D1D27B1F-83D3-47A5-92A3-4ECD0A5FC4BE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<sst xmlns="http://schemas.openxmlformats.org/spreadsheetml/2006/main" count="3861" uniqueCount="898">
  <si>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</si>
  <si>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</si>
  <si>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</si>
  <si>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</si>
  <si>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</si>
  <si>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</si>
  <si>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</si>
  <si>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</si>
  <si>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</si>
  <si>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</si>
  <si>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</si>
  <si>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</si>
  <si>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</si>
  <si>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</si>
  <si>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</si>
  <si>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</si>
  <si>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</si>
  <si>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</si>
  <si>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</si>
  <si>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</si>
  <si>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</si>
  <si>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</si>
  <si>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</si>
  <si>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</si>
  <si>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</si>
  <si>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</si>
  <si>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</si>
  <si>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</si>
  <si>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</si>
  <si>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</si>
  <si>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</si>
  <si>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</si>
  <si>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</si>
  <si>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</si>
  <si>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</si>
  <si>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</si>
  <si>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</si>
  <si>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</si>
  <si>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</si>
  <si>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</si>
  <si>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</si>
  <si>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</si>
  <si>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</si>
  <si>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</si>
  <si>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</si>
  <si>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</si>
  <si>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</si>
  <si>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</si>
  <si>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</si>
  <si>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</si>
  <si>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</si>
  <si>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</si>
  <si>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</si>
  <si>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</si>
  <si>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</si>
  <si>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</si>
  <si>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</si>
  <si>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</si>
  <si>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</si>
  <si>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</si>
  <si>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</si>
  <si>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</si>
  <si>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</si>
  <si>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</si>
  <si>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</si>
  <si>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</si>
  <si>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</si>
  <si>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</si>
  <si>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</si>
  <si>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</si>
  <si>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</si>
  <si>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</si>
  <si>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</si>
  <si>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</si>
  <si>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</si>
  <si>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</si>
  <si>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</si>
  <si>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</si>
  <si>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</si>
  <si>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</si>
  <si>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</si>
  <si>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</si>
  <si>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</si>
  <si>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</si>
  <si>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</si>
  <si>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</si>
  <si>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</si>
  <si>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</si>
  <si>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</si>
  <si>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</si>
  <si>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</si>
  <si>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</si>
  <si>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</si>
  <si>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</si>
  <si>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</si>
  <si>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</si>
  <si>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</si>
  <si>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</si>
  <si>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</si>
  <si>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</si>
  <si>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</si>
  <si>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</si>
  <si>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</si>
  <si>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</si>
  <si>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</si>
  <si>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</si>
  <si>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</si>
  <si>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</si>
  <si>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</si>
  <si>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</si>
  <si>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</si>
  <si>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</si>
  <si>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</si>
  <si>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</si>
  <si>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</si>
  <si>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</si>
  <si>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</si>
  <si>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</si>
  <si>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</si>
  <si>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</si>
  <si>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</si>
  <si>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</si>
  <si>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</si>
  <si>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</si>
  <si>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</si>
  <si>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</si>
  <si>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</si>
  <si>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</si>
  <si>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</si>
  <si>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</si>
  <si>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</si>
  <si>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</si>
  <si>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</si>
  <si>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</si>
  <si>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</si>
  <si>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</si>
  <si>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</si>
  <si>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</si>
  <si>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</si>
  <si>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</si>
  <si>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</si>
  <si>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</si>
  <si>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</si>
  <si>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</si>
  <si>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</si>
  <si>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</si>
  <si>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</si>
  <si>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</si>
  <si>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</si>
  <si>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</si>
  <si>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</si>
  <si>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</si>
  <si>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</si>
  <si>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</si>
  <si>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</si>
  <si>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</si>
  <si>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</si>
  <si>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</si>
  <si>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</si>
  <si>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</si>
  <si>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</si>
  <si>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</si>
  <si>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</si>
  <si>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</si>
  <si>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</si>
  <si>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</si>
  <si>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</si>
  <si>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</si>
  <si>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</si>
  <si>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</si>
  <si>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</si>
  <si>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</si>
  <si>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</si>
  <si>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</si>
  <si>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</si>
  <si>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</si>
  <si>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</si>
  <si>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</si>
  <si>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</si>
  <si>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</si>
  <si>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</si>
  <si>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</si>
  <si>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</si>
  <si>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</si>
  <si>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</si>
  <si>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</si>
  <si>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</si>
  <si>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</si>
  <si>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</si>
  <si>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</si>
  <si>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</si>
  <si>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</si>
  <si>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</si>
  <si>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</si>
  <si>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</si>
  <si>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</si>
  <si>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</si>
  <si>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</si>
  <si>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</si>
  <si>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</si>
  <si>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</si>
  <si>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</si>
  <si>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</si>
  <si>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</si>
  <si>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</si>
  <si>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</si>
  <si>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</si>
  <si>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</si>
  <si>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</si>
  <si>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</si>
  <si>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</si>
  <si>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</si>
  <si>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</si>
  <si>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</si>
  <si>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</si>
  <si>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</si>
  <si>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</si>
  <si>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</si>
  <si>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</si>
  <si>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</si>
  <si>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</si>
  <si>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</si>
  <si>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</si>
  <si>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</si>
  <si>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</si>
  <si>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</si>
  <si>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</si>
  <si>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</si>
  <si>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</si>
  <si>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</si>
  <si>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</si>
  <si>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</si>
  <si>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</si>
  <si>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</si>
  <si>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</si>
  <si>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</si>
  <si>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</si>
  <si>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</si>
  <si>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</si>
  <si>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</si>
  <si>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</si>
  <si>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</si>
  <si>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</si>
  <si>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</si>
  <si>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</si>
  <si>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</si>
  <si>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</si>
  <si>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</si>
  <si>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</si>
  <si>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</si>
  <si>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</si>
  <si>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</si>
  <si>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</si>
  <si>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</si>
  <si>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</si>
  <si>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</si>
  <si>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</si>
  <si>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</si>
  <si>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</si>
  <si>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</si>
  <si>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</si>
  <si>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</si>
  <si>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</si>
  <si>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</si>
  <si>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</si>
  <si>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</si>
  <si>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</si>
  <si>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</si>
  <si>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</si>
  <si>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</si>
  <si>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</si>
  <si>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</si>
  <si>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</si>
  <si>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</si>
  <si>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</si>
  <si>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</si>
  <si>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</si>
  <si>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</si>
  <si>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</si>
  <si>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</si>
  <si>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</si>
  <si>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</si>
  <si>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</si>
  <si>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</si>
  <si>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</si>
  <si>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</si>
  <si>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</si>
  <si>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</si>
  <si>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</si>
  <si>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</si>
  <si>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</si>
  <si>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</si>
  <si>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</si>
  <si>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</si>
  <si>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</si>
  <si>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</si>
  <si>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</si>
  <si>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</si>
  <si>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</si>
  <si>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</si>
  <si>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</si>
  <si>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</si>
  <si>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</si>
  <si>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</si>
  <si>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</si>
  <si>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</si>
  <si>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</si>
  <si>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</si>
  <si>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</si>
  <si>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</si>
  <si>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</si>
  <si>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</si>
  <si>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</si>
  <si>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</si>
  <si>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</si>
  <si>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</si>
  <si>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</si>
  <si>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</si>
  <si>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</si>
  <si>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</si>
  <si>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</si>
  <si>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</si>
  <si>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</si>
  <si>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</si>
  <si>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</si>
  <si>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</si>
  <si>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</si>
  <si>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</si>
  <si>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</si>
  <si>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</si>
  <si>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</si>
  <si>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</si>
  <si>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</si>
  <si>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</si>
  <si>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</si>
  <si>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</si>
  <si>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</si>
  <si>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</si>
  <si>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</si>
  <si>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</si>
  <si>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</si>
  <si>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</si>
  <si>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</si>
  <si>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</si>
  <si>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</si>
  <si>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</si>
  <si>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</si>
  <si>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</si>
  <si>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</si>
  <si>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</si>
  <si>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</si>
  <si>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</si>
  <si>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</si>
  <si>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</si>
  <si>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</si>
  <si>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</si>
  <si>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</si>
  <si>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</si>
  <si>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</si>
  <si>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</si>
  <si>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</si>
  <si>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</si>
  <si>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</si>
  <si>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</si>
  <si>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</si>
  <si>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</si>
  <si>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</si>
  <si>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</si>
  <si>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</si>
  <si>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</si>
  <si>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</si>
  <si>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</si>
  <si>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</si>
  <si>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</si>
  <si>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</si>
  <si>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</si>
  <si>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</si>
  <si>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</si>
  <si>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</si>
  <si>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</si>
  <si>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</si>
  <si>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</si>
  <si>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</si>
  <si>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</si>
  <si>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</si>
  <si>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</si>
  <si>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</si>
  <si>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</si>
  <si>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</si>
  <si>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</si>
  <si>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</si>
  <si>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</si>
  <si>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</si>
  <si>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</si>
  <si>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</si>
  <si>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</si>
  <si>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</si>
  <si>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</si>
  <si>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</si>
  <si>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</si>
  <si>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</si>
  <si>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</si>
  <si>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</si>
  <si>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</si>
  <si>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</si>
  <si>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</si>
  <si>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</si>
  <si>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</si>
  <si>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</si>
  <si>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</si>
  <si>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</si>
  <si>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</si>
  <si>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</si>
  <si>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</si>
  <si>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</si>
  <si>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</si>
  <si>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</si>
  <si>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</si>
  <si>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</si>
  <si>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</si>
  <si>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</si>
  <si>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</si>
  <si>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</si>
  <si>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</si>
  <si>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</si>
  <si>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</si>
  <si>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</si>
  <si>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</si>
  <si>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</si>
  <si>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</si>
  <si>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</si>
  <si>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</si>
  <si>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</si>
  <si>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</si>
  <si>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</si>
  <si>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</si>
  <si>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</si>
  <si>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</si>
  <si>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</si>
  <si>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</si>
  <si>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</si>
  <si>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</si>
  <si>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</si>
  <si>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</si>
  <si>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</si>
  <si>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</si>
  <si>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</si>
  <si>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</si>
  <si>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</si>
  <si>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</si>
  <si>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</si>
  <si>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</si>
  <si>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</si>
  <si>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</si>
  <si>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</si>
  <si>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</si>
  <si>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</si>
  <si>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</si>
  <si>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</si>
  <si>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</si>
  <si>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</si>
  <si>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</si>
  <si>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</si>
  <si>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</si>
  <si>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</si>
  <si>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</si>
  <si>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</si>
  <si>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</si>
  <si>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</si>
  <si>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</si>
  <si>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</si>
  <si>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</si>
  <si>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</si>
  <si>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</si>
  <si>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</si>
  <si>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</si>
  <si>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</si>
  <si>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</si>
  <si>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</si>
  <si>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</si>
  <si>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</si>
  <si>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</si>
  <si>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</si>
  <si>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</si>
  <si>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</si>
  <si>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</si>
  <si>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</si>
  <si>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</si>
  <si>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</si>
  <si>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</si>
  <si>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</si>
  <si>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</si>
  <si>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</si>
  <si>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</si>
  <si>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</si>
  <si>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</si>
  <si>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</si>
  <si>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</si>
  <si>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</si>
  <si>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</si>
  <si>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</si>
  <si>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</si>
  <si>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</si>
  <si>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</si>
  <si>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</si>
  <si>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</si>
  <si>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</si>
  <si>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</si>
  <si>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</si>
  <si>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</si>
  <si>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</si>
  <si>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</si>
  <si>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</si>
  <si>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</si>
  <si>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</si>
  <si>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</si>
  <si>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</si>
  <si>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</si>
  <si>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</si>
  <si>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</si>
  <si>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</si>
  <si>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</si>
  <si>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</si>
  <si>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</si>
  <si>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</si>
  <si>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</si>
  <si>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</si>
  <si>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</si>
  <si>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</si>
  <si>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</si>
  <si>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</si>
  <si>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</si>
  <si>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</si>
  <si>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</si>
  <si>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</si>
  <si>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</si>
  <si>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</si>
  <si>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</si>
  <si>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</si>
  <si>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</si>
  <si>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</si>
  <si>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</si>
  <si>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</si>
  <si>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</si>
  <si>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</si>
  <si>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</si>
  <si>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</si>
  <si>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</si>
  <si>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</si>
  <si>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</si>
  <si>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</si>
  <si>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</si>
  <si>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</si>
  <si>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</si>
  <si>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</si>
  <si>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</si>
  <si>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</si>
  <si>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</si>
  <si>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</si>
  <si>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</si>
  <si>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</si>
  <si>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</si>
  <si>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</si>
  <si>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</si>
  <si>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</si>
  <si>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</si>
  <si>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</si>
  <si>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</si>
  <si>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</si>
  <si>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</si>
  <si>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</si>
  <si>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</si>
  <si>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</si>
  <si>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</si>
  <si>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</si>
  <si>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</si>
  <si>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</si>
  <si>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</si>
  <si>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</si>
  <si>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</si>
  <si>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</si>
  <si>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</si>
  <si>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</si>
  <si>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</si>
  <si>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</si>
  <si>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</si>
  <si>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</si>
  <si>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</si>
  <si>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</si>
  <si>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</si>
  <si>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</si>
  <si>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</si>
  <si>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</si>
  <si>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</si>
  <si>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</si>
  <si>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</si>
  <si>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</si>
  <si>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</si>
  <si>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</si>
  <si>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</si>
  <si>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</si>
  <si>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</si>
  <si>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</si>
  <si>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</si>
  <si>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</si>
  <si>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</si>
  <si>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</si>
  <si>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</si>
  <si>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</si>
  <si>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</si>
  <si>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</si>
  <si>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</si>
  <si>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</si>
  <si>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</si>
  <si>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</si>
  <si>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</si>
  <si>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</si>
  <si>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</si>
  <si>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</si>
  <si>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</si>
  <si>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</si>
  <si>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</si>
  <si>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</si>
  <si>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</si>
  <si>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</si>
  <si>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</si>
  <si>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</si>
  <si>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</si>
  <si>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</si>
  <si>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</si>
  <si>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</si>
  <si>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</si>
  <si>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</si>
  <si>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</si>
  <si>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</si>
  <si>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</si>
  <si>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</si>
  <si>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</si>
  <si>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</si>
  <si>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</si>
  <si>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</si>
  <si>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</si>
  <si>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</si>
  <si>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</si>
  <si>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</si>
  <si>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</si>
  <si>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</si>
  <si>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</si>
  <si>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</si>
  <si>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</si>
  <si>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</si>
  <si>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</si>
  <si>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</si>
  <si>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</si>
  <si>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</si>
  <si>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</si>
  <si>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</si>
  <si>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</si>
  <si>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</si>
  <si>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</si>
  <si>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</si>
  <si>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</si>
  <si>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</si>
  <si>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</si>
  <si>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</si>
  <si>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</si>
  <si>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</si>
  <si>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</si>
  <si>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</si>
  <si>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</si>
  <si>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</si>
  <si>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</si>
  <si>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</si>
  <si>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</si>
  <si>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</si>
  <si>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</si>
  <si>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</si>
  <si>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</si>
  <si>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</si>
  <si>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</si>
  <si>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</si>
  <si>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</si>
  <si>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</si>
  <si>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</si>
  <si>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</si>
  <si>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</si>
  <si>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</si>
  <si>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</si>
  <si>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</si>
  <si>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</si>
  <si>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</si>
  <si>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</si>
  <si>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</si>
  <si>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</si>
  <si>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</si>
  <si>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</si>
  <si>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</si>
  <si>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</si>
  <si>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</si>
  <si>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</si>
  <si>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</si>
  <si>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</si>
  <si>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</si>
  <si>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</si>
  <si>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</si>
  <si>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</si>
  <si>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</si>
  <si>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</si>
  <si>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</si>
  <si>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</si>
  <si>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</si>
  <si>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</si>
  <si>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</si>
  <si>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</si>
  <si>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</si>
  <si>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</si>
  <si>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</si>
  <si>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</si>
  <si>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</si>
  <si>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</si>
  <si>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</si>
  <si>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</si>
  <si>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</si>
  <si>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</si>
  <si>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</si>
  <si>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</si>
  <si>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</si>
  <si>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</si>
  <si>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</si>
  <si>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</si>
  <si>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</si>
  <si>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</si>
  <si>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</si>
  <si>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</si>
  <si>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</si>
  <si>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</si>
  <si>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</si>
  <si>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</si>
  <si>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</si>
  <si>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</si>
  <si>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</si>
  <si>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</si>
  <si>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</si>
  <si>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</si>
  <si>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</si>
  <si>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</si>
  <si>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</si>
  <si>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</si>
  <si>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</si>
  <si>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</si>
  <si>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</si>
  <si>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</si>
  <si>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</si>
  <si>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</si>
  <si>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</si>
  <si>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</si>
  <si>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</si>
  <si>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</si>
  <si>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</si>
  <si>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</si>
  <si>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</si>
  <si>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</si>
  <si>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</si>
  <si>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</si>
  <si>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</si>
  <si>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</si>
  <si>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</si>
  <si>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</si>
  <si>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</si>
  <si>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</si>
  <si>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</si>
  <si>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</si>
  <si>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</si>
  <si>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</si>
  <si>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</si>
  <si>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</si>
  <si>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</si>
  <si>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</si>
  <si>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</si>
  <si>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</si>
  <si>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</si>
  <si>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</si>
  <si>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</si>
  <si>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</si>
  <si>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</si>
  <si>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</si>
  <si>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</si>
  <si>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</si>
  <si>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</si>
  <si>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</si>
  <si>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</si>
  <si>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</si>
  <si>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</si>
  <si>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</si>
  <si>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</si>
  <si>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</si>
  <si>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</si>
  <si>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</si>
  <si>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</si>
  <si>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</si>
  <si>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</si>
  <si>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</si>
  <si>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</si>
  <si>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</si>
  <si>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</si>
  <si>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</si>
  <si>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</si>
  <si>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</si>
  <si>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</si>
  <si>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</si>
  <si>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</si>
  <si>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</si>
  <si>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</si>
  <si>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</si>
  <si>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</si>
  <si>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</si>
  <si>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</si>
  <si>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</si>
  <si>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</si>
  <si>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</si>
  <si>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</si>
  <si>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</si>
  <si>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</si>
  <si>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</si>
  <si>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</si>
  <si>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</si>
  <si>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</si>
  <si>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</si>
  <si>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</si>
  <si>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</si>
  <si>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</si>
  <si>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</si>
  <si>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</si>
  <si>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</si>
  <si>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</si>
  <si>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</si>
  <si>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</si>
  <si>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</si>
  <si>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</si>
  <si>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</si>
  <si>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</si>
  <si>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</si>
  <si>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</si>
  <si>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</si>
  <si>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</si>
  <si>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</si>
  <si>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</si>
  <si>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</si>
  <si>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</si>
  <si>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</si>
  <si>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</si>
  <si>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</si>
  <si>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</si>
  <si>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</si>
  <si>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</si>
  <si>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</si>
  <si>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</si>
  <si>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</si>
  <si>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</si>
  <si>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</si>
  <si>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</si>
  <si>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</si>
  <si>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</si>
  <si>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</si>
  <si>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</si>
  <si>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</si>
  <si>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</si>
  <si>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</si>
  <si>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</si>
  <si>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</si>
  <si>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</si>
  <si>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</si>
  <si>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</si>
  <si>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</si>
  <si>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</si>
  <si>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</si>
  <si>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</si>
  <si>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</si>
  <si>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</si>
  <si>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</si>
  <si>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</si>
  <si>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</si>
  <si>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</si>
  <si>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</si>
  <si>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</si>
  <si>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</si>
  <si>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</si>
  <si>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</si>
  <si>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</si>
  <si>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</si>
  <si>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</si>
  <si>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</si>
  <si>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</si>
  <si>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</si>
  <si>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Dunbarton</t>
  </si>
  <si>
    <t>07/16</t>
  </si>
  <si>
    <t>07/06</t>
  </si>
  <si>
    <t>Transfer for General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</si>
</sst>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54218-FAFD-47D6-8866-5629A54F4470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149</v>
      </c>
      <c r="C2" s="21">
        <v>149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3909643-3562510+7444</f>
        <v>354577</v>
      </c>
      <c r="G9" s="18">
        <f>117935-90936</f>
        <v>26999</v>
      </c>
      <c r="H9" s="18">
        <f>96796-47800-16299</f>
        <v>32697</v>
      </c>
      <c r="I9" s="18"/>
      <c r="J9" s="67">
        <f>SUM(I431)</f>
        <v>81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>
        <v>1786</v>
      </c>
      <c r="I10" s="18"/>
      <c r="J10" s="67">
        <f>SUM(I432)</f>
        <v>186302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98703</v>
      </c>
      <c r="G12" s="18">
        <f>-40591+12917</f>
        <v>-27674</v>
      </c>
      <c r="H12" s="18">
        <f>-49075+15034</f>
        <v>-34041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f>233241+18562</f>
        <v>251803</v>
      </c>
      <c r="G13" s="18">
        <v>675</v>
      </c>
      <c r="H13" s="18">
        <v>18808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8267</v>
      </c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3279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716629</v>
      </c>
      <c r="G19" s="41">
        <f>SUM(G9:G18)</f>
        <v>0</v>
      </c>
      <c r="H19" s="41">
        <f>SUM(H9:H18)</f>
        <v>19250</v>
      </c>
      <c r="I19" s="41">
        <f>SUM(I9:I18)</f>
        <v>0</v>
      </c>
      <c r="J19" s="41">
        <f>SUM(J9:J18)</f>
        <v>186383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111218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1020+119</f>
        <v>1139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7456</v>
      </c>
      <c r="G31" s="18"/>
      <c r="H31" s="18">
        <v>2561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119813</v>
      </c>
      <c r="G33" s="41">
        <f>SUM(G23:G32)</f>
        <v>0</v>
      </c>
      <c r="H33" s="41">
        <f>SUM(H23:H32)</f>
        <v>2561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8267</v>
      </c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2887</v>
      </c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198571</v>
      </c>
      <c r="G37" s="18"/>
      <c r="H37" s="18">
        <v>1521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11000</v>
      </c>
      <c r="G41" s="18"/>
      <c r="H41" s="18">
        <f>16689-1521</f>
        <v>15168</v>
      </c>
      <c r="I41" s="18"/>
      <c r="J41" s="13">
        <f>SUM(I449)</f>
        <v>186383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357529+18562</f>
        <v>376091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596816</v>
      </c>
      <c r="G43" s="41">
        <f>SUM(G35:G42)</f>
        <v>0</v>
      </c>
      <c r="H43" s="41">
        <f>SUM(H35:H42)</f>
        <v>16689</v>
      </c>
      <c r="I43" s="41">
        <f>SUM(I35:I42)</f>
        <v>0</v>
      </c>
      <c r="J43" s="41">
        <f>SUM(J35:J42)</f>
        <v>186383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716629</v>
      </c>
      <c r="G44" s="41">
        <f>G43+G33</f>
        <v>0</v>
      </c>
      <c r="H44" s="41">
        <f>H43+H33</f>
        <v>19250</v>
      </c>
      <c r="I44" s="41">
        <f>I43+I33</f>
        <v>0</v>
      </c>
      <c r="J44" s="41">
        <f>J43+J33</f>
        <v>186383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3006043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3006043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341</v>
      </c>
      <c r="G88" s="18"/>
      <c r="H88" s="18"/>
      <c r="I88" s="18"/>
      <c r="J88" s="18">
        <v>81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21624+2923+501+9943</f>
        <v>34991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2460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2750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12442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2471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17714</v>
      </c>
      <c r="G103" s="41">
        <f>SUM(G88:G102)</f>
        <v>34991</v>
      </c>
      <c r="H103" s="41">
        <f>SUM(H88:H102)</f>
        <v>2750</v>
      </c>
      <c r="I103" s="41">
        <f>SUM(I88:I102)</f>
        <v>0</v>
      </c>
      <c r="J103" s="41">
        <f>SUM(J88:J102)</f>
        <v>81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3023757</v>
      </c>
      <c r="G104" s="41">
        <f>G52+G103</f>
        <v>34991</v>
      </c>
      <c r="H104" s="41">
        <f>H52+H71+H86+H103</f>
        <v>2750</v>
      </c>
      <c r="I104" s="41">
        <f>I52+I103</f>
        <v>0</v>
      </c>
      <c r="J104" s="41">
        <f>J52+J103</f>
        <v>81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390550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730437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149841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1270828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44932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114632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525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2835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159564</v>
      </c>
      <c r="G128" s="41">
        <f>SUM(G115:G127)</f>
        <v>525</v>
      </c>
      <c r="H128" s="41">
        <f>SUM(H115:H127)</f>
        <v>2835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1430392</v>
      </c>
      <c r="G132" s="41">
        <f>G113+SUM(G128:G129)</f>
        <v>525</v>
      </c>
      <c r="H132" s="41">
        <f>H113+SUM(H128:H131)</f>
        <v>2835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f>10323+8338</f>
        <v>18661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13135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17159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8282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55008</v>
      </c>
      <c r="G152" s="24" t="s">
        <v>312</v>
      </c>
      <c r="H152" s="18">
        <v>14640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55008</v>
      </c>
      <c r="G154" s="41">
        <f>SUM(G142:G153)</f>
        <v>8282</v>
      </c>
      <c r="H154" s="41">
        <f>SUM(H142:H153)</f>
        <v>63595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>
        <v>4478</v>
      </c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55008</v>
      </c>
      <c r="G161" s="41">
        <f>G139+G154+SUM(G155:G160)</f>
        <v>12760</v>
      </c>
      <c r="H161" s="41">
        <f>H139+H154+SUM(H155:H160)</f>
        <v>63595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4509157</v>
      </c>
      <c r="G185" s="47">
        <f>G104+G132+G161+G184</f>
        <v>48276</v>
      </c>
      <c r="H185" s="47">
        <f>H104+H132+H161+H184</f>
        <v>69180</v>
      </c>
      <c r="I185" s="47">
        <f>I104+I132+I161+I184</f>
        <v>0</v>
      </c>
      <c r="J185" s="47">
        <f>J104+J132+J184</f>
        <v>10081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663482</v>
      </c>
      <c r="G189" s="18">
        <f>189883+305</f>
        <v>190188</v>
      </c>
      <c r="H189" s="18">
        <v>13975</v>
      </c>
      <c r="I189" s="18">
        <f>28731+812+18</f>
        <v>29561</v>
      </c>
      <c r="J189" s="18">
        <v>15979</v>
      </c>
      <c r="K189" s="18">
        <v>142</v>
      </c>
      <c r="L189" s="19">
        <f>SUM(F189:K189)</f>
        <v>913327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226138</v>
      </c>
      <c r="G190" s="18">
        <v>79319</v>
      </c>
      <c r="H190" s="18">
        <f>18938+252+21659+531</f>
        <v>41380</v>
      </c>
      <c r="I190" s="18">
        <f>3834+117</f>
        <v>3951</v>
      </c>
      <c r="J190" s="18">
        <v>1577</v>
      </c>
      <c r="K190" s="18">
        <v>125</v>
      </c>
      <c r="L190" s="19">
        <f>SUM(F190:K190)</f>
        <v>352490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>
        <v>75</v>
      </c>
      <c r="I192" s="18"/>
      <c r="J192" s="18"/>
      <c r="K192" s="18">
        <v>481</v>
      </c>
      <c r="L192" s="19">
        <f>SUM(F192:K192)</f>
        <v>556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103256</v>
      </c>
      <c r="G194" s="18">
        <v>48084</v>
      </c>
      <c r="H194" s="18">
        <f>49909+141+20+13408</f>
        <v>63478</v>
      </c>
      <c r="I194" s="18">
        <v>1880</v>
      </c>
      <c r="J194" s="18"/>
      <c r="K194" s="18"/>
      <c r="L194" s="19">
        <f t="shared" ref="L194:L200" si="0">SUM(F194:K194)</f>
        <v>216698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52406</v>
      </c>
      <c r="G195" s="18">
        <v>10139</v>
      </c>
      <c r="H195" s="18">
        <v>1992</v>
      </c>
      <c r="I195" s="18">
        <v>9664</v>
      </c>
      <c r="J195" s="18">
        <v>260</v>
      </c>
      <c r="K195" s="18"/>
      <c r="L195" s="19">
        <f t="shared" si="0"/>
        <v>74461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2450</v>
      </c>
      <c r="G196" s="18">
        <v>204</v>
      </c>
      <c r="H196" s="18">
        <f>151912+301</f>
        <v>152213</v>
      </c>
      <c r="I196" s="18"/>
      <c r="J196" s="18"/>
      <c r="K196" s="18">
        <v>3266</v>
      </c>
      <c r="L196" s="19">
        <f t="shared" si="0"/>
        <v>158133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125016</v>
      </c>
      <c r="G197" s="18">
        <v>39437</v>
      </c>
      <c r="H197" s="18">
        <v>770</v>
      </c>
      <c r="I197" s="18">
        <f>591+250</f>
        <v>841</v>
      </c>
      <c r="J197" s="18"/>
      <c r="K197" s="18">
        <v>670</v>
      </c>
      <c r="L197" s="19">
        <f t="shared" si="0"/>
        <v>166734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77210</v>
      </c>
      <c r="G199" s="18">
        <v>19898</v>
      </c>
      <c r="H199" s="18">
        <f>44538+11402+675+250</f>
        <v>56865</v>
      </c>
      <c r="I199" s="18">
        <f>73961+172+3426</f>
        <v>77559</v>
      </c>
      <c r="J199" s="18">
        <f>7096+14470</f>
        <v>21566</v>
      </c>
      <c r="K199" s="18"/>
      <c r="L199" s="19">
        <f t="shared" si="0"/>
        <v>253098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221970</v>
      </c>
      <c r="I200" s="18"/>
      <c r="J200" s="18"/>
      <c r="K200" s="18"/>
      <c r="L200" s="19">
        <f t="shared" si="0"/>
        <v>221970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1249958</v>
      </c>
      <c r="G203" s="41">
        <f t="shared" si="1"/>
        <v>387269</v>
      </c>
      <c r="H203" s="41">
        <f t="shared" si="1"/>
        <v>552718</v>
      </c>
      <c r="I203" s="41">
        <f t="shared" si="1"/>
        <v>123456</v>
      </c>
      <c r="J203" s="41">
        <f t="shared" si="1"/>
        <v>39382</v>
      </c>
      <c r="K203" s="41">
        <f t="shared" si="1"/>
        <v>4684</v>
      </c>
      <c r="L203" s="41">
        <f t="shared" si="1"/>
        <v>2357467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608430</v>
      </c>
      <c r="I207" s="18"/>
      <c r="J207" s="18"/>
      <c r="K207" s="18"/>
      <c r="L207" s="19">
        <f>SUM(F207:K207)</f>
        <v>608430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639</v>
      </c>
      <c r="I208" s="18"/>
      <c r="J208" s="18"/>
      <c r="K208" s="18"/>
      <c r="L208" s="19">
        <f>SUM(F208:K208)</f>
        <v>639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1324</v>
      </c>
      <c r="I218" s="18"/>
      <c r="J218" s="18"/>
      <c r="K218" s="18"/>
      <c r="L218" s="19">
        <f t="shared" si="2"/>
        <v>1324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610393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610393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1396156+16839</f>
        <v>1412995</v>
      </c>
      <c r="I225" s="18"/>
      <c r="J225" s="18"/>
      <c r="K225" s="18"/>
      <c r="L225" s="19">
        <f>SUM(F225:K225)</f>
        <v>1412995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48682+31253+6186</f>
        <v>86121</v>
      </c>
      <c r="I226" s="18"/>
      <c r="J226" s="18"/>
      <c r="K226" s="18"/>
      <c r="L226" s="19">
        <f>SUM(F226:K226)</f>
        <v>86121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f>27453+21+89+139</f>
        <v>27702</v>
      </c>
      <c r="I230" s="18"/>
      <c r="J230" s="18"/>
      <c r="K230" s="18"/>
      <c r="L230" s="19">
        <f t="shared" ref="L230:L236" si="4">SUM(F230:K230)</f>
        <v>27702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40517</v>
      </c>
      <c r="I236" s="18"/>
      <c r="J236" s="18"/>
      <c r="K236" s="18"/>
      <c r="L236" s="19">
        <f t="shared" si="4"/>
        <v>40517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1567335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1567335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1249958</v>
      </c>
      <c r="G249" s="41">
        <f t="shared" si="8"/>
        <v>387269</v>
      </c>
      <c r="H249" s="41">
        <f t="shared" si="8"/>
        <v>2730446</v>
      </c>
      <c r="I249" s="41">
        <f t="shared" si="8"/>
        <v>123456</v>
      </c>
      <c r="J249" s="41">
        <f t="shared" si="8"/>
        <v>39382</v>
      </c>
      <c r="K249" s="41">
        <f t="shared" si="8"/>
        <v>4684</v>
      </c>
      <c r="L249" s="41">
        <f t="shared" si="8"/>
        <v>4535195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30000</v>
      </c>
      <c r="L252" s="19">
        <f>SUM(F252:K252)</f>
        <v>30000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19570</v>
      </c>
      <c r="L253" s="19">
        <f>SUM(F253:K253)</f>
        <v>19570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</v>
      </c>
      <c r="L258" s="19">
        <f t="shared" si="9"/>
        <v>10000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59570</v>
      </c>
      <c r="L262" s="41">
        <f t="shared" si="9"/>
        <v>59570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1249958</v>
      </c>
      <c r="G263" s="42">
        <f t="shared" si="11"/>
        <v>387269</v>
      </c>
      <c r="H263" s="42">
        <f t="shared" si="11"/>
        <v>2730446</v>
      </c>
      <c r="I263" s="42">
        <f t="shared" si="11"/>
        <v>123456</v>
      </c>
      <c r="J263" s="42">
        <f t="shared" si="11"/>
        <v>39382</v>
      </c>
      <c r="K263" s="42">
        <f t="shared" si="11"/>
        <v>64254</v>
      </c>
      <c r="L263" s="42">
        <f t="shared" si="11"/>
        <v>4594765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13882</v>
      </c>
      <c r="G268" s="18">
        <f>1062+570</f>
        <v>1632</v>
      </c>
      <c r="H268" s="18">
        <v>500</v>
      </c>
      <c r="I268" s="18">
        <f>701+1841+883</f>
        <v>3425</v>
      </c>
      <c r="J268" s="18">
        <v>13693</v>
      </c>
      <c r="K268" s="18"/>
      <c r="L268" s="19">
        <f>SUM(F268:K268)</f>
        <v>33132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>
        <v>887</v>
      </c>
      <c r="I269" s="18"/>
      <c r="J269" s="18"/>
      <c r="K269" s="18"/>
      <c r="L269" s="19">
        <f>SUM(F269:K269)</f>
        <v>887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>
        <f>3995+1166</f>
        <v>5161</v>
      </c>
      <c r="I271" s="18">
        <v>860</v>
      </c>
      <c r="J271" s="18"/>
      <c r="K271" s="18"/>
      <c r="L271" s="19">
        <f>SUM(F271:K271)</f>
        <v>6021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150</v>
      </c>
      <c r="G274" s="18">
        <f>7+10+11</f>
        <v>28</v>
      </c>
      <c r="H274" s="18">
        <f>2625+2104</f>
        <v>4729</v>
      </c>
      <c r="I274" s="18">
        <f>1419+1180</f>
        <v>2599</v>
      </c>
      <c r="J274" s="18">
        <v>1030</v>
      </c>
      <c r="K274" s="18">
        <v>8975</v>
      </c>
      <c r="L274" s="19">
        <f t="shared" si="12"/>
        <v>17511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14032</v>
      </c>
      <c r="G282" s="42">
        <f t="shared" si="13"/>
        <v>1660</v>
      </c>
      <c r="H282" s="42">
        <f t="shared" si="13"/>
        <v>11277</v>
      </c>
      <c r="I282" s="42">
        <f t="shared" si="13"/>
        <v>6884</v>
      </c>
      <c r="J282" s="42">
        <f t="shared" si="13"/>
        <v>14723</v>
      </c>
      <c r="K282" s="42">
        <f t="shared" si="13"/>
        <v>8975</v>
      </c>
      <c r="L282" s="41">
        <f t="shared" si="13"/>
        <v>57551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14032</v>
      </c>
      <c r="G330" s="41">
        <f t="shared" si="20"/>
        <v>1660</v>
      </c>
      <c r="H330" s="41">
        <f t="shared" si="20"/>
        <v>11277</v>
      </c>
      <c r="I330" s="41">
        <f t="shared" si="20"/>
        <v>6884</v>
      </c>
      <c r="J330" s="41">
        <f t="shared" si="20"/>
        <v>14723</v>
      </c>
      <c r="K330" s="41">
        <f t="shared" si="20"/>
        <v>8975</v>
      </c>
      <c r="L330" s="41">
        <f t="shared" si="20"/>
        <v>57551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14032</v>
      </c>
      <c r="G344" s="41">
        <f>G330</f>
        <v>1660</v>
      </c>
      <c r="H344" s="41">
        <f>H330</f>
        <v>11277</v>
      </c>
      <c r="I344" s="41">
        <f>I330</f>
        <v>6884</v>
      </c>
      <c r="J344" s="41">
        <f>J330</f>
        <v>14723</v>
      </c>
      <c r="K344" s="47">
        <f>K330+K343</f>
        <v>8975</v>
      </c>
      <c r="L344" s="41">
        <f>L330+L343</f>
        <v>57551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22828</v>
      </c>
      <c r="G350" s="18">
        <v>6780</v>
      </c>
      <c r="H350" s="18">
        <v>888</v>
      </c>
      <c r="I350" s="18">
        <v>27082</v>
      </c>
      <c r="J350" s="18">
        <v>2545</v>
      </c>
      <c r="K350" s="18">
        <v>1071</v>
      </c>
      <c r="L350" s="13">
        <f>SUM(F350:K350)</f>
        <v>61194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22828</v>
      </c>
      <c r="G354" s="47">
        <f t="shared" si="22"/>
        <v>6780</v>
      </c>
      <c r="H354" s="47">
        <f t="shared" si="22"/>
        <v>888</v>
      </c>
      <c r="I354" s="47">
        <f t="shared" si="22"/>
        <v>27082</v>
      </c>
      <c r="J354" s="47">
        <f t="shared" si="22"/>
        <v>2545</v>
      </c>
      <c r="K354" s="47">
        <f t="shared" si="22"/>
        <v>1071</v>
      </c>
      <c r="L354" s="47">
        <f t="shared" si="22"/>
        <v>61194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22940</v>
      </c>
      <c r="G359" s="18"/>
      <c r="H359" s="18"/>
      <c r="I359" s="56">
        <f>SUM(F359:H359)</f>
        <v>22940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4142</v>
      </c>
      <c r="G360" s="63"/>
      <c r="H360" s="63"/>
      <c r="I360" s="56">
        <f>SUM(F360:H360)</f>
        <v>4142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27082</v>
      </c>
      <c r="G361" s="47">
        <f>SUM(G359:G360)</f>
        <v>0</v>
      </c>
      <c r="H361" s="47">
        <f>SUM(H359:H360)</f>
        <v>0</v>
      </c>
      <c r="I361" s="47">
        <f>SUM(I359:I360)</f>
        <v>27082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10000</v>
      </c>
      <c r="H389" s="18">
        <v>81</v>
      </c>
      <c r="I389" s="18"/>
      <c r="J389" s="24" t="s">
        <v>312</v>
      </c>
      <c r="K389" s="24" t="s">
        <v>312</v>
      </c>
      <c r="L389" s="56">
        <f t="shared" si="26"/>
        <v>10081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10000</v>
      </c>
      <c r="H393" s="47">
        <f>SUM(H387:H392)</f>
        <v>81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10081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</v>
      </c>
      <c r="H400" s="47">
        <f>H385+H393+H399</f>
        <v>81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10081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81</v>
      </c>
      <c r="G431" s="18"/>
      <c r="H431" s="18"/>
      <c r="I431" s="56">
        <f t="shared" ref="I431:I437" si="33">SUM(F431:H431)</f>
        <v>81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186302</v>
      </c>
      <c r="G432" s="18"/>
      <c r="H432" s="18"/>
      <c r="I432" s="56">
        <f t="shared" si="33"/>
        <v>186302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186383</v>
      </c>
      <c r="G438" s="13">
        <f>SUM(G431:G437)</f>
        <v>0</v>
      </c>
      <c r="H438" s="13">
        <f>SUM(H431:H437)</f>
        <v>0</v>
      </c>
      <c r="I438" s="13">
        <f>SUM(I431:I437)</f>
        <v>186383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186383</v>
      </c>
      <c r="G449" s="18"/>
      <c r="H449" s="18"/>
      <c r="I449" s="56">
        <f>SUM(F449:H449)</f>
        <v>186383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186383</v>
      </c>
      <c r="G450" s="83">
        <f>SUM(G446:G449)</f>
        <v>0</v>
      </c>
      <c r="H450" s="83">
        <f>SUM(H446:H449)</f>
        <v>0</v>
      </c>
      <c r="I450" s="83">
        <f>SUM(I446:I449)</f>
        <v>186383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186383</v>
      </c>
      <c r="G451" s="42">
        <f>G444+G450</f>
        <v>0</v>
      </c>
      <c r="H451" s="42">
        <f>H444+H450</f>
        <v>0</v>
      </c>
      <c r="I451" s="42">
        <f>I444+I450</f>
        <v>186383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682424</v>
      </c>
      <c r="G455" s="18">
        <v>0</v>
      </c>
      <c r="H455" s="18">
        <v>5060</v>
      </c>
      <c r="I455" s="18"/>
      <c r="J455" s="18">
        <v>176302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4509157</v>
      </c>
      <c r="G458" s="18">
        <f>G185</f>
        <v>48276</v>
      </c>
      <c r="H458" s="18">
        <f>H185</f>
        <v>69180</v>
      </c>
      <c r="I458" s="18"/>
      <c r="J458" s="18">
        <v>10081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>
        <v>12918</v>
      </c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4509157</v>
      </c>
      <c r="G460" s="53">
        <f>SUM(G458:G459)</f>
        <v>61194</v>
      </c>
      <c r="H460" s="53">
        <f>SUM(H458:H459)</f>
        <v>69180</v>
      </c>
      <c r="I460" s="53">
        <f>SUM(I458:I459)</f>
        <v>0</v>
      </c>
      <c r="J460" s="53">
        <f>SUM(J458:J459)</f>
        <v>10081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4594765</v>
      </c>
      <c r="G462" s="18">
        <f>L354</f>
        <v>61194</v>
      </c>
      <c r="H462" s="18">
        <f>L344</f>
        <v>57551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4594765</v>
      </c>
      <c r="G464" s="53">
        <f>SUM(G462:G463)</f>
        <v>61194</v>
      </c>
      <c r="H464" s="53">
        <f>SUM(H462:H463)</f>
        <v>57551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596816</v>
      </c>
      <c r="G466" s="53">
        <f>(G455+G460)- G464</f>
        <v>0</v>
      </c>
      <c r="H466" s="53">
        <f>(H455+H460)- H464</f>
        <v>16689</v>
      </c>
      <c r="I466" s="53">
        <f>(I455+I460)- I464</f>
        <v>0</v>
      </c>
      <c r="J466" s="53">
        <f>(J455+J460)- J464</f>
        <v>186383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897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896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525000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427000</v>
      </c>
      <c r="G485" s="18"/>
      <c r="H485" s="18"/>
      <c r="I485" s="18"/>
      <c r="J485" s="18"/>
      <c r="K485" s="53">
        <f>SUM(F485:J485)</f>
        <v>427000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65000</v>
      </c>
      <c r="G487" s="18"/>
      <c r="H487" s="18"/>
      <c r="I487" s="18"/>
      <c r="J487" s="18"/>
      <c r="K487" s="53">
        <f t="shared" si="34"/>
        <v>65000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362000</v>
      </c>
      <c r="G488" s="205"/>
      <c r="H488" s="205"/>
      <c r="I488" s="205"/>
      <c r="J488" s="205"/>
      <c r="K488" s="206">
        <f t="shared" si="34"/>
        <v>362000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95608-19570</f>
        <v>76038</v>
      </c>
      <c r="G489" s="18"/>
      <c r="H489" s="18"/>
      <c r="I489" s="18"/>
      <c r="J489" s="18"/>
      <c r="K489" s="53">
        <f t="shared" si="34"/>
        <v>76038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438038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438038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65000</v>
      </c>
      <c r="G491" s="205"/>
      <c r="H491" s="205"/>
      <c r="I491" s="205"/>
      <c r="J491" s="205"/>
      <c r="K491" s="206">
        <f t="shared" si="34"/>
        <v>65000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19119</v>
      </c>
      <c r="G492" s="18"/>
      <c r="H492" s="18"/>
      <c r="I492" s="18"/>
      <c r="J492" s="18"/>
      <c r="K492" s="53">
        <f t="shared" si="34"/>
        <v>19119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84119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84119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226138</v>
      </c>
      <c r="G511" s="18">
        <v>79319</v>
      </c>
      <c r="H511" s="18">
        <f>19825+253</f>
        <v>20078</v>
      </c>
      <c r="I511" s="18">
        <v>3834</v>
      </c>
      <c r="J511" s="18">
        <v>1577</v>
      </c>
      <c r="K511" s="18">
        <v>125</v>
      </c>
      <c r="L511" s="88">
        <f>SUM(F511:K511)</f>
        <v>331071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639</v>
      </c>
      <c r="I512" s="18"/>
      <c r="J512" s="18"/>
      <c r="K512" s="18"/>
      <c r="L512" s="88">
        <f>SUM(F512:K512)</f>
        <v>639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48682</v>
      </c>
      <c r="I513" s="18"/>
      <c r="J513" s="18"/>
      <c r="K513" s="18"/>
      <c r="L513" s="88">
        <f>SUM(F513:K513)</f>
        <v>48682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226138</v>
      </c>
      <c r="G514" s="108">
        <f t="shared" ref="G514:L514" si="35">SUM(G511:G513)</f>
        <v>79319</v>
      </c>
      <c r="H514" s="108">
        <f t="shared" si="35"/>
        <v>69399</v>
      </c>
      <c r="I514" s="108">
        <f t="shared" si="35"/>
        <v>3834</v>
      </c>
      <c r="J514" s="108">
        <f t="shared" si="35"/>
        <v>1577</v>
      </c>
      <c r="K514" s="108">
        <f t="shared" si="35"/>
        <v>125</v>
      </c>
      <c r="L514" s="89">
        <f t="shared" si="35"/>
        <v>380392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47748</v>
      </c>
      <c r="G516" s="18">
        <v>21308</v>
      </c>
      <c r="H516" s="18">
        <v>39802</v>
      </c>
      <c r="I516" s="18"/>
      <c r="J516" s="18"/>
      <c r="K516" s="18"/>
      <c r="L516" s="88">
        <f>SUM(F516:K516)</f>
        <v>108858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27702</v>
      </c>
      <c r="I518" s="18"/>
      <c r="J518" s="18"/>
      <c r="K518" s="18"/>
      <c r="L518" s="88">
        <f>SUM(F518:K518)</f>
        <v>27702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47748</v>
      </c>
      <c r="G519" s="89">
        <f t="shared" ref="G519:L519" si="36">SUM(G516:G518)</f>
        <v>21308</v>
      </c>
      <c r="H519" s="89">
        <f t="shared" si="36"/>
        <v>67504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136560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7126</v>
      </c>
      <c r="G521" s="18">
        <v>2230</v>
      </c>
      <c r="H521" s="18"/>
      <c r="I521" s="18"/>
      <c r="J521" s="18"/>
      <c r="K521" s="18"/>
      <c r="L521" s="88">
        <f>SUM(F521:K521)</f>
        <v>9356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1777</v>
      </c>
      <c r="G522" s="18">
        <v>556</v>
      </c>
      <c r="H522" s="18"/>
      <c r="I522" s="18"/>
      <c r="J522" s="18"/>
      <c r="K522" s="18"/>
      <c r="L522" s="88">
        <f>SUM(F522:K522)</f>
        <v>2333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3553</v>
      </c>
      <c r="G523" s="18">
        <v>1112</v>
      </c>
      <c r="H523" s="18"/>
      <c r="I523" s="18"/>
      <c r="J523" s="18"/>
      <c r="K523" s="18"/>
      <c r="L523" s="88">
        <f>SUM(F523:K523)</f>
        <v>4665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12456</v>
      </c>
      <c r="G524" s="89">
        <f t="shared" ref="G524:L524" si="37">SUM(G521:G523)</f>
        <v>3898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16354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340</v>
      </c>
      <c r="I528" s="18"/>
      <c r="J528" s="18"/>
      <c r="K528" s="18"/>
      <c r="L528" s="88">
        <f>SUM(F528:K528)</f>
        <v>340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340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340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25471</v>
      </c>
      <c r="I531" s="18"/>
      <c r="J531" s="18"/>
      <c r="K531" s="18"/>
      <c r="L531" s="88">
        <f>SUM(F531:K531)</f>
        <v>25471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1324</v>
      </c>
      <c r="I532" s="18"/>
      <c r="J532" s="18"/>
      <c r="K532" s="18"/>
      <c r="L532" s="88">
        <f>SUM(F532:K532)</f>
        <v>1324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40517</v>
      </c>
      <c r="I533" s="18"/>
      <c r="J533" s="18"/>
      <c r="K533" s="18"/>
      <c r="L533" s="88">
        <f>SUM(F533:K533)</f>
        <v>40517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67312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67312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286342</v>
      </c>
      <c r="G535" s="89">
        <f t="shared" ref="G535:L535" si="40">G514+G519+G524+G529+G534</f>
        <v>104525</v>
      </c>
      <c r="H535" s="89">
        <f t="shared" si="40"/>
        <v>204555</v>
      </c>
      <c r="I535" s="89">
        <f t="shared" si="40"/>
        <v>3834</v>
      </c>
      <c r="J535" s="89">
        <f t="shared" si="40"/>
        <v>1577</v>
      </c>
      <c r="K535" s="89">
        <f t="shared" si="40"/>
        <v>125</v>
      </c>
      <c r="L535" s="89">
        <f t="shared" si="40"/>
        <v>600958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331071</v>
      </c>
      <c r="G539" s="87">
        <f>L516</f>
        <v>108858</v>
      </c>
      <c r="H539" s="87">
        <f>L521</f>
        <v>9356</v>
      </c>
      <c r="I539" s="87">
        <f>L526</f>
        <v>0</v>
      </c>
      <c r="J539" s="87">
        <f>L531</f>
        <v>25471</v>
      </c>
      <c r="K539" s="87">
        <f>SUM(F539:J539)</f>
        <v>474756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639</v>
      </c>
      <c r="G540" s="87">
        <f>L517</f>
        <v>0</v>
      </c>
      <c r="H540" s="87">
        <f>L522</f>
        <v>2333</v>
      </c>
      <c r="I540" s="87">
        <f>L527</f>
        <v>0</v>
      </c>
      <c r="J540" s="87">
        <f>L532</f>
        <v>1324</v>
      </c>
      <c r="K540" s="87">
        <f>SUM(F540:J540)</f>
        <v>4296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48682</v>
      </c>
      <c r="G541" s="87">
        <f>L518</f>
        <v>27702</v>
      </c>
      <c r="H541" s="87">
        <f>L523</f>
        <v>4665</v>
      </c>
      <c r="I541" s="87">
        <f>L528</f>
        <v>340</v>
      </c>
      <c r="J541" s="87">
        <f>L533</f>
        <v>40517</v>
      </c>
      <c r="K541" s="87">
        <f>SUM(F541:J541)</f>
        <v>121906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380392</v>
      </c>
      <c r="G542" s="89">
        <f t="shared" si="41"/>
        <v>136560</v>
      </c>
      <c r="H542" s="89">
        <f t="shared" si="41"/>
        <v>16354</v>
      </c>
      <c r="I542" s="89">
        <f t="shared" si="41"/>
        <v>340</v>
      </c>
      <c r="J542" s="89">
        <f t="shared" si="41"/>
        <v>67312</v>
      </c>
      <c r="K542" s="89">
        <f t="shared" si="41"/>
        <v>600958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608430</v>
      </c>
      <c r="H565" s="18">
        <v>1396156</v>
      </c>
      <c r="I565" s="87">
        <f>SUM(F565:H565)</f>
        <v>2004586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>
        <v>639</v>
      </c>
      <c r="H568" s="18">
        <v>4178</v>
      </c>
      <c r="I568" s="87">
        <f t="shared" si="46"/>
        <v>4817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14133</v>
      </c>
      <c r="G569" s="18"/>
      <c r="H569" s="18"/>
      <c r="I569" s="87">
        <f t="shared" si="46"/>
        <v>14133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31274</v>
      </c>
      <c r="I572" s="87">
        <f t="shared" si="46"/>
        <v>31274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194940</v>
      </c>
      <c r="I581" s="18"/>
      <c r="J581" s="18"/>
      <c r="K581" s="104">
        <f t="shared" ref="K581:K587" si="47">SUM(H581:J581)</f>
        <v>194940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H531</f>
        <v>25471</v>
      </c>
      <c r="I582" s="18">
        <f>H532</f>
        <v>1324</v>
      </c>
      <c r="J582" s="18">
        <f>H533</f>
        <v>40517</v>
      </c>
      <c r="K582" s="104">
        <f t="shared" si="47"/>
        <v>67312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1559</v>
      </c>
      <c r="I585" s="18"/>
      <c r="J585" s="18"/>
      <c r="K585" s="104">
        <f t="shared" si="47"/>
        <v>1559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221970</v>
      </c>
      <c r="I588" s="108">
        <f>SUM(I581:I587)</f>
        <v>1324</v>
      </c>
      <c r="J588" s="108">
        <f>SUM(J581:J587)</f>
        <v>40517</v>
      </c>
      <c r="K588" s="108">
        <f>SUM(K581:K587)</f>
        <v>263811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39635+14470</f>
        <v>54105</v>
      </c>
      <c r="I594" s="18"/>
      <c r="J594" s="18"/>
      <c r="K594" s="104">
        <f>SUM(H594:J594)</f>
        <v>54105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54105</v>
      </c>
      <c r="I595" s="108">
        <f>SUM(I592:I594)</f>
        <v>0</v>
      </c>
      <c r="J595" s="108">
        <f>SUM(J592:J594)</f>
        <v>0</v>
      </c>
      <c r="K595" s="108">
        <f>SUM(K592:K594)</f>
        <v>54105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716629</v>
      </c>
      <c r="H607" s="109">
        <f>SUM(F44)</f>
        <v>716629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19250</v>
      </c>
      <c r="H609" s="109">
        <f>SUM(H44)</f>
        <v>19250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186383</v>
      </c>
      <c r="H611" s="109">
        <f>SUM(J44)</f>
        <v>186383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596816</v>
      </c>
      <c r="H612" s="109">
        <f>F466</f>
        <v>596816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16689</v>
      </c>
      <c r="H614" s="109">
        <f>H466</f>
        <v>16689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186383</v>
      </c>
      <c r="H616" s="109">
        <f>J466</f>
        <v>186383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4509157</v>
      </c>
      <c r="H617" s="104">
        <f>SUM(F458)</f>
        <v>4509157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48276</v>
      </c>
      <c r="H618" s="104">
        <f>SUM(G458)</f>
        <v>48276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69180</v>
      </c>
      <c r="H619" s="104">
        <f>SUM(H458)</f>
        <v>69180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10081</v>
      </c>
      <c r="H621" s="104">
        <f>SUM(J458)</f>
        <v>10081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4594765</v>
      </c>
      <c r="H622" s="104">
        <f>SUM(F462)</f>
        <v>4594765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57551</v>
      </c>
      <c r="H623" s="104">
        <f>SUM(H462)</f>
        <v>57551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27082</v>
      </c>
      <c r="H624" s="104">
        <f>I361</f>
        <v>27082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61194</v>
      </c>
      <c r="H625" s="104">
        <f>SUM(G462)</f>
        <v>61194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10081</v>
      </c>
      <c r="H627" s="164">
        <f>SUM(J458)</f>
        <v>10081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186383</v>
      </c>
      <c r="H629" s="104">
        <f>SUM(F451)</f>
        <v>186383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186383</v>
      </c>
      <c r="H632" s="104">
        <f>SUM(I451)</f>
        <v>186383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81</v>
      </c>
      <c r="H634" s="104">
        <f>H400</f>
        <v>81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</v>
      </c>
      <c r="H635" s="104">
        <f>G400</f>
        <v>10000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10081</v>
      </c>
      <c r="H636" s="104">
        <f>L400</f>
        <v>10081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263811</v>
      </c>
      <c r="H637" s="104">
        <f>L200+L218+L236</f>
        <v>263811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54105</v>
      </c>
      <c r="H638" s="104">
        <f>(J249+J330)-(J247+J328)</f>
        <v>54105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221970</v>
      </c>
      <c r="H639" s="104">
        <f>H588</f>
        <v>221970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1324</v>
      </c>
      <c r="H640" s="104">
        <f>I588</f>
        <v>1324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40517</v>
      </c>
      <c r="H641" s="104">
        <f>J588</f>
        <v>40517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</v>
      </c>
      <c r="H645" s="104">
        <f>K258+K339</f>
        <v>10000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2476212</v>
      </c>
      <c r="G650" s="19">
        <f>(L221+L301+L351)</f>
        <v>610393</v>
      </c>
      <c r="H650" s="19">
        <f>(L239+L320+L352)</f>
        <v>1567335</v>
      </c>
      <c r="I650" s="19">
        <f>SUM(F650:H650)</f>
        <v>4653940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34991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34991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221970</v>
      </c>
      <c r="G652" s="19">
        <f>(L218+L298)-(J218+J298)</f>
        <v>1324</v>
      </c>
      <c r="H652" s="19">
        <f>(L236+L317)-(J236+J317)</f>
        <v>40517</v>
      </c>
      <c r="I652" s="19">
        <f>SUM(F652:H652)</f>
        <v>263811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68238</v>
      </c>
      <c r="G653" s="200">
        <f>SUM(G565:G577)+SUM(I592:I594)+L602</f>
        <v>609069</v>
      </c>
      <c r="H653" s="200">
        <f>SUM(H565:H577)+SUM(J592:J594)+L603</f>
        <v>1431608</v>
      </c>
      <c r="I653" s="19">
        <f>SUM(F653:H653)</f>
        <v>2108915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2151013</v>
      </c>
      <c r="G654" s="19">
        <f>G650-SUM(G651:G653)</f>
        <v>0</v>
      </c>
      <c r="H654" s="19">
        <f>H650-SUM(H651:H653)</f>
        <v>95210</v>
      </c>
      <c r="I654" s="19">
        <f>I650-SUM(I651:I653)</f>
        <v>2246223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186.46</v>
      </c>
      <c r="G655" s="249"/>
      <c r="H655" s="249"/>
      <c r="I655" s="19">
        <f>SUM(F655:H655)</f>
        <v>186.46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11536.06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12046.67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-95210</v>
      </c>
      <c r="I659" s="19">
        <f>SUM(F659:H659)</f>
        <v>-95210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11536.06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11536.06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8ADD-8A73-48FF-8ED4-DCD88F7DCB30}">
  <sheetPr>
    <tabColor indexed="20"/>
  </sheetPr>
  <dimension ref="A1:C52"/>
  <sheetViews>
    <sheetView workbookViewId="0">
      <selection activeCell="B37" sqref="B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Dunbarton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677364</v>
      </c>
      <c r="C9" s="230">
        <f>'DOE25'!G189+'DOE25'!G207+'DOE25'!G225+'DOE25'!G268+'DOE25'!G287+'DOE25'!G306</f>
        <v>191820</v>
      </c>
    </row>
    <row r="10" spans="1:3" x14ac:dyDescent="0.2">
      <c r="A10" t="s">
        <v>813</v>
      </c>
      <c r="B10" s="241">
        <v>641796</v>
      </c>
      <c r="C10" s="241">
        <v>190792</v>
      </c>
    </row>
    <row r="11" spans="1:3" x14ac:dyDescent="0.2">
      <c r="A11" t="s">
        <v>814</v>
      </c>
      <c r="B11" s="241">
        <v>12789</v>
      </c>
      <c r="C11" s="241">
        <v>1028</v>
      </c>
    </row>
    <row r="12" spans="1:3" x14ac:dyDescent="0.2">
      <c r="A12" t="s">
        <v>815</v>
      </c>
      <c r="B12" s="241">
        <v>22779</v>
      </c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677364</v>
      </c>
      <c r="C13" s="232">
        <f>SUM(C10:C12)</f>
        <v>191820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226138</v>
      </c>
      <c r="C18" s="230">
        <f>'DOE25'!G190+'DOE25'!G208+'DOE25'!G226+'DOE25'!G269+'DOE25'!G288+'DOE25'!G307</f>
        <v>79319</v>
      </c>
    </row>
    <row r="19" spans="1:3" x14ac:dyDescent="0.2">
      <c r="A19" t="s">
        <v>813</v>
      </c>
      <c r="B19" s="241">
        <v>103400</v>
      </c>
      <c r="C19" s="241">
        <v>42963</v>
      </c>
    </row>
    <row r="20" spans="1:3" x14ac:dyDescent="0.2">
      <c r="A20" t="s">
        <v>814</v>
      </c>
      <c r="B20" s="241">
        <v>122738</v>
      </c>
      <c r="C20" s="241">
        <v>36356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226138</v>
      </c>
      <c r="C22" s="232">
        <f>SUM(C19:C21)</f>
        <v>79319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56A75-96E3-4067-8D32-8E8D81FB94EE}">
  <sheetPr>
    <tabColor indexed="11"/>
  </sheetPr>
  <dimension ref="A1:I51"/>
  <sheetViews>
    <sheetView workbookViewId="0">
      <pane ySplit="4" topLeftCell="A5" activePane="bottomLeft" state="frozen"/>
      <selection pane="bottomLeft" activeCell="L16" sqref="L1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Dunbarton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3374558</v>
      </c>
      <c r="D5" s="20">
        <f>SUM('DOE25'!L189:L192)+SUM('DOE25'!L207:L210)+SUM('DOE25'!L225:L228)-F5-G5</f>
        <v>3356254</v>
      </c>
      <c r="E5" s="244"/>
      <c r="F5" s="256">
        <f>SUM('DOE25'!J189:J192)+SUM('DOE25'!J207:J210)+SUM('DOE25'!J225:J228)</f>
        <v>17556</v>
      </c>
      <c r="G5" s="53">
        <f>SUM('DOE25'!K189:K192)+SUM('DOE25'!K207:K210)+SUM('DOE25'!K225:K228)</f>
        <v>748</v>
      </c>
      <c r="H5" s="260"/>
    </row>
    <row r="6" spans="1:9" x14ac:dyDescent="0.2">
      <c r="A6" s="32">
        <v>2100</v>
      </c>
      <c r="B6" t="s">
        <v>835</v>
      </c>
      <c r="C6" s="246">
        <f t="shared" si="0"/>
        <v>244400</v>
      </c>
      <c r="D6" s="20">
        <f>'DOE25'!L194+'DOE25'!L212+'DOE25'!L230-F6-G6</f>
        <v>244400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74461</v>
      </c>
      <c r="D7" s="20">
        <f>'DOE25'!L195+'DOE25'!L213+'DOE25'!L231-F7-G7</f>
        <v>74201</v>
      </c>
      <c r="E7" s="244"/>
      <c r="F7" s="256">
        <f>'DOE25'!J195+'DOE25'!J213+'DOE25'!J231</f>
        <v>260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89346</v>
      </c>
      <c r="D8" s="244"/>
      <c r="E8" s="20">
        <f>'DOE25'!L196+'DOE25'!L214+'DOE25'!L232-F8-G8-D9-D11</f>
        <v>86080</v>
      </c>
      <c r="F8" s="256">
        <f>'DOE25'!J196+'DOE25'!J214+'DOE25'!J232</f>
        <v>0</v>
      </c>
      <c r="G8" s="53">
        <f>'DOE25'!K196+'DOE25'!K214+'DOE25'!K232</f>
        <v>3266</v>
      </c>
      <c r="H8" s="260"/>
    </row>
    <row r="9" spans="1:9" x14ac:dyDescent="0.2">
      <c r="A9" s="32">
        <v>2310</v>
      </c>
      <c r="B9" t="s">
        <v>852</v>
      </c>
      <c r="C9" s="246">
        <f t="shared" si="0"/>
        <v>6829</v>
      </c>
      <c r="D9" s="245">
        <v>6829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5205</v>
      </c>
      <c r="D10" s="244"/>
      <c r="E10" s="245">
        <v>5205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61958</v>
      </c>
      <c r="D11" s="245">
        <v>61958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166734</v>
      </c>
      <c r="D12" s="20">
        <f>'DOE25'!L197+'DOE25'!L215+'DOE25'!L233-F12-G12</f>
        <v>166064</v>
      </c>
      <c r="E12" s="244"/>
      <c r="F12" s="256">
        <f>'DOE25'!J197+'DOE25'!J215+'DOE25'!J233</f>
        <v>0</v>
      </c>
      <c r="G12" s="53">
        <f>'DOE25'!K197+'DOE25'!K215+'DOE25'!K233</f>
        <v>670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253098</v>
      </c>
      <c r="D14" s="20">
        <f>'DOE25'!L199+'DOE25'!L217+'DOE25'!L235-F14-G14</f>
        <v>231532</v>
      </c>
      <c r="E14" s="244"/>
      <c r="F14" s="256">
        <f>'DOE25'!J199+'DOE25'!J217+'DOE25'!J235</f>
        <v>21566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263811</v>
      </c>
      <c r="D15" s="20">
        <f>'DOE25'!L200+'DOE25'!L218+'DOE25'!L236-F15-G15</f>
        <v>263811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49570</v>
      </c>
      <c r="D25" s="244"/>
      <c r="E25" s="244"/>
      <c r="F25" s="259"/>
      <c r="G25" s="257"/>
      <c r="H25" s="258">
        <f>'DOE25'!L252+'DOE25'!L253+'DOE25'!L333+'DOE25'!L334</f>
        <v>49570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38254</v>
      </c>
      <c r="D29" s="20">
        <f>'DOE25'!L350+'DOE25'!L351+'DOE25'!L352-'DOE25'!I359-F29-G29</f>
        <v>34638</v>
      </c>
      <c r="E29" s="244"/>
      <c r="F29" s="256">
        <f>'DOE25'!J350+'DOE25'!J351+'DOE25'!J352</f>
        <v>2545</v>
      </c>
      <c r="G29" s="53">
        <f>'DOE25'!K350+'DOE25'!K351+'DOE25'!K352</f>
        <v>1071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57551</v>
      </c>
      <c r="D31" s="20">
        <f>'DOE25'!L282+'DOE25'!L301+'DOE25'!L320+'DOE25'!L325+'DOE25'!L326+'DOE25'!L327-F31-G31</f>
        <v>33853</v>
      </c>
      <c r="E31" s="244"/>
      <c r="F31" s="256">
        <f>'DOE25'!J282+'DOE25'!J301+'DOE25'!J320+'DOE25'!J325+'DOE25'!J326+'DOE25'!J327</f>
        <v>14723</v>
      </c>
      <c r="G31" s="53">
        <f>'DOE25'!K282+'DOE25'!K301+'DOE25'!K320+'DOE25'!K325+'DOE25'!K326+'DOE25'!K327</f>
        <v>8975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4473540</v>
      </c>
      <c r="E33" s="247">
        <f>SUM(E5:E31)</f>
        <v>91285</v>
      </c>
      <c r="F33" s="247">
        <f>SUM(F5:F31)</f>
        <v>56650</v>
      </c>
      <c r="G33" s="247">
        <f>SUM(G5:G31)</f>
        <v>14730</v>
      </c>
      <c r="H33" s="247">
        <f>SUM(H5:H31)</f>
        <v>49570</v>
      </c>
    </row>
    <row r="35" spans="2:8" ht="12" thickBot="1" x14ac:dyDescent="0.25">
      <c r="B35" s="254" t="s">
        <v>881</v>
      </c>
      <c r="D35" s="255">
        <f>E33</f>
        <v>91285</v>
      </c>
      <c r="E35" s="250"/>
    </row>
    <row r="36" spans="2:8" ht="12" thickTop="1" x14ac:dyDescent="0.2">
      <c r="B36" t="s">
        <v>849</v>
      </c>
      <c r="D36" s="20">
        <f>D33</f>
        <v>4473540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D5B58-A982-42CD-A308-6993C6F1AAC2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Dunbarton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354577</v>
      </c>
      <c r="D9" s="95">
        <f>'DOE25'!G9</f>
        <v>26999</v>
      </c>
      <c r="E9" s="95">
        <f>'DOE25'!H9</f>
        <v>32697</v>
      </c>
      <c r="F9" s="95">
        <f>'DOE25'!I9</f>
        <v>0</v>
      </c>
      <c r="G9" s="95">
        <f>'DOE25'!J9</f>
        <v>81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1786</v>
      </c>
      <c r="F10" s="95">
        <f>'DOE25'!I10</f>
        <v>0</v>
      </c>
      <c r="G10" s="95">
        <f>'DOE25'!J10</f>
        <v>186302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98703</v>
      </c>
      <c r="D12" s="95">
        <f>'DOE25'!G12</f>
        <v>-27674</v>
      </c>
      <c r="E12" s="95">
        <f>'DOE25'!H12</f>
        <v>-34041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251803</v>
      </c>
      <c r="D13" s="95">
        <f>'DOE25'!G13</f>
        <v>675</v>
      </c>
      <c r="E13" s="95">
        <f>'DOE25'!H13</f>
        <v>18808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8267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3279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716629</v>
      </c>
      <c r="D19" s="41">
        <f>SUM(D9:D18)</f>
        <v>0</v>
      </c>
      <c r="E19" s="41">
        <f>SUM(E9:E18)</f>
        <v>19250</v>
      </c>
      <c r="F19" s="41">
        <f>SUM(F9:F18)</f>
        <v>0</v>
      </c>
      <c r="G19" s="41">
        <f>SUM(G9:G18)</f>
        <v>186383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111218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1139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7456</v>
      </c>
      <c r="D30" s="95">
        <f>'DOE25'!G31</f>
        <v>0</v>
      </c>
      <c r="E30" s="95">
        <f>'DOE25'!H31</f>
        <v>2561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119813</v>
      </c>
      <c r="D32" s="41">
        <f>SUM(D22:D31)</f>
        <v>0</v>
      </c>
      <c r="E32" s="41">
        <f>SUM(E22:E31)</f>
        <v>2561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8267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2887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198571</v>
      </c>
      <c r="D36" s="95">
        <f>'DOE25'!G37</f>
        <v>0</v>
      </c>
      <c r="E36" s="95">
        <f>'DOE25'!H37</f>
        <v>1521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11000</v>
      </c>
      <c r="D40" s="95">
        <f>'DOE25'!G41</f>
        <v>0</v>
      </c>
      <c r="E40" s="95">
        <f>'DOE25'!H41</f>
        <v>15168</v>
      </c>
      <c r="F40" s="95">
        <f>'DOE25'!I41</f>
        <v>0</v>
      </c>
      <c r="G40" s="95">
        <f>'DOE25'!J41</f>
        <v>186383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376091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596816</v>
      </c>
      <c r="D42" s="41">
        <f>SUM(D34:D41)</f>
        <v>0</v>
      </c>
      <c r="E42" s="41">
        <f>SUM(E34:E41)</f>
        <v>16689</v>
      </c>
      <c r="F42" s="41">
        <f>SUM(F34:F41)</f>
        <v>0</v>
      </c>
      <c r="G42" s="41">
        <f>SUM(G34:G41)</f>
        <v>186383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716629</v>
      </c>
      <c r="D43" s="41">
        <f>D42+D32</f>
        <v>0</v>
      </c>
      <c r="E43" s="41">
        <f>E42+E32</f>
        <v>19250</v>
      </c>
      <c r="F43" s="41">
        <f>F42+F32</f>
        <v>0</v>
      </c>
      <c r="G43" s="41">
        <f>G42+G32</f>
        <v>186383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3006043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341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81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34991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17373</v>
      </c>
      <c r="D53" s="95">
        <f>SUM('DOE25'!G90:G102)</f>
        <v>0</v>
      </c>
      <c r="E53" s="95">
        <f>SUM('DOE25'!H90:H102)</f>
        <v>2750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17714</v>
      </c>
      <c r="D54" s="130">
        <f>SUM(D49:D53)</f>
        <v>34991</v>
      </c>
      <c r="E54" s="130">
        <f>SUM(E49:E53)</f>
        <v>2750</v>
      </c>
      <c r="F54" s="130">
        <f>SUM(F49:F53)</f>
        <v>0</v>
      </c>
      <c r="G54" s="130">
        <f>SUM(G49:G53)</f>
        <v>81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3023757</v>
      </c>
      <c r="D55" s="22">
        <f>D48+D54</f>
        <v>34991</v>
      </c>
      <c r="E55" s="22">
        <f>E48+E54</f>
        <v>2750</v>
      </c>
      <c r="F55" s="22">
        <f>F48+F54</f>
        <v>0</v>
      </c>
      <c r="G55" s="22">
        <f>G48+G54</f>
        <v>81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390550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730437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149841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1270828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44932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114632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525</v>
      </c>
      <c r="E69" s="95">
        <f>SUM('DOE25'!H123:H127)</f>
        <v>2835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159564</v>
      </c>
      <c r="D70" s="130">
        <f>SUM(D64:D69)</f>
        <v>525</v>
      </c>
      <c r="E70" s="130">
        <f>SUM(E64:E69)</f>
        <v>2835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1430392</v>
      </c>
      <c r="D73" s="130">
        <f>SUM(D71:D72)+D70+D62</f>
        <v>525</v>
      </c>
      <c r="E73" s="130">
        <f>SUM(E71:E72)+E70+E62</f>
        <v>2835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18661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55008</v>
      </c>
      <c r="D80" s="95">
        <f>SUM('DOE25'!G145:G153)</f>
        <v>8282</v>
      </c>
      <c r="E80" s="95">
        <f>SUM('DOE25'!H145:H153)</f>
        <v>44934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4478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55008</v>
      </c>
      <c r="D83" s="131">
        <f>SUM(D77:D82)</f>
        <v>12760</v>
      </c>
      <c r="E83" s="131">
        <f>SUM(E77:E82)</f>
        <v>63595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10000</v>
      </c>
    </row>
    <row r="96" spans="1:7" ht="12.75" thickTop="1" thickBot="1" x14ac:dyDescent="0.25">
      <c r="A96" s="33" t="s">
        <v>797</v>
      </c>
      <c r="C96" s="86">
        <f>C55+C73+C83+C95</f>
        <v>4509157</v>
      </c>
      <c r="D96" s="86">
        <f>D55+D73+D83+D95</f>
        <v>48276</v>
      </c>
      <c r="E96" s="86">
        <f>E55+E73+E83+E95</f>
        <v>69180</v>
      </c>
      <c r="F96" s="86">
        <f>F55+F73+F83+F95</f>
        <v>0</v>
      </c>
      <c r="G96" s="86">
        <f>G55+G73+G95</f>
        <v>10081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2934752</v>
      </c>
      <c r="D101" s="24" t="s">
        <v>312</v>
      </c>
      <c r="E101" s="95">
        <f>('DOE25'!L268)+('DOE25'!L287)+('DOE25'!L306)</f>
        <v>33132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439250</v>
      </c>
      <c r="D102" s="24" t="s">
        <v>312</v>
      </c>
      <c r="E102" s="95">
        <f>('DOE25'!L269)+('DOE25'!L288)+('DOE25'!L307)</f>
        <v>887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556</v>
      </c>
      <c r="D104" s="24" t="s">
        <v>312</v>
      </c>
      <c r="E104" s="95">
        <f>+('DOE25'!L271)+('DOE25'!L290)+('DOE25'!L309)</f>
        <v>6021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3374558</v>
      </c>
      <c r="D107" s="86">
        <f>SUM(D101:D106)</f>
        <v>0</v>
      </c>
      <c r="E107" s="86">
        <f>SUM(E101:E106)</f>
        <v>40040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244400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74461</v>
      </c>
      <c r="D111" s="24" t="s">
        <v>312</v>
      </c>
      <c r="E111" s="95">
        <f>+('DOE25'!L274)+('DOE25'!L293)+('DOE25'!L312)</f>
        <v>17511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158133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166734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253098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263811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61194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1160637</v>
      </c>
      <c r="D120" s="86">
        <f>SUM(D110:D119)</f>
        <v>61194</v>
      </c>
      <c r="E120" s="86">
        <f>SUM(E110:E119)</f>
        <v>17511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30000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19570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10081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-81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59570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4594765</v>
      </c>
      <c r="D137" s="86">
        <f>(D107+D120+D136)</f>
        <v>61194</v>
      </c>
      <c r="E137" s="86">
        <f>(E107+E120+E136)</f>
        <v>57551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07/06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07/16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525000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427000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427000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65000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65000</v>
      </c>
    </row>
    <row r="151" spans="1:7" x14ac:dyDescent="0.2">
      <c r="A151" s="22" t="s">
        <v>35</v>
      </c>
      <c r="B151" s="137">
        <f>'DOE25'!F488</f>
        <v>362000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362000</v>
      </c>
    </row>
    <row r="152" spans="1:7" x14ac:dyDescent="0.2">
      <c r="A152" s="22" t="s">
        <v>36</v>
      </c>
      <c r="B152" s="137">
        <f>'DOE25'!F489</f>
        <v>76038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76038</v>
      </c>
    </row>
    <row r="153" spans="1:7" x14ac:dyDescent="0.2">
      <c r="A153" s="22" t="s">
        <v>37</v>
      </c>
      <c r="B153" s="137">
        <f>'DOE25'!F490</f>
        <v>438038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438038</v>
      </c>
    </row>
    <row r="154" spans="1:7" x14ac:dyDescent="0.2">
      <c r="A154" s="22" t="s">
        <v>38</v>
      </c>
      <c r="B154" s="137">
        <f>'DOE25'!F491</f>
        <v>65000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65000</v>
      </c>
    </row>
    <row r="155" spans="1:7" x14ac:dyDescent="0.2">
      <c r="A155" s="22" t="s">
        <v>39</v>
      </c>
      <c r="B155" s="137">
        <f>'DOE25'!F492</f>
        <v>19119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19119</v>
      </c>
    </row>
    <row r="156" spans="1:7" x14ac:dyDescent="0.2">
      <c r="A156" s="22" t="s">
        <v>269</v>
      </c>
      <c r="B156" s="137">
        <f>'DOE25'!F493</f>
        <v>84119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84119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233E-AECC-4BE7-B62D-7B2B384D275A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Dunbarton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11536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11536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2967884</v>
      </c>
      <c r="D10" s="182">
        <f>ROUND((C10/$C$28)*100,1)</f>
        <v>64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440137</v>
      </c>
      <c r="D11" s="182">
        <f>ROUND((C11/$C$28)*100,1)</f>
        <v>9.5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6577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244400</v>
      </c>
      <c r="D15" s="182">
        <f t="shared" ref="D15:D27" si="0">ROUND((C15/$C$28)*100,1)</f>
        <v>5.3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91972</v>
      </c>
      <c r="D16" s="182">
        <f t="shared" si="0"/>
        <v>2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158133</v>
      </c>
      <c r="D17" s="182">
        <f t="shared" si="0"/>
        <v>3.4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166734</v>
      </c>
      <c r="D18" s="182">
        <f t="shared" si="0"/>
        <v>3.6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253098</v>
      </c>
      <c r="D20" s="182">
        <f t="shared" si="0"/>
        <v>5.5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263811</v>
      </c>
      <c r="D21" s="182">
        <f t="shared" si="0"/>
        <v>5.7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19570</v>
      </c>
      <c r="D25" s="182">
        <f t="shared" si="0"/>
        <v>0.4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26203</v>
      </c>
      <c r="D27" s="182">
        <f t="shared" si="0"/>
        <v>0.6</v>
      </c>
    </row>
    <row r="28" spans="1:4" x14ac:dyDescent="0.2">
      <c r="B28" s="187" t="s">
        <v>754</v>
      </c>
      <c r="C28" s="180">
        <f>SUM(C10:C27)</f>
        <v>4638519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4638519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30000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3006043</v>
      </c>
      <c r="D35" s="182">
        <f t="shared" ref="D35:D40" si="1">ROUND((C35/$C$41)*100,1)</f>
        <v>65.5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20545</v>
      </c>
      <c r="D36" s="182">
        <f t="shared" si="1"/>
        <v>0.4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1120987</v>
      </c>
      <c r="D37" s="182">
        <f t="shared" si="1"/>
        <v>24.4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312765</v>
      </c>
      <c r="D38" s="182">
        <f t="shared" si="1"/>
        <v>6.8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131363</v>
      </c>
      <c r="D39" s="182">
        <f t="shared" si="1"/>
        <v>2.9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4591703</v>
      </c>
      <c r="D41" s="184">
        <f>SUM(D35:D40)</f>
        <v>100.00000000000001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EB0ED-A39D-496D-A3B7-4F2126C65003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Dunbarton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3:M43"/>
    <mergeCell ref="IC40:IM40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GC39:GM39"/>
    <mergeCell ref="DC40:DM40"/>
    <mergeCell ref="EP40:EZ40"/>
    <mergeCell ref="DP40:DZ40"/>
    <mergeCell ref="P39:Z39"/>
    <mergeCell ref="AC39:AM39"/>
    <mergeCell ref="AP39:AZ39"/>
    <mergeCell ref="CC39:CM39"/>
    <mergeCell ref="CP39:CZ39"/>
    <mergeCell ref="BP39:BZ39"/>
    <mergeCell ref="DC39:DM39"/>
    <mergeCell ref="DP39:DZ39"/>
    <mergeCell ref="EC39:EM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2010-08-24T18:51:32Z</cp:lastPrinted>
  <dcterms:created xsi:type="dcterms:W3CDTF">1997-12-04T19:04:30Z</dcterms:created>
  <dcterms:modified xsi:type="dcterms:W3CDTF">2025-01-02T14:19:00Z</dcterms:modified>
</cp:coreProperties>
</file>