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DBDDFFD3-41F1-445A-BE21-B6F5AFC88D78}" xr6:coauthVersionLast="47" xr6:coauthVersionMax="47" xr10:uidLastSave="{00000000-0000-0000-0000-000000000000}"/>
  <workbookProtection workbookPassword="B70A" lockStructure="1"/>
  <bookViews>
    <workbookView xWindow="-120" yWindow="-120" windowWidth="29040" windowHeight="15990" tabRatio="855" xr2:uid="{5A1A8310-6905-4433-9153-E93A05A9A8E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0" i="1" l="1"/>
  <c r="F359" i="1"/>
  <c r="I350" i="1"/>
  <c r="H513" i="1"/>
  <c r="H226" i="1"/>
  <c r="H523" i="1"/>
  <c r="H521" i="1"/>
  <c r="G511" i="1"/>
  <c r="F511" i="1"/>
  <c r="H516" i="1"/>
  <c r="I511" i="1"/>
  <c r="G516" i="1"/>
  <c r="F516" i="1"/>
  <c r="H511" i="1"/>
  <c r="G449" i="1"/>
  <c r="F449" i="1"/>
  <c r="G434" i="1"/>
  <c r="I434" i="1" s="1"/>
  <c r="F434" i="1"/>
  <c r="H392" i="1"/>
  <c r="H383" i="1"/>
  <c r="L383" i="1" s="1"/>
  <c r="L385" i="1" s="1"/>
  <c r="H350" i="1"/>
  <c r="L350" i="1" s="1"/>
  <c r="K277" i="1"/>
  <c r="G269" i="1"/>
  <c r="F269" i="1"/>
  <c r="H273" i="1"/>
  <c r="K274" i="1"/>
  <c r="H274" i="1"/>
  <c r="J274" i="1"/>
  <c r="J282" i="1" s="1"/>
  <c r="I269" i="1"/>
  <c r="J268" i="1"/>
  <c r="H279" i="1"/>
  <c r="G274" i="1"/>
  <c r="F274" i="1"/>
  <c r="L274" i="1" s="1"/>
  <c r="E111" i="2" s="1"/>
  <c r="I268" i="1"/>
  <c r="H268" i="1"/>
  <c r="G268" i="1"/>
  <c r="F268" i="1"/>
  <c r="F195" i="1"/>
  <c r="H200" i="1"/>
  <c r="H199" i="1"/>
  <c r="H197" i="1"/>
  <c r="L197" i="1" s="1"/>
  <c r="K232" i="1"/>
  <c r="I232" i="1"/>
  <c r="H232" i="1"/>
  <c r="G232" i="1"/>
  <c r="G239" i="1" s="1"/>
  <c r="F232" i="1"/>
  <c r="L232" i="1" s="1"/>
  <c r="E8" i="13" s="1"/>
  <c r="H196" i="1"/>
  <c r="K196" i="1"/>
  <c r="I196" i="1"/>
  <c r="G196" i="1"/>
  <c r="F196" i="1"/>
  <c r="I195" i="1"/>
  <c r="H195" i="1"/>
  <c r="L195" i="1" s="1"/>
  <c r="G195" i="1"/>
  <c r="H194" i="1"/>
  <c r="H230" i="1"/>
  <c r="I194" i="1"/>
  <c r="L194" i="1" s="1"/>
  <c r="J194" i="1"/>
  <c r="G194" i="1"/>
  <c r="F194" i="1"/>
  <c r="H190" i="1"/>
  <c r="G190" i="1"/>
  <c r="F190" i="1"/>
  <c r="I189" i="1"/>
  <c r="H189" i="1"/>
  <c r="L189" i="1" s="1"/>
  <c r="G189" i="1"/>
  <c r="F189" i="1"/>
  <c r="H13" i="1"/>
  <c r="E13" i="2" s="1"/>
  <c r="H31" i="1"/>
  <c r="H25" i="1"/>
  <c r="H24" i="1"/>
  <c r="H23" i="1"/>
  <c r="G23" i="1"/>
  <c r="C60" i="2"/>
  <c r="B2" i="13"/>
  <c r="F8" i="13"/>
  <c r="L196" i="1"/>
  <c r="D39" i="13"/>
  <c r="F13" i="13"/>
  <c r="G13" i="13"/>
  <c r="L198" i="1"/>
  <c r="E13" i="13" s="1"/>
  <c r="C13" i="13" s="1"/>
  <c r="L216" i="1"/>
  <c r="L234" i="1"/>
  <c r="F16" i="13"/>
  <c r="G16" i="13"/>
  <c r="L201" i="1"/>
  <c r="L219" i="1"/>
  <c r="L237" i="1"/>
  <c r="E16" i="13"/>
  <c r="F5" i="13"/>
  <c r="G5" i="13"/>
  <c r="L190" i="1"/>
  <c r="L191" i="1"/>
  <c r="L192" i="1"/>
  <c r="L207" i="1"/>
  <c r="L221" i="1" s="1"/>
  <c r="G650" i="1" s="1"/>
  <c r="L208" i="1"/>
  <c r="C102" i="2" s="1"/>
  <c r="L209" i="1"/>
  <c r="L210" i="1"/>
  <c r="L225" i="1"/>
  <c r="L226" i="1"/>
  <c r="L239" i="1" s="1"/>
  <c r="L227" i="1"/>
  <c r="C103" i="2" s="1"/>
  <c r="L228" i="1"/>
  <c r="F6" i="13"/>
  <c r="G6" i="13"/>
  <c r="L212" i="1"/>
  <c r="L230" i="1"/>
  <c r="F7" i="13"/>
  <c r="G7" i="13"/>
  <c r="G8" i="13"/>
  <c r="L213" i="1"/>
  <c r="L231" i="1"/>
  <c r="F12" i="13"/>
  <c r="G12" i="13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L218" i="1"/>
  <c r="L236" i="1"/>
  <c r="F17" i="13"/>
  <c r="G17" i="13"/>
  <c r="L243" i="1"/>
  <c r="D17" i="13" s="1"/>
  <c r="C17" i="13" s="1"/>
  <c r="F18" i="13"/>
  <c r="G18" i="13"/>
  <c r="L244" i="1"/>
  <c r="F19" i="13"/>
  <c r="D19" i="13" s="1"/>
  <c r="C19" i="13" s="1"/>
  <c r="G19" i="13"/>
  <c r="L245" i="1"/>
  <c r="F29" i="13"/>
  <c r="G29" i="13"/>
  <c r="L351" i="1"/>
  <c r="L352" i="1"/>
  <c r="I359" i="1"/>
  <c r="J301" i="1"/>
  <c r="J320" i="1"/>
  <c r="K301" i="1"/>
  <c r="K320" i="1"/>
  <c r="L268" i="1"/>
  <c r="L270" i="1"/>
  <c r="L271" i="1"/>
  <c r="L273" i="1"/>
  <c r="E110" i="2" s="1"/>
  <c r="L275" i="1"/>
  <c r="L276" i="1"/>
  <c r="L277" i="1"/>
  <c r="L278" i="1"/>
  <c r="L279" i="1"/>
  <c r="F652" i="1" s="1"/>
  <c r="L280" i="1"/>
  <c r="E117" i="2" s="1"/>
  <c r="L287" i="1"/>
  <c r="E101" i="2" s="1"/>
  <c r="L288" i="1"/>
  <c r="L289" i="1"/>
  <c r="L290" i="1"/>
  <c r="L301" i="1" s="1"/>
  <c r="L292" i="1"/>
  <c r="L293" i="1"/>
  <c r="L294" i="1"/>
  <c r="L295" i="1"/>
  <c r="L296" i="1"/>
  <c r="L297" i="1"/>
  <c r="L298" i="1"/>
  <c r="G652" i="1" s="1"/>
  <c r="L299" i="1"/>
  <c r="L306" i="1"/>
  <c r="L307" i="1"/>
  <c r="L308" i="1"/>
  <c r="E103" i="2" s="1"/>
  <c r="L309" i="1"/>
  <c r="L311" i="1"/>
  <c r="L312" i="1"/>
  <c r="L313" i="1"/>
  <c r="L314" i="1"/>
  <c r="L315" i="1"/>
  <c r="E114" i="2" s="1"/>
  <c r="L316" i="1"/>
  <c r="L317" i="1"/>
  <c r="H652" i="1" s="1"/>
  <c r="L318" i="1"/>
  <c r="L325" i="1"/>
  <c r="L326" i="1"/>
  <c r="E106" i="2" s="1"/>
  <c r="L327" i="1"/>
  <c r="L252" i="1"/>
  <c r="L253" i="1"/>
  <c r="H25" i="13"/>
  <c r="L333" i="1"/>
  <c r="L334" i="1"/>
  <c r="L247" i="1"/>
  <c r="C29" i="10" s="1"/>
  <c r="L328" i="1"/>
  <c r="E122" i="2" s="1"/>
  <c r="E136" i="2" s="1"/>
  <c r="C16" i="13"/>
  <c r="C11" i="13"/>
  <c r="C10" i="13"/>
  <c r="C9" i="13"/>
  <c r="L353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79" i="1"/>
  <c r="L380" i="1"/>
  <c r="L381" i="1"/>
  <c r="L382" i="1"/>
  <c r="L384" i="1"/>
  <c r="L387" i="1"/>
  <c r="L388" i="1"/>
  <c r="L389" i="1"/>
  <c r="L390" i="1"/>
  <c r="L393" i="1" s="1"/>
  <c r="C131" i="2" s="1"/>
  <c r="L391" i="1"/>
  <c r="L392" i="1"/>
  <c r="L395" i="1"/>
  <c r="L396" i="1"/>
  <c r="L397" i="1"/>
  <c r="L399" i="1" s="1"/>
  <c r="C132" i="2" s="1"/>
  <c r="L398" i="1"/>
  <c r="L258" i="1"/>
  <c r="J52" i="1"/>
  <c r="G48" i="2" s="1"/>
  <c r="G51" i="2"/>
  <c r="G54" i="2" s="1"/>
  <c r="G53" i="2"/>
  <c r="F2" i="11"/>
  <c r="L603" i="1"/>
  <c r="H653" i="1"/>
  <c r="L602" i="1"/>
  <c r="G653" i="1" s="1"/>
  <c r="I653" i="1" s="1"/>
  <c r="L601" i="1"/>
  <c r="F653" i="1"/>
  <c r="C40" i="10"/>
  <c r="F52" i="1"/>
  <c r="G52" i="1"/>
  <c r="C35" i="10" s="1"/>
  <c r="H52" i="1"/>
  <c r="E48" i="2" s="1"/>
  <c r="I52" i="1"/>
  <c r="F48" i="2" s="1"/>
  <c r="F55" i="2" s="1"/>
  <c r="F71" i="1"/>
  <c r="F86" i="1"/>
  <c r="F103" i="1"/>
  <c r="G103" i="1"/>
  <c r="H71" i="1"/>
  <c r="E49" i="2" s="1"/>
  <c r="E54" i="2" s="1"/>
  <c r="H86" i="1"/>
  <c r="H103" i="1"/>
  <c r="H104" i="1"/>
  <c r="I103" i="1"/>
  <c r="I104" i="1"/>
  <c r="J103" i="1"/>
  <c r="J104" i="1"/>
  <c r="C37" i="10"/>
  <c r="F113" i="1"/>
  <c r="F132" i="1" s="1"/>
  <c r="F128" i="1"/>
  <c r="G113" i="1"/>
  <c r="G132" i="1" s="1"/>
  <c r="G128" i="1"/>
  <c r="H113" i="1"/>
  <c r="H132" i="1" s="1"/>
  <c r="H128" i="1"/>
  <c r="I113" i="1"/>
  <c r="I128" i="1"/>
  <c r="I132" i="1" s="1"/>
  <c r="I185" i="1" s="1"/>
  <c r="G620" i="1" s="1"/>
  <c r="J620" i="1" s="1"/>
  <c r="J113" i="1"/>
  <c r="J128" i="1"/>
  <c r="J132" i="1"/>
  <c r="F139" i="1"/>
  <c r="F154" i="1"/>
  <c r="F161" i="1"/>
  <c r="G139" i="1"/>
  <c r="G161" i="1" s="1"/>
  <c r="G154" i="1"/>
  <c r="H139" i="1"/>
  <c r="H154" i="1"/>
  <c r="H161" i="1" s="1"/>
  <c r="I139" i="1"/>
  <c r="I161" i="1" s="1"/>
  <c r="I154" i="1"/>
  <c r="C12" i="10"/>
  <c r="C13" i="10"/>
  <c r="L242" i="1"/>
  <c r="L324" i="1"/>
  <c r="C23" i="10" s="1"/>
  <c r="L246" i="1"/>
  <c r="C24" i="10"/>
  <c r="C25" i="10"/>
  <c r="L260" i="1"/>
  <c r="C26" i="10" s="1"/>
  <c r="L261" i="1"/>
  <c r="L341" i="1"/>
  <c r="L342" i="1"/>
  <c r="I655" i="1"/>
  <c r="I660" i="1"/>
  <c r="I659" i="1"/>
  <c r="C5" i="10"/>
  <c r="C42" i="10"/>
  <c r="C32" i="10"/>
  <c r="L366" i="1"/>
  <c r="L367" i="1"/>
  <c r="L374" i="1" s="1"/>
  <c r="G626" i="1" s="1"/>
  <c r="J626" i="1" s="1"/>
  <c r="L368" i="1"/>
  <c r="L369" i="1"/>
  <c r="L370" i="1"/>
  <c r="L371" i="1"/>
  <c r="L372" i="1"/>
  <c r="B2" i="10"/>
  <c r="L336" i="1"/>
  <c r="L337" i="1"/>
  <c r="L343" i="1" s="1"/>
  <c r="L338" i="1"/>
  <c r="L339" i="1"/>
  <c r="K343" i="1"/>
  <c r="L511" i="1"/>
  <c r="F539" i="1" s="1"/>
  <c r="L512" i="1"/>
  <c r="F540" i="1"/>
  <c r="L513" i="1"/>
  <c r="F541" i="1" s="1"/>
  <c r="L516" i="1"/>
  <c r="G539" i="1"/>
  <c r="L517" i="1"/>
  <c r="G540" i="1" s="1"/>
  <c r="L518" i="1"/>
  <c r="L519" i="1" s="1"/>
  <c r="L521" i="1"/>
  <c r="H539" i="1" s="1"/>
  <c r="H542" i="1" s="1"/>
  <c r="L522" i="1"/>
  <c r="H540" i="1"/>
  <c r="L523" i="1"/>
  <c r="H541" i="1" s="1"/>
  <c r="L526" i="1"/>
  <c r="I539" i="1"/>
  <c r="L527" i="1"/>
  <c r="I540" i="1" s="1"/>
  <c r="I542" i="1" s="1"/>
  <c r="L528" i="1"/>
  <c r="I541" i="1" s="1"/>
  <c r="L531" i="1"/>
  <c r="J539" i="1" s="1"/>
  <c r="L532" i="1"/>
  <c r="J540" i="1" s="1"/>
  <c r="L533" i="1"/>
  <c r="J541" i="1" s="1"/>
  <c r="E124" i="2"/>
  <c r="E123" i="2"/>
  <c r="K262" i="1"/>
  <c r="J262" i="1"/>
  <c r="I262" i="1"/>
  <c r="H262" i="1"/>
  <c r="L262" i="1" s="1"/>
  <c r="G262" i="1"/>
  <c r="F262" i="1"/>
  <c r="C124" i="2"/>
  <c r="C123" i="2"/>
  <c r="A1" i="2"/>
  <c r="A2" i="2"/>
  <c r="C9" i="2"/>
  <c r="D9" i="2"/>
  <c r="E9" i="2"/>
  <c r="F9" i="2"/>
  <c r="F19" i="2" s="1"/>
  <c r="I431" i="1"/>
  <c r="J9" i="1"/>
  <c r="C10" i="2"/>
  <c r="D10" i="2"/>
  <c r="E10" i="2"/>
  <c r="E19" i="2" s="1"/>
  <c r="F10" i="2"/>
  <c r="I432" i="1"/>
  <c r="J10" i="1" s="1"/>
  <c r="G10" i="2" s="1"/>
  <c r="C11" i="2"/>
  <c r="C12" i="2"/>
  <c r="D12" i="2"/>
  <c r="D19" i="2" s="1"/>
  <c r="E12" i="2"/>
  <c r="F12" i="2"/>
  <c r="F13" i="2"/>
  <c r="F14" i="2"/>
  <c r="F15" i="2"/>
  <c r="F16" i="2"/>
  <c r="F17" i="2"/>
  <c r="F18" i="2"/>
  <c r="I433" i="1"/>
  <c r="J12" i="1" s="1"/>
  <c r="G12" i="2" s="1"/>
  <c r="C13" i="2"/>
  <c r="D13" i="2"/>
  <c r="D14" i="2"/>
  <c r="D16" i="2"/>
  <c r="D17" i="2"/>
  <c r="D18" i="2"/>
  <c r="C14" i="2"/>
  <c r="E14" i="2"/>
  <c r="I435" i="1"/>
  <c r="J14" i="1"/>
  <c r="G14" i="2" s="1"/>
  <c r="C16" i="2"/>
  <c r="E16" i="2"/>
  <c r="C17" i="2"/>
  <c r="E17" i="2"/>
  <c r="I436" i="1"/>
  <c r="J17" i="1"/>
  <c r="G17" i="2" s="1"/>
  <c r="C18" i="2"/>
  <c r="E18" i="2"/>
  <c r="I437" i="1"/>
  <c r="J18" i="1"/>
  <c r="G18" i="2" s="1"/>
  <c r="C22" i="2"/>
  <c r="D22" i="2"/>
  <c r="D32" i="2" s="1"/>
  <c r="E22" i="2"/>
  <c r="E32" i="2" s="1"/>
  <c r="E43" i="2" s="1"/>
  <c r="F22" i="2"/>
  <c r="I440" i="1"/>
  <c r="J23" i="1"/>
  <c r="C23" i="2"/>
  <c r="C32" i="2" s="1"/>
  <c r="D23" i="2"/>
  <c r="E23" i="2"/>
  <c r="F23" i="2"/>
  <c r="I441" i="1"/>
  <c r="J24" i="1" s="1"/>
  <c r="C24" i="2"/>
  <c r="D24" i="2"/>
  <c r="E24" i="2"/>
  <c r="F24" i="2"/>
  <c r="I442" i="1"/>
  <c r="J25" i="1" s="1"/>
  <c r="G24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 s="1"/>
  <c r="G31" i="2" s="1"/>
  <c r="C34" i="2"/>
  <c r="D34" i="2"/>
  <c r="E34" i="2"/>
  <c r="F34" i="2"/>
  <c r="C35" i="2"/>
  <c r="D35" i="2"/>
  <c r="E35" i="2"/>
  <c r="F35" i="2"/>
  <c r="C36" i="2"/>
  <c r="C42" i="2" s="1"/>
  <c r="E36" i="2"/>
  <c r="F36" i="2"/>
  <c r="F42" i="2" s="1"/>
  <c r="F43" i="2" s="1"/>
  <c r="I446" i="1"/>
  <c r="J37" i="1" s="1"/>
  <c r="C37" i="2"/>
  <c r="D37" i="2"/>
  <c r="E37" i="2"/>
  <c r="F37" i="2"/>
  <c r="I447" i="1"/>
  <c r="J38" i="1" s="1"/>
  <c r="G37" i="2" s="1"/>
  <c r="C38" i="2"/>
  <c r="D38" i="2"/>
  <c r="E38" i="2"/>
  <c r="F38" i="2"/>
  <c r="F40" i="2"/>
  <c r="F41" i="2"/>
  <c r="I448" i="1"/>
  <c r="J40" i="1" s="1"/>
  <c r="G39" i="2" s="1"/>
  <c r="C40" i="2"/>
  <c r="D40" i="2"/>
  <c r="E40" i="2"/>
  <c r="I449" i="1"/>
  <c r="I450" i="1" s="1"/>
  <c r="J41" i="1"/>
  <c r="C41" i="2"/>
  <c r="D41" i="2"/>
  <c r="E41" i="2"/>
  <c r="C48" i="2"/>
  <c r="C49" i="2"/>
  <c r="C50" i="2"/>
  <c r="E50" i="2"/>
  <c r="C51" i="2"/>
  <c r="D51" i="2"/>
  <c r="E51" i="2"/>
  <c r="F51" i="2"/>
  <c r="D52" i="2"/>
  <c r="C53" i="2"/>
  <c r="D53" i="2"/>
  <c r="E53" i="2"/>
  <c r="F53" i="2"/>
  <c r="C58" i="2"/>
  <c r="C62" i="2" s="1"/>
  <c r="C59" i="2"/>
  <c r="C61" i="2"/>
  <c r="D61" i="2"/>
  <c r="D62" i="2" s="1"/>
  <c r="E61" i="2"/>
  <c r="E62" i="2" s="1"/>
  <c r="F61" i="2"/>
  <c r="F62" i="2" s="1"/>
  <c r="G61" i="2"/>
  <c r="G62" i="2" s="1"/>
  <c r="G73" i="2" s="1"/>
  <c r="C64" i="2"/>
  <c r="C70" i="2" s="1"/>
  <c r="C73" i="2" s="1"/>
  <c r="F64" i="2"/>
  <c r="F70" i="2" s="1"/>
  <c r="F73" i="2" s="1"/>
  <c r="C65" i="2"/>
  <c r="F65" i="2"/>
  <c r="C66" i="2"/>
  <c r="C67" i="2"/>
  <c r="C68" i="2"/>
  <c r="E68" i="2"/>
  <c r="F68" i="2"/>
  <c r="C69" i="2"/>
  <c r="D69" i="2"/>
  <c r="D70" i="2" s="1"/>
  <c r="D71" i="2"/>
  <c r="E69" i="2"/>
  <c r="E70" i="2" s="1"/>
  <c r="F69" i="2"/>
  <c r="G69" i="2"/>
  <c r="G70" i="2"/>
  <c r="C71" i="2"/>
  <c r="E71" i="2"/>
  <c r="C72" i="2"/>
  <c r="E72" i="2"/>
  <c r="C77" i="2"/>
  <c r="C83" i="2" s="1"/>
  <c r="D77" i="2"/>
  <c r="E77" i="2"/>
  <c r="E83" i="2" s="1"/>
  <c r="F77" i="2"/>
  <c r="C79" i="2"/>
  <c r="E79" i="2"/>
  <c r="F79" i="2"/>
  <c r="F83" i="2" s="1"/>
  <c r="F80" i="2"/>
  <c r="F81" i="2"/>
  <c r="C80" i="2"/>
  <c r="D80" i="2"/>
  <c r="E80" i="2"/>
  <c r="C81" i="2"/>
  <c r="D81" i="2"/>
  <c r="D83" i="2" s="1"/>
  <c r="E81" i="2"/>
  <c r="C82" i="2"/>
  <c r="C85" i="2"/>
  <c r="C86" i="2"/>
  <c r="C89" i="2"/>
  <c r="C90" i="2"/>
  <c r="C91" i="2"/>
  <c r="C92" i="2"/>
  <c r="C93" i="2"/>
  <c r="C95" i="2" s="1"/>
  <c r="C94" i="2"/>
  <c r="F85" i="2"/>
  <c r="F86" i="2"/>
  <c r="D88" i="2"/>
  <c r="D95" i="2" s="1"/>
  <c r="E88" i="2"/>
  <c r="F88" i="2"/>
  <c r="G88" i="2"/>
  <c r="D89" i="2"/>
  <c r="E89" i="2"/>
  <c r="F89" i="2"/>
  <c r="G89" i="2"/>
  <c r="G95" i="2" s="1"/>
  <c r="G90" i="2"/>
  <c r="D90" i="2"/>
  <c r="E90" i="2"/>
  <c r="D91" i="2"/>
  <c r="E91" i="2"/>
  <c r="F91" i="2"/>
  <c r="D92" i="2"/>
  <c r="E92" i="2"/>
  <c r="F92" i="2"/>
  <c r="D93" i="2"/>
  <c r="E93" i="2"/>
  <c r="E95" i="2" s="1"/>
  <c r="F93" i="2"/>
  <c r="D94" i="2"/>
  <c r="E94" i="2"/>
  <c r="F94" i="2"/>
  <c r="C104" i="2"/>
  <c r="E104" i="2"/>
  <c r="C105" i="2"/>
  <c r="E105" i="2"/>
  <c r="D107" i="2"/>
  <c r="F107" i="2"/>
  <c r="G107" i="2"/>
  <c r="E112" i="2"/>
  <c r="E113" i="2"/>
  <c r="C114" i="2"/>
  <c r="C115" i="2"/>
  <c r="E115" i="2"/>
  <c r="C116" i="2"/>
  <c r="C117" i="2"/>
  <c r="D126" i="2"/>
  <c r="D136" i="2"/>
  <c r="F120" i="2"/>
  <c r="G120" i="2"/>
  <c r="G137" i="2" s="1"/>
  <c r="F126" i="2"/>
  <c r="E126" i="2"/>
  <c r="K411" i="1"/>
  <c r="K426" i="1" s="1"/>
  <c r="G126" i="2" s="1"/>
  <c r="G136" i="2" s="1"/>
  <c r="K419" i="1"/>
  <c r="K425" i="1"/>
  <c r="L255" i="1"/>
  <c r="C127" i="2"/>
  <c r="E127" i="2"/>
  <c r="E129" i="2"/>
  <c r="E134" i="2"/>
  <c r="E135" i="2"/>
  <c r="L256" i="1"/>
  <c r="C128" i="2" s="1"/>
  <c r="L257" i="1"/>
  <c r="C129" i="2" s="1"/>
  <c r="C135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G148" i="2" s="1"/>
  <c r="E148" i="2"/>
  <c r="F148" i="2"/>
  <c r="B149" i="2"/>
  <c r="C149" i="2"/>
  <c r="G149" i="2" s="1"/>
  <c r="D149" i="2"/>
  <c r="E149" i="2"/>
  <c r="F149" i="2"/>
  <c r="B150" i="2"/>
  <c r="C150" i="2"/>
  <c r="D150" i="2"/>
  <c r="G150" i="2" s="1"/>
  <c r="E150" i="2"/>
  <c r="F150" i="2"/>
  <c r="B151" i="2"/>
  <c r="C151" i="2"/>
  <c r="G151" i="2" s="1"/>
  <c r="D151" i="2"/>
  <c r="E151" i="2"/>
  <c r="F151" i="2"/>
  <c r="B152" i="2"/>
  <c r="C152" i="2"/>
  <c r="D152" i="2"/>
  <c r="G152" i="2" s="1"/>
  <c r="E152" i="2"/>
  <c r="F152" i="2"/>
  <c r="F490" i="1"/>
  <c r="B153" i="2"/>
  <c r="G490" i="1"/>
  <c r="C153" i="2" s="1"/>
  <c r="H490" i="1"/>
  <c r="D153" i="2" s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F493" i="1"/>
  <c r="B156" i="2" s="1"/>
  <c r="G493" i="1"/>
  <c r="C156" i="2" s="1"/>
  <c r="H493" i="1"/>
  <c r="D156" i="2"/>
  <c r="I493" i="1"/>
  <c r="E156" i="2" s="1"/>
  <c r="J493" i="1"/>
  <c r="F156" i="2" s="1"/>
  <c r="F19" i="1"/>
  <c r="G19" i="1"/>
  <c r="H19" i="1"/>
  <c r="G609" i="1" s="1"/>
  <c r="I19" i="1"/>
  <c r="G610" i="1" s="1"/>
  <c r="F33" i="1"/>
  <c r="G33" i="1"/>
  <c r="H33" i="1"/>
  <c r="I33" i="1"/>
  <c r="F43" i="1"/>
  <c r="F44" i="1" s="1"/>
  <c r="H607" i="1" s="1"/>
  <c r="H43" i="1"/>
  <c r="I43" i="1"/>
  <c r="I44" i="1" s="1"/>
  <c r="H610" i="1" s="1"/>
  <c r="H44" i="1"/>
  <c r="H609" i="1" s="1"/>
  <c r="F169" i="1"/>
  <c r="F184" i="1" s="1"/>
  <c r="I169" i="1"/>
  <c r="I184" i="1"/>
  <c r="F175" i="1"/>
  <c r="G175" i="1"/>
  <c r="G184" i="1" s="1"/>
  <c r="H175" i="1"/>
  <c r="H184" i="1" s="1"/>
  <c r="I175" i="1"/>
  <c r="J175" i="1"/>
  <c r="J184" i="1" s="1"/>
  <c r="J185" i="1" s="1"/>
  <c r="F180" i="1"/>
  <c r="G180" i="1"/>
  <c r="H180" i="1"/>
  <c r="I180" i="1"/>
  <c r="F203" i="1"/>
  <c r="G203" i="1"/>
  <c r="H203" i="1"/>
  <c r="I203" i="1"/>
  <c r="J203" i="1"/>
  <c r="K203" i="1"/>
  <c r="F221" i="1"/>
  <c r="G221" i="1"/>
  <c r="G249" i="1" s="1"/>
  <c r="G263" i="1" s="1"/>
  <c r="H221" i="1"/>
  <c r="I221" i="1"/>
  <c r="J221" i="1"/>
  <c r="K221" i="1"/>
  <c r="F239" i="1"/>
  <c r="H239" i="1"/>
  <c r="I239" i="1"/>
  <c r="J239" i="1"/>
  <c r="K239" i="1"/>
  <c r="F248" i="1"/>
  <c r="L248" i="1" s="1"/>
  <c r="G248" i="1"/>
  <c r="H248" i="1"/>
  <c r="I248" i="1"/>
  <c r="J248" i="1"/>
  <c r="K248" i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 s="1"/>
  <c r="I344" i="1" s="1"/>
  <c r="F301" i="1"/>
  <c r="G301" i="1"/>
  <c r="H301" i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F354" i="1"/>
  <c r="G354" i="1"/>
  <c r="H354" i="1"/>
  <c r="I354" i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H400" i="1" s="1"/>
  <c r="H634" i="1" s="1"/>
  <c r="I393" i="1"/>
  <c r="F399" i="1"/>
  <c r="G399" i="1"/>
  <c r="H399" i="1"/>
  <c r="I399" i="1"/>
  <c r="F400" i="1"/>
  <c r="H633" i="1" s="1"/>
  <c r="J633" i="1" s="1"/>
  <c r="G400" i="1"/>
  <c r="H635" i="1" s="1"/>
  <c r="I400" i="1"/>
  <c r="L405" i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J426" i="1" s="1"/>
  <c r="L411" i="1"/>
  <c r="L426" i="1" s="1"/>
  <c r="G628" i="1" s="1"/>
  <c r="J628" i="1" s="1"/>
  <c r="L413" i="1"/>
  <c r="L414" i="1"/>
  <c r="L415" i="1"/>
  <c r="L416" i="1"/>
  <c r="L417" i="1"/>
  <c r="L418" i="1"/>
  <c r="F419" i="1"/>
  <c r="G419" i="1"/>
  <c r="H419" i="1"/>
  <c r="I419" i="1"/>
  <c r="J419" i="1"/>
  <c r="L419" i="1"/>
  <c r="L421" i="1"/>
  <c r="L422" i="1"/>
  <c r="L423" i="1"/>
  <c r="L424" i="1"/>
  <c r="F425" i="1"/>
  <c r="G425" i="1"/>
  <c r="H425" i="1"/>
  <c r="I425" i="1"/>
  <c r="J425" i="1"/>
  <c r="L425" i="1"/>
  <c r="I426" i="1"/>
  <c r="F438" i="1"/>
  <c r="G438" i="1"/>
  <c r="G630" i="1" s="1"/>
  <c r="H438" i="1"/>
  <c r="F444" i="1"/>
  <c r="F451" i="1" s="1"/>
  <c r="H629" i="1" s="1"/>
  <c r="J629" i="1" s="1"/>
  <c r="G444" i="1"/>
  <c r="H444" i="1"/>
  <c r="H451" i="1" s="1"/>
  <c r="H631" i="1" s="1"/>
  <c r="F450" i="1"/>
  <c r="G450" i="1"/>
  <c r="H450" i="1"/>
  <c r="G451" i="1"/>
  <c r="H630" i="1" s="1"/>
  <c r="F460" i="1"/>
  <c r="G460" i="1"/>
  <c r="H460" i="1"/>
  <c r="H466" i="1" s="1"/>
  <c r="H614" i="1" s="1"/>
  <c r="J614" i="1" s="1"/>
  <c r="I460" i="1"/>
  <c r="I466" i="1" s="1"/>
  <c r="H615" i="1" s="1"/>
  <c r="J615" i="1" s="1"/>
  <c r="J460" i="1"/>
  <c r="F464" i="1"/>
  <c r="F466" i="1"/>
  <c r="H612" i="1" s="1"/>
  <c r="G464" i="1"/>
  <c r="G466" i="1" s="1"/>
  <c r="H613" i="1" s="1"/>
  <c r="J613" i="1" s="1"/>
  <c r="H464" i="1"/>
  <c r="I464" i="1"/>
  <c r="J464" i="1"/>
  <c r="J466" i="1" s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F535" i="1" s="1"/>
  <c r="G514" i="1"/>
  <c r="H514" i="1"/>
  <c r="I514" i="1"/>
  <c r="I535" i="1" s="1"/>
  <c r="J514" i="1"/>
  <c r="J535" i="1" s="1"/>
  <c r="K514" i="1"/>
  <c r="F519" i="1"/>
  <c r="G519" i="1"/>
  <c r="H519" i="1"/>
  <c r="I519" i="1"/>
  <c r="J519" i="1"/>
  <c r="K519" i="1"/>
  <c r="F524" i="1"/>
  <c r="G524" i="1"/>
  <c r="G535" i="1" s="1"/>
  <c r="H524" i="1"/>
  <c r="H535" i="1" s="1"/>
  <c r="I524" i="1"/>
  <c r="J524" i="1"/>
  <c r="K524" i="1"/>
  <c r="K53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L547" i="1"/>
  <c r="L548" i="1"/>
  <c r="L550" i="1" s="1"/>
  <c r="L549" i="1"/>
  <c r="F550" i="1"/>
  <c r="G550" i="1"/>
  <c r="H550" i="1"/>
  <c r="I550" i="1"/>
  <c r="I561" i="1" s="1"/>
  <c r="J550" i="1"/>
  <c r="J561" i="1" s="1"/>
  <c r="K550" i="1"/>
  <c r="K561" i="1" s="1"/>
  <c r="L552" i="1"/>
  <c r="L555" i="1" s="1"/>
  <c r="L553" i="1"/>
  <c r="L554" i="1"/>
  <c r="F555" i="1"/>
  <c r="G555" i="1"/>
  <c r="G561" i="1" s="1"/>
  <c r="H555" i="1"/>
  <c r="H561" i="1" s="1"/>
  <c r="I555" i="1"/>
  <c r="J555" i="1"/>
  <c r="K555" i="1"/>
  <c r="L557" i="1"/>
  <c r="L558" i="1"/>
  <c r="L560" i="1" s="1"/>
  <c r="L559" i="1"/>
  <c r="F560" i="1"/>
  <c r="F561" i="1" s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07" i="1"/>
  <c r="J607" i="1" s="1"/>
  <c r="G608" i="1"/>
  <c r="G614" i="1"/>
  <c r="G615" i="1"/>
  <c r="H617" i="1"/>
  <c r="H618" i="1"/>
  <c r="H619" i="1"/>
  <c r="H620" i="1"/>
  <c r="H621" i="1"/>
  <c r="H622" i="1"/>
  <c r="H623" i="1"/>
  <c r="G624" i="1"/>
  <c r="J624" i="1" s="1"/>
  <c r="H624" i="1"/>
  <c r="H625" i="1"/>
  <c r="H626" i="1"/>
  <c r="H627" i="1"/>
  <c r="H628" i="1"/>
  <c r="G629" i="1"/>
  <c r="G631" i="1"/>
  <c r="J631" i="1" s="1"/>
  <c r="G633" i="1"/>
  <c r="G634" i="1"/>
  <c r="J634" i="1" s="1"/>
  <c r="H637" i="1"/>
  <c r="G639" i="1"/>
  <c r="J639" i="1" s="1"/>
  <c r="H639" i="1"/>
  <c r="G640" i="1"/>
  <c r="J640" i="1" s="1"/>
  <c r="H640" i="1"/>
  <c r="G641" i="1"/>
  <c r="J641" i="1" s="1"/>
  <c r="G642" i="1"/>
  <c r="H642" i="1"/>
  <c r="J642" i="1" s="1"/>
  <c r="G643" i="1"/>
  <c r="J643" i="1" s="1"/>
  <c r="H643" i="1"/>
  <c r="G644" i="1"/>
  <c r="J644" i="1" s="1"/>
  <c r="H644" i="1"/>
  <c r="G645" i="1"/>
  <c r="H645" i="1"/>
  <c r="J645" i="1" s="1"/>
  <c r="G43" i="1"/>
  <c r="D36" i="2"/>
  <c r="D42" i="2" s="1"/>
  <c r="D43" i="2" s="1"/>
  <c r="G155" i="2"/>
  <c r="F95" i="2"/>
  <c r="F54" i="2"/>
  <c r="D54" i="2"/>
  <c r="C19" i="2"/>
  <c r="A13" i="12"/>
  <c r="D18" i="13"/>
  <c r="C18" i="13"/>
  <c r="D15" i="13"/>
  <c r="C15" i="13" s="1"/>
  <c r="E42" i="2"/>
  <c r="F32" i="2"/>
  <c r="G9" i="2"/>
  <c r="G22" i="2"/>
  <c r="C25" i="13"/>
  <c r="H33" i="13"/>
  <c r="G44" i="1"/>
  <c r="H608" i="1" s="1"/>
  <c r="J608" i="1" s="1"/>
  <c r="G613" i="1"/>
  <c r="A22" i="12"/>
  <c r="A40" i="12"/>
  <c r="G40" i="2"/>
  <c r="L214" i="1"/>
  <c r="C20" i="10"/>
  <c r="K249" i="1"/>
  <c r="K263" i="1" s="1"/>
  <c r="I249" i="1"/>
  <c r="I263" i="1" s="1"/>
  <c r="J249" i="1"/>
  <c r="J263" i="1" s="1"/>
  <c r="F249" i="1"/>
  <c r="F263" i="1" s="1"/>
  <c r="C6" i="10"/>
  <c r="H249" i="1"/>
  <c r="H263" i="1" s="1"/>
  <c r="C54" i="2"/>
  <c r="C55" i="2"/>
  <c r="C96" i="2" s="1"/>
  <c r="F104" i="1"/>
  <c r="F96" i="2" l="1"/>
  <c r="J610" i="1"/>
  <c r="G153" i="2"/>
  <c r="E55" i="2"/>
  <c r="G55" i="2"/>
  <c r="G96" i="2" s="1"/>
  <c r="G654" i="1"/>
  <c r="D6" i="13"/>
  <c r="C6" i="13" s="1"/>
  <c r="C15" i="10"/>
  <c r="C110" i="2"/>
  <c r="G651" i="1"/>
  <c r="F651" i="1"/>
  <c r="I651" i="1" s="1"/>
  <c r="D119" i="2"/>
  <c r="D120" i="2" s="1"/>
  <c r="H651" i="1"/>
  <c r="D29" i="13"/>
  <c r="C29" i="13" s="1"/>
  <c r="L354" i="1"/>
  <c r="J630" i="1"/>
  <c r="J609" i="1"/>
  <c r="J43" i="1"/>
  <c r="G36" i="2"/>
  <c r="G42" i="2" s="1"/>
  <c r="G542" i="1"/>
  <c r="J542" i="1"/>
  <c r="H185" i="1"/>
  <c r="G619" i="1" s="1"/>
  <c r="J619" i="1" s="1"/>
  <c r="I652" i="1"/>
  <c r="C130" i="2"/>
  <c r="C133" i="2" s="1"/>
  <c r="L400" i="1"/>
  <c r="C8" i="13"/>
  <c r="E33" i="13"/>
  <c r="D35" i="13" s="1"/>
  <c r="C43" i="2"/>
  <c r="K541" i="1"/>
  <c r="K540" i="1"/>
  <c r="L203" i="1"/>
  <c r="C10" i="10"/>
  <c r="D5" i="13"/>
  <c r="C101" i="2"/>
  <c r="C107" i="2" s="1"/>
  <c r="C111" i="2"/>
  <c r="C16" i="10"/>
  <c r="D7" i="13"/>
  <c r="C7" i="13" s="1"/>
  <c r="D12" i="13"/>
  <c r="C12" i="13" s="1"/>
  <c r="C113" i="2"/>
  <c r="C18" i="10"/>
  <c r="J13" i="1"/>
  <c r="G13" i="2" s="1"/>
  <c r="I438" i="1"/>
  <c r="G632" i="1" s="1"/>
  <c r="J33" i="1"/>
  <c r="G23" i="2"/>
  <c r="G32" i="2" s="1"/>
  <c r="J19" i="1"/>
  <c r="G611" i="1" s="1"/>
  <c r="F542" i="1"/>
  <c r="K539" i="1"/>
  <c r="K542" i="1" s="1"/>
  <c r="H650" i="1"/>
  <c r="H654" i="1" s="1"/>
  <c r="J330" i="1"/>
  <c r="J344" i="1" s="1"/>
  <c r="F31" i="13"/>
  <c r="F33" i="13" s="1"/>
  <c r="G19" i="2"/>
  <c r="G636" i="1"/>
  <c r="G621" i="1"/>
  <c r="J621" i="1" s="1"/>
  <c r="C39" i="10"/>
  <c r="L561" i="1"/>
  <c r="G156" i="2"/>
  <c r="C38" i="10"/>
  <c r="F185" i="1"/>
  <c r="G617" i="1" s="1"/>
  <c r="J617" i="1" s="1"/>
  <c r="D137" i="2"/>
  <c r="E73" i="2"/>
  <c r="C112" i="2"/>
  <c r="D73" i="2"/>
  <c r="F22" i="13"/>
  <c r="C22" i="13" s="1"/>
  <c r="G635" i="1"/>
  <c r="J635" i="1" s="1"/>
  <c r="G612" i="1"/>
  <c r="J612" i="1" s="1"/>
  <c r="F122" i="2"/>
  <c r="F136" i="2" s="1"/>
  <c r="F137" i="2" s="1"/>
  <c r="E116" i="2"/>
  <c r="E120" i="2" s="1"/>
  <c r="G104" i="1"/>
  <c r="G185" i="1" s="1"/>
  <c r="G618" i="1" s="1"/>
  <c r="J618" i="1" s="1"/>
  <c r="C17" i="10"/>
  <c r="H638" i="1"/>
  <c r="J638" i="1" s="1"/>
  <c r="L524" i="1"/>
  <c r="C134" i="2"/>
  <c r="D48" i="2"/>
  <c r="D55" i="2" s="1"/>
  <c r="D96" i="2" s="1"/>
  <c r="C21" i="10"/>
  <c r="I444" i="1"/>
  <c r="I451" i="1" s="1"/>
  <c r="H632" i="1" s="1"/>
  <c r="C122" i="2"/>
  <c r="C19" i="10"/>
  <c r="L320" i="1"/>
  <c r="L514" i="1"/>
  <c r="L535" i="1" s="1"/>
  <c r="K493" i="1"/>
  <c r="C106" i="2"/>
  <c r="K490" i="1"/>
  <c r="G541" i="1"/>
  <c r="H662" i="1" l="1"/>
  <c r="H657" i="1"/>
  <c r="J636" i="1"/>
  <c r="C120" i="2"/>
  <c r="G43" i="2"/>
  <c r="J44" i="1"/>
  <c r="H611" i="1" s="1"/>
  <c r="G616" i="1"/>
  <c r="J611" i="1"/>
  <c r="C36" i="10"/>
  <c r="E96" i="2"/>
  <c r="L249" i="1"/>
  <c r="L263" i="1" s="1"/>
  <c r="G627" i="1"/>
  <c r="J627" i="1" s="1"/>
  <c r="H636" i="1"/>
  <c r="G657" i="1"/>
  <c r="G662" i="1"/>
  <c r="C5" i="13"/>
  <c r="C136" i="2"/>
  <c r="C137" i="2" s="1"/>
  <c r="C27" i="10"/>
  <c r="G625" i="1"/>
  <c r="J625" i="1" s="1"/>
  <c r="J632" i="1"/>
  <c r="K269" i="1" l="1"/>
  <c r="G622" i="1"/>
  <c r="J622" i="1" s="1"/>
  <c r="C41" i="10"/>
  <c r="D36" i="10" s="1"/>
  <c r="J616" i="1"/>
  <c r="D40" i="10" l="1"/>
  <c r="D37" i="10"/>
  <c r="D35" i="10"/>
  <c r="D41" i="10" s="1"/>
  <c r="D38" i="10"/>
  <c r="D39" i="10"/>
  <c r="L269" i="1"/>
  <c r="K282" i="1"/>
  <c r="G31" i="13" l="1"/>
  <c r="G33" i="13" s="1"/>
  <c r="K330" i="1"/>
  <c r="K344" i="1" s="1"/>
  <c r="L282" i="1"/>
  <c r="C11" i="10"/>
  <c r="E102" i="2"/>
  <c r="E107" i="2" s="1"/>
  <c r="E137" i="2" s="1"/>
  <c r="D11" i="10" l="1"/>
  <c r="C28" i="10"/>
  <c r="L330" i="1"/>
  <c r="L344" i="1" s="1"/>
  <c r="G623" i="1" s="1"/>
  <c r="D31" i="13"/>
  <c r="F650" i="1"/>
  <c r="C31" i="13" l="1"/>
  <c r="D33" i="13"/>
  <c r="D36" i="13" s="1"/>
  <c r="I650" i="1"/>
  <c r="I654" i="1" s="1"/>
  <c r="F654" i="1"/>
  <c r="J623" i="1"/>
  <c r="H646" i="1"/>
  <c r="D22" i="10"/>
  <c r="D13" i="10"/>
  <c r="D25" i="10"/>
  <c r="D12" i="10"/>
  <c r="D20" i="10"/>
  <c r="C30" i="10"/>
  <c r="D26" i="10"/>
  <c r="D24" i="10"/>
  <c r="D23" i="10"/>
  <c r="D19" i="10"/>
  <c r="D18" i="10"/>
  <c r="D10" i="10"/>
  <c r="D21" i="10"/>
  <c r="D16" i="10"/>
  <c r="D17" i="10"/>
  <c r="D15" i="10"/>
  <c r="D27" i="10"/>
  <c r="D28" i="10" l="1"/>
  <c r="I657" i="1"/>
  <c r="I662" i="1"/>
  <c r="C7" i="10" s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CF9A068-8B19-41CA-818C-23C1828A6B7D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ABF412CA-D46D-4B68-B054-3B2C36062F85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8845BCD1-5E26-4A74-B93D-33D767A3B77E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FDEF2E8-DAF0-4BEF-9679-B69A7839015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0B3BB69C-44CD-4985-B038-8672B6F09B6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DC1D5544-6794-4D65-B928-8B05A63E999C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18EAA5D-DA9F-4B51-9A75-70A6A9AF1057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CD8F8B3F-D8A1-4AD3-BBA1-7CC316BDD8A6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733E0DC7-EA14-418C-A89D-0E769B8F61B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9CC338B3-2F2E-46B7-9FD6-5CE07634AB19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E924D6F5-4F6E-474D-ACA5-99BA98B26A3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EEFB2186-09F9-4698-8527-29D404622115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<sst xmlns="http://schemas.openxmlformats.org/spreadsheetml/2006/main" count="3858" uniqueCount="895">
  <si>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</si>
  <si>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</si>
  <si>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</si>
  <si>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</si>
  <si>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</si>
  <si>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</si>
  <si>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</si>
  <si>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</si>
  <si>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</si>
  <si>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</si>
  <si>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</si>
  <si>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</si>
  <si>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</si>
  <si>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</si>
  <si>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</si>
  <si>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</si>
  <si>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</si>
  <si>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</si>
  <si>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</si>
  <si>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</si>
  <si>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</si>
  <si>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</si>
  <si>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</si>
  <si>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</si>
  <si>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</si>
  <si>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</si>
  <si>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</si>
  <si>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</si>
  <si>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</si>
  <si>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</si>
  <si>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</si>
  <si>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</si>
  <si>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</si>
  <si>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</si>
  <si>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</si>
  <si>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</si>
  <si>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</si>
  <si>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</si>
  <si>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</si>
  <si>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</si>
  <si>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</si>
  <si>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</si>
  <si>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</si>
  <si>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</si>
  <si>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</si>
  <si>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</si>
  <si>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</si>
  <si>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</si>
  <si>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</si>
  <si>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</si>
  <si>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</si>
  <si>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</si>
  <si>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</si>
  <si>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</si>
  <si>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</si>
  <si>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</si>
  <si>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</si>
  <si>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</si>
  <si>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</si>
  <si>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</si>
  <si>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</si>
  <si>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</si>
  <si>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</si>
  <si>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</si>
  <si>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</si>
  <si>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</si>
  <si>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</si>
  <si>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</si>
  <si>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</si>
  <si>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</si>
  <si>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</si>
  <si>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</si>
  <si>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</si>
  <si>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</si>
  <si>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</si>
  <si>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</si>
  <si>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</si>
  <si>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</si>
  <si>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</si>
  <si>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</si>
  <si>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</si>
  <si>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</si>
  <si>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</si>
  <si>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</si>
  <si>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</si>
  <si>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</si>
  <si>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</si>
  <si>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</si>
  <si>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</si>
  <si>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</si>
  <si>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</si>
  <si>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</si>
  <si>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</si>
  <si>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</si>
  <si>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</si>
  <si>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</si>
  <si>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</si>
  <si>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</si>
  <si>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</si>
  <si>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</si>
  <si>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</si>
  <si>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</si>
  <si>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</si>
  <si>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</si>
  <si>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</si>
  <si>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</si>
  <si>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</si>
  <si>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</si>
  <si>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</si>
  <si>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</si>
  <si>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</si>
  <si>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</si>
  <si>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</si>
  <si>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</si>
  <si>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</si>
  <si>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</si>
  <si>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</si>
  <si>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</si>
  <si>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</si>
  <si>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</si>
  <si>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</si>
  <si>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</si>
  <si>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</si>
  <si>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</si>
  <si>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</si>
  <si>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</si>
  <si>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</si>
  <si>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</si>
  <si>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</si>
  <si>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</si>
  <si>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</si>
  <si>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</si>
  <si>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</si>
  <si>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</si>
  <si>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</si>
  <si>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</si>
  <si>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</si>
  <si>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</si>
  <si>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</si>
  <si>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</si>
  <si>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</si>
  <si>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</si>
  <si>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</si>
  <si>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</si>
  <si>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</si>
  <si>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</si>
  <si>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</si>
  <si>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</si>
  <si>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</si>
  <si>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</si>
  <si>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</si>
  <si>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</si>
  <si>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</si>
  <si>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</si>
  <si>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</si>
  <si>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</si>
  <si>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</si>
  <si>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</si>
  <si>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</si>
  <si>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</si>
  <si>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</si>
  <si>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</si>
  <si>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</si>
  <si>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</si>
  <si>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</si>
  <si>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</si>
  <si>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</si>
  <si>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</si>
  <si>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</si>
  <si>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</si>
  <si>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</si>
  <si>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</si>
  <si>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</si>
  <si>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</si>
  <si>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</si>
  <si>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</si>
  <si>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</si>
  <si>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</si>
  <si>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</si>
  <si>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</si>
  <si>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</si>
  <si>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</si>
  <si>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</si>
  <si>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</si>
  <si>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</si>
  <si>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</si>
  <si>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</si>
  <si>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</si>
  <si>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</si>
  <si>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</si>
  <si>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</si>
  <si>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</si>
  <si>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</si>
  <si>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</si>
  <si>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</si>
  <si>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</si>
  <si>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</si>
  <si>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</si>
  <si>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</si>
  <si>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</si>
  <si>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</si>
  <si>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</si>
  <si>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</si>
  <si>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</si>
  <si>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</si>
  <si>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</si>
  <si>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</si>
  <si>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</si>
  <si>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</si>
  <si>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</si>
  <si>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</si>
  <si>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</si>
  <si>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</si>
  <si>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</si>
  <si>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</si>
  <si>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</si>
  <si>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</si>
  <si>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</si>
  <si>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</si>
  <si>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</si>
  <si>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</si>
  <si>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</si>
  <si>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</si>
  <si>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</si>
  <si>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</si>
  <si>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</si>
  <si>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</si>
  <si>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</si>
  <si>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</si>
  <si>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</si>
  <si>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</si>
  <si>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</si>
  <si>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</si>
  <si>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</si>
  <si>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</si>
  <si>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</si>
  <si>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</si>
  <si>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</si>
  <si>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</si>
  <si>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</si>
  <si>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</si>
  <si>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</si>
  <si>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</si>
  <si>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</si>
  <si>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</si>
  <si>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</si>
  <si>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</si>
  <si>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</si>
  <si>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</si>
  <si>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</si>
  <si>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</si>
  <si>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</si>
  <si>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</si>
  <si>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</si>
  <si>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</si>
  <si>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</si>
  <si>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</si>
  <si>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</si>
  <si>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</si>
  <si>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</si>
  <si>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</si>
  <si>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</si>
  <si>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</si>
  <si>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</si>
  <si>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</si>
  <si>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</si>
  <si>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</si>
  <si>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</si>
  <si>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</si>
  <si>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</si>
  <si>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</si>
  <si>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</si>
  <si>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</si>
  <si>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</si>
  <si>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</si>
  <si>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</si>
  <si>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</si>
  <si>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</si>
  <si>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</si>
  <si>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</si>
  <si>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</si>
  <si>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</si>
  <si>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</si>
  <si>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</si>
  <si>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</si>
  <si>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</si>
  <si>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</si>
  <si>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</si>
  <si>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</si>
  <si>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</si>
  <si>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</si>
  <si>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</si>
  <si>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</si>
  <si>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</si>
  <si>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</si>
  <si>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</si>
  <si>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</si>
  <si>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</si>
  <si>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</si>
  <si>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</si>
  <si>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</si>
  <si>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</si>
  <si>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</si>
  <si>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</si>
  <si>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</si>
  <si>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</si>
  <si>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</si>
  <si>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</si>
  <si>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</si>
  <si>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</si>
  <si>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</si>
  <si>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</si>
  <si>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</si>
  <si>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</si>
  <si>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</si>
  <si>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</si>
  <si>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</si>
  <si>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</si>
  <si>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</si>
  <si>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</si>
  <si>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</si>
  <si>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</si>
  <si>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</si>
  <si>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</si>
  <si>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</si>
  <si>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</si>
  <si>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</si>
  <si>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</si>
  <si>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</si>
  <si>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</si>
  <si>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</si>
  <si>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</si>
  <si>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</si>
  <si>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</si>
  <si>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</si>
  <si>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</si>
  <si>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</si>
  <si>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</si>
  <si>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</si>
  <si>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</si>
  <si>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</si>
  <si>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</si>
  <si>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</si>
  <si>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</si>
  <si>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</si>
  <si>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</si>
  <si>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</si>
  <si>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</si>
  <si>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</si>
  <si>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</si>
  <si>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</si>
  <si>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</si>
  <si>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</si>
  <si>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</si>
  <si>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</si>
  <si>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</si>
  <si>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</si>
  <si>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</si>
  <si>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</si>
  <si>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</si>
  <si>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</si>
  <si>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</si>
  <si>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</si>
  <si>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</si>
  <si>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</si>
  <si>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</si>
  <si>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</si>
  <si>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</si>
  <si>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</si>
  <si>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</si>
  <si>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</si>
  <si>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</si>
  <si>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</si>
  <si>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</si>
  <si>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</si>
  <si>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</si>
  <si>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</si>
  <si>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</si>
  <si>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</si>
  <si>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</si>
  <si>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</si>
  <si>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</si>
  <si>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</si>
  <si>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</si>
  <si>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</si>
  <si>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</si>
  <si>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</si>
  <si>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</si>
  <si>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</si>
  <si>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</si>
  <si>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</si>
  <si>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</si>
  <si>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</si>
  <si>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</si>
  <si>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</si>
  <si>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</si>
  <si>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</si>
  <si>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</si>
  <si>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</si>
  <si>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</si>
  <si>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</si>
  <si>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</si>
  <si>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</si>
  <si>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</si>
  <si>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</si>
  <si>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</si>
  <si>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</si>
  <si>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</si>
  <si>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</si>
  <si>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</si>
  <si>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</si>
  <si>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</si>
  <si>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</si>
  <si>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</si>
  <si>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</si>
  <si>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</si>
  <si>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</si>
  <si>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</si>
  <si>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</si>
  <si>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</si>
  <si>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</si>
  <si>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</si>
  <si>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</si>
  <si>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</si>
  <si>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</si>
  <si>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</si>
  <si>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</si>
  <si>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</si>
  <si>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</si>
  <si>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</si>
  <si>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</si>
  <si>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</si>
  <si>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</si>
  <si>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</si>
  <si>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</si>
  <si>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</si>
  <si>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</si>
  <si>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</si>
  <si>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</si>
  <si>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</si>
  <si>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</si>
  <si>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</si>
  <si>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</si>
  <si>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</si>
  <si>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</si>
  <si>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</si>
  <si>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</si>
  <si>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</si>
  <si>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</si>
  <si>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</si>
  <si>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</si>
  <si>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</si>
  <si>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</si>
  <si>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</si>
  <si>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</si>
  <si>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</si>
  <si>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</si>
  <si>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</si>
  <si>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</si>
  <si>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</si>
  <si>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</si>
  <si>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</si>
  <si>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</si>
  <si>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</si>
  <si>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</si>
  <si>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</si>
  <si>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</si>
  <si>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</si>
  <si>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</si>
  <si>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</si>
  <si>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</si>
  <si>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</si>
  <si>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</si>
  <si>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</si>
  <si>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</si>
  <si>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</si>
  <si>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</si>
  <si>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</si>
  <si>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</si>
  <si>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</si>
  <si>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</si>
  <si>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</si>
  <si>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</si>
  <si>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</si>
  <si>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</si>
  <si>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</si>
  <si>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</si>
  <si>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</si>
  <si>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</si>
  <si>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</si>
  <si>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</si>
  <si>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</si>
  <si>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</si>
  <si>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</si>
  <si>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</si>
  <si>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</si>
  <si>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</si>
  <si>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</si>
  <si>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</si>
  <si>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</si>
  <si>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</si>
  <si>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</si>
  <si>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</si>
  <si>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</si>
  <si>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</si>
  <si>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</si>
  <si>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</si>
  <si>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</si>
  <si>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</si>
  <si>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</si>
  <si>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</si>
  <si>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</si>
  <si>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</si>
  <si>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</si>
  <si>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</si>
  <si>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</si>
  <si>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</si>
  <si>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</si>
  <si>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</si>
  <si>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</si>
  <si>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</si>
  <si>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</si>
  <si>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</si>
  <si>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</si>
  <si>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</si>
  <si>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</si>
  <si>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</si>
  <si>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</si>
  <si>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</si>
  <si>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</si>
  <si>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</si>
  <si>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</si>
  <si>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</si>
  <si>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</si>
  <si>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</si>
  <si>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</si>
  <si>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</si>
  <si>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</si>
  <si>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</si>
  <si>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</si>
  <si>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</si>
  <si>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</si>
  <si>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</si>
  <si>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</si>
  <si>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</si>
  <si>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</si>
  <si>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</si>
  <si>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</si>
  <si>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</si>
  <si>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</si>
  <si>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</si>
  <si>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</si>
  <si>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</si>
  <si>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</si>
  <si>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</si>
  <si>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</si>
  <si>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</si>
  <si>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</si>
  <si>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</si>
  <si>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</si>
  <si>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</si>
  <si>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</si>
  <si>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</si>
  <si>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</si>
  <si>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</si>
  <si>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</si>
  <si>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</si>
  <si>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</si>
  <si>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</si>
  <si>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</si>
  <si>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</si>
  <si>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</si>
  <si>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</si>
  <si>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</si>
  <si>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</si>
  <si>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</si>
  <si>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</si>
  <si>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</si>
  <si>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</si>
  <si>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</si>
  <si>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</si>
  <si>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</si>
  <si>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</si>
  <si>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</si>
  <si>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</si>
  <si>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</si>
  <si>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</si>
  <si>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</si>
  <si>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</si>
  <si>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</si>
  <si>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</si>
  <si>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</si>
  <si>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</si>
  <si>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</si>
  <si>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</si>
  <si>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</si>
  <si>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</si>
  <si>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</si>
  <si>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</si>
  <si>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</si>
  <si>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</si>
  <si>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</si>
  <si>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</si>
  <si>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</si>
  <si>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</si>
  <si>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</si>
  <si>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</si>
  <si>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</si>
  <si>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</si>
  <si>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</si>
  <si>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</si>
  <si>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</si>
  <si>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</si>
  <si>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</si>
  <si>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</si>
  <si>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</si>
  <si>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</si>
  <si>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</si>
  <si>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</si>
  <si>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</si>
  <si>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</si>
  <si>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</si>
  <si>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</si>
  <si>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</si>
  <si>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</si>
  <si>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</si>
  <si>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</si>
  <si>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</si>
  <si>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</si>
  <si>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</si>
  <si>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</si>
  <si>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</si>
  <si>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</si>
  <si>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</si>
  <si>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</si>
  <si>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</si>
  <si>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</si>
  <si>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</si>
  <si>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</si>
  <si>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</si>
  <si>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</si>
  <si>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</si>
  <si>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</si>
  <si>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</si>
  <si>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</si>
  <si>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</si>
  <si>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</si>
  <si>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</si>
  <si>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</si>
  <si>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</si>
  <si>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</si>
  <si>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</si>
  <si>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</si>
  <si>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</si>
  <si>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</si>
  <si>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</si>
  <si>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</si>
  <si>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</si>
  <si>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</si>
  <si>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</si>
  <si>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</si>
  <si>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</si>
  <si>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</si>
  <si>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</si>
  <si>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</si>
  <si>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</si>
  <si>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</si>
  <si>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</si>
  <si>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</si>
  <si>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</si>
  <si>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</si>
  <si>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</si>
  <si>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</si>
  <si>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</si>
  <si>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</si>
  <si>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</si>
  <si>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</si>
  <si>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</si>
  <si>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</si>
  <si>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</si>
  <si>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</si>
  <si>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</si>
  <si>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</si>
  <si>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</si>
  <si>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</si>
  <si>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</si>
  <si>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</si>
  <si>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</si>
  <si>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</si>
  <si>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</si>
  <si>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</si>
  <si>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</si>
  <si>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</si>
  <si>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</si>
  <si>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</si>
  <si>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</si>
  <si>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</si>
  <si>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</si>
  <si>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</si>
  <si>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</si>
  <si>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</si>
  <si>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</si>
  <si>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</si>
  <si>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</si>
  <si>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</si>
  <si>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</si>
  <si>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</si>
  <si>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</si>
  <si>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</si>
  <si>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</si>
  <si>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</si>
  <si>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</si>
  <si>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</si>
  <si>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</si>
  <si>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</si>
  <si>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</si>
  <si>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</si>
  <si>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</si>
  <si>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</si>
  <si>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</si>
  <si>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</si>
  <si>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</si>
  <si>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</si>
  <si>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</si>
  <si>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</si>
  <si>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</si>
  <si>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</si>
  <si>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</si>
  <si>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</si>
  <si>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</si>
  <si>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</si>
  <si>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</si>
  <si>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</si>
  <si>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</si>
  <si>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</si>
  <si>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</si>
  <si>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</si>
  <si>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</si>
  <si>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</si>
  <si>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</si>
  <si>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</si>
  <si>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</si>
  <si>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</si>
  <si>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</si>
  <si>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</si>
  <si>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</si>
  <si>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</si>
  <si>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</si>
  <si>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</si>
  <si>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</si>
  <si>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</si>
  <si>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</si>
  <si>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</si>
  <si>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</si>
  <si>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</si>
  <si>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</si>
  <si>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</si>
  <si>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</si>
  <si>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</si>
  <si>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</si>
  <si>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</si>
  <si>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</si>
  <si>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</si>
  <si>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</si>
  <si>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</si>
  <si>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</si>
  <si>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</si>
  <si>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</si>
  <si>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</si>
  <si>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</si>
  <si>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</si>
  <si>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</si>
  <si>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</si>
  <si>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</si>
  <si>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</si>
  <si>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</si>
  <si>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</si>
  <si>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</si>
  <si>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</si>
  <si>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</si>
  <si>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</si>
  <si>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</si>
  <si>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</si>
  <si>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</si>
  <si>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</si>
  <si>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</si>
  <si>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</si>
  <si>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</si>
  <si>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</si>
  <si>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</si>
  <si>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</si>
  <si>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</si>
  <si>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</si>
  <si>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</si>
  <si>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</si>
  <si>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</si>
  <si>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</si>
  <si>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</si>
  <si>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</si>
  <si>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</si>
  <si>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</si>
  <si>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</si>
  <si>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</si>
  <si>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</si>
  <si>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</si>
  <si>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</si>
  <si>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</si>
  <si>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</si>
  <si>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</si>
  <si>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</si>
  <si>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</si>
  <si>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</si>
  <si>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</si>
  <si>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</si>
  <si>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</si>
  <si>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</si>
  <si>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</si>
  <si>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</si>
  <si>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</si>
  <si>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</si>
  <si>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</si>
  <si>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</si>
  <si>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</si>
  <si>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</si>
  <si>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</si>
  <si>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</si>
  <si>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</si>
  <si>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</si>
  <si>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</si>
  <si>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</si>
  <si>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</si>
  <si>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</si>
  <si>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</si>
  <si>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</si>
  <si>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</si>
  <si>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</si>
  <si>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</si>
  <si>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</si>
  <si>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</si>
  <si>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</si>
  <si>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</si>
  <si>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</si>
  <si>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</si>
  <si>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</si>
  <si>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</si>
  <si>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</si>
  <si>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</si>
  <si>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</si>
  <si>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</si>
  <si>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</si>
  <si>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</si>
  <si>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</si>
  <si>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</si>
  <si>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</si>
  <si>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</si>
  <si>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</si>
  <si>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</si>
  <si>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</si>
  <si>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</si>
  <si>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</si>
  <si>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</si>
  <si>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</si>
  <si>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</si>
  <si>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</si>
  <si>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</si>
  <si>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</si>
  <si>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</si>
  <si>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</si>
  <si>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</si>
  <si>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</si>
  <si>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</si>
  <si>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</si>
  <si>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</si>
  <si>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</si>
  <si>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</si>
  <si>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</si>
  <si>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</si>
  <si>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</si>
  <si>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</si>
  <si>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</si>
  <si>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</si>
  <si>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</si>
  <si>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</si>
  <si>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</si>
  <si>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</si>
  <si>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</si>
  <si>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</si>
  <si>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</si>
  <si>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</si>
  <si>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</si>
  <si>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</si>
  <si>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</si>
  <si>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</si>
  <si>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</si>
  <si>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Errol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</si>
</sst>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9FDCA-4509-49C2-B593-5088865E2362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60" sqref="H66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171</v>
      </c>
      <c r="C2" s="21">
        <v>171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25197.54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1209.54</v>
      </c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6851.41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24058.11</v>
      </c>
      <c r="G13" s="18">
        <v>238.28</v>
      </c>
      <c r="H13" s="18">
        <f>611.5+6271+265.26+485.55+384.2</f>
        <v>8017.51</v>
      </c>
      <c r="I13" s="18"/>
      <c r="J13" s="67">
        <f>SUM(I434)</f>
        <v>171652.87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57316.600000000006</v>
      </c>
      <c r="G19" s="41">
        <f>SUM(G9:G18)</f>
        <v>238.28</v>
      </c>
      <c r="H19" s="41">
        <f>SUM(H9:H18)</f>
        <v>8017.51</v>
      </c>
      <c r="I19" s="41">
        <f>SUM(I9:I18)</f>
        <v>0</v>
      </c>
      <c r="J19" s="41">
        <f>SUM(J9:J18)</f>
        <v>171652.87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f>32884.38-32663.32</f>
        <v>221.05999999999767</v>
      </c>
      <c r="H23" s="18">
        <f>7605.01-974.66</f>
        <v>6630.35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>
        <f>0.92</f>
        <v>0.92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2115.69</v>
      </c>
      <c r="G25" s="18">
        <v>17.22</v>
      </c>
      <c r="H25" s="18">
        <f>412.5</f>
        <v>412.5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15868.42</v>
      </c>
      <c r="G31" s="18"/>
      <c r="H31" s="18">
        <f>4.1+512.1+457.54</f>
        <v>973.74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17984.11</v>
      </c>
      <c r="G33" s="41">
        <f>SUM(G23:G32)</f>
        <v>238.27999999999767</v>
      </c>
      <c r="H33" s="41">
        <f>SUM(H23:H32)</f>
        <v>8017.51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20628.72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151024.15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39332.49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39332.49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171652.87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57316.6</v>
      </c>
      <c r="G44" s="41">
        <f>G43+G33</f>
        <v>238.27999999999767</v>
      </c>
      <c r="H44" s="41">
        <f>H43+H33</f>
        <v>8017.51</v>
      </c>
      <c r="I44" s="41">
        <f>I43+I33</f>
        <v>0</v>
      </c>
      <c r="J44" s="41">
        <f>J43+J33</f>
        <v>171652.87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217384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217384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80546.759999999995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80546.759999999995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95.45</v>
      </c>
      <c r="G88" s="18"/>
      <c r="H88" s="18"/>
      <c r="I88" s="18"/>
      <c r="J88" s="18">
        <v>287.05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7782.16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0.04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95.490000000000009</v>
      </c>
      <c r="G103" s="41">
        <f>SUM(G88:G102)</f>
        <v>7782.16</v>
      </c>
      <c r="H103" s="41">
        <f>SUM(H88:H102)</f>
        <v>0</v>
      </c>
      <c r="I103" s="41">
        <f>SUM(I88:I102)</f>
        <v>0</v>
      </c>
      <c r="J103" s="41">
        <f>SUM(J88:J102)</f>
        <v>287.05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298026.25</v>
      </c>
      <c r="G104" s="41">
        <f>G52+G103</f>
        <v>7782.16</v>
      </c>
      <c r="H104" s="41">
        <f>H52+H71+H86+H103</f>
        <v>0</v>
      </c>
      <c r="I104" s="41">
        <f>I52+I103</f>
        <v>0</v>
      </c>
      <c r="J104" s="41">
        <f>J52+J103</f>
        <v>287.05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9137.14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175410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3504.86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188052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236.42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>
        <v>2710.64</v>
      </c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2947.06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188052</v>
      </c>
      <c r="G132" s="41">
        <f>G113+SUM(G128:G129)</f>
        <v>2947.06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19917.52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5921.94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3769.38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10694.99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92.39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92.39</v>
      </c>
      <c r="G154" s="41">
        <f>SUM(G142:G153)</f>
        <v>3769.38</v>
      </c>
      <c r="H154" s="41">
        <f>SUM(H142:H153)</f>
        <v>36534.449999999997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8956.56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>
        <v>462.87</v>
      </c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9511.82</v>
      </c>
      <c r="G161" s="41">
        <f>G139+G154+SUM(G155:G160)</f>
        <v>3769.38</v>
      </c>
      <c r="H161" s="41">
        <f>H139+H154+SUM(H155:H160)</f>
        <v>36534.449999999997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8022.9</v>
      </c>
      <c r="H171" s="18"/>
      <c r="I171" s="18"/>
      <c r="J171" s="18">
        <v>21000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8022.9</v>
      </c>
      <c r="H175" s="41">
        <f>SUM(H171:H174)</f>
        <v>0</v>
      </c>
      <c r="I175" s="41">
        <f>SUM(I171:I174)</f>
        <v>0</v>
      </c>
      <c r="J175" s="41">
        <f>SUM(J171:J174)</f>
        <v>21000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8022.9</v>
      </c>
      <c r="H184" s="41">
        <f>+H175+SUM(H180:H183)</f>
        <v>0</v>
      </c>
      <c r="I184" s="41">
        <f>I169+I175+SUM(I180:I183)</f>
        <v>0</v>
      </c>
      <c r="J184" s="41">
        <f>J175</f>
        <v>21000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495590.07</v>
      </c>
      <c r="G185" s="47">
        <f>G104+G132+G161+G184</f>
        <v>22521.5</v>
      </c>
      <c r="H185" s="47">
        <f>H104+H132+H161+H184</f>
        <v>36534.449999999997</v>
      </c>
      <c r="I185" s="47">
        <f>I104+I132+I161+I184</f>
        <v>0</v>
      </c>
      <c r="J185" s="47">
        <f>J104+J132+J184</f>
        <v>21287.05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119287.99</f>
        <v>119287.99</v>
      </c>
      <c r="G189" s="18">
        <f>45375.77</f>
        <v>45375.77</v>
      </c>
      <c r="H189" s="18">
        <f>1837.68</f>
        <v>1837.68</v>
      </c>
      <c r="I189" s="18">
        <f>7982.47</f>
        <v>7982.47</v>
      </c>
      <c r="J189" s="18"/>
      <c r="K189" s="18"/>
      <c r="L189" s="19">
        <f>SUM(F189:K189)</f>
        <v>174483.91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10664.11</f>
        <v>10664.11</v>
      </c>
      <c r="G190" s="18">
        <f>1368.88</f>
        <v>1368.88</v>
      </c>
      <c r="H190" s="18">
        <f>39.51+50.6+1300.12</f>
        <v>1390.2299999999998</v>
      </c>
      <c r="I190" s="18">
        <v>687.5</v>
      </c>
      <c r="J190" s="18"/>
      <c r="K190" s="18"/>
      <c r="L190" s="19">
        <f>SUM(F190:K190)</f>
        <v>14110.720000000001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997.5</v>
      </c>
      <c r="G192" s="18">
        <v>154.03</v>
      </c>
      <c r="H192" s="18"/>
      <c r="I192" s="18"/>
      <c r="J192" s="18"/>
      <c r="K192" s="18"/>
      <c r="L192" s="19">
        <f>SUM(F192:K192)</f>
        <v>1151.53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7970.4</f>
        <v>7970.4</v>
      </c>
      <c r="G194" s="18">
        <f>3043.83</f>
        <v>3043.83</v>
      </c>
      <c r="H194" s="18">
        <f>240.18+742.6+526+4381.58+3613.72+2586.75</f>
        <v>12090.83</v>
      </c>
      <c r="I194" s="18">
        <f>215.65+241.51</f>
        <v>457.15999999999997</v>
      </c>
      <c r="J194" s="18">
        <f>86.3</f>
        <v>86.3</v>
      </c>
      <c r="K194" s="18"/>
      <c r="L194" s="19">
        <f t="shared" ref="L194:L200" si="0">SUM(F194:K194)</f>
        <v>23648.519999999997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250+697.74</f>
        <v>947.74</v>
      </c>
      <c r="G195" s="18">
        <f>200.56+59.39</f>
        <v>259.95</v>
      </c>
      <c r="H195" s="18">
        <f>658</f>
        <v>658</v>
      </c>
      <c r="I195" s="18">
        <f>2465.5+2455.8</f>
        <v>4921.3</v>
      </c>
      <c r="J195" s="18"/>
      <c r="K195" s="18"/>
      <c r="L195" s="19">
        <f t="shared" si="0"/>
        <v>6786.99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1430*0.646</f>
        <v>923.78</v>
      </c>
      <c r="G196" s="18">
        <f>114.08*0.646</f>
        <v>73.695679999999996</v>
      </c>
      <c r="H196" s="18">
        <f>(225+100+498.6+3250+43185)*0.646</f>
        <v>30529.0556</v>
      </c>
      <c r="I196" s="18">
        <f>436.72*0.646</f>
        <v>282.12112000000002</v>
      </c>
      <c r="J196" s="18"/>
      <c r="K196" s="18">
        <f>1497.24*0.646</f>
        <v>967.21704</v>
      </c>
      <c r="L196" s="19">
        <f t="shared" si="0"/>
        <v>32775.869440000002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29990.7</v>
      </c>
      <c r="G197" s="18">
        <v>10433.98</v>
      </c>
      <c r="H197" s="18">
        <f>3970.07</f>
        <v>3970.07</v>
      </c>
      <c r="I197" s="18">
        <v>519.66999999999996</v>
      </c>
      <c r="J197" s="18"/>
      <c r="K197" s="18">
        <v>945</v>
      </c>
      <c r="L197" s="19">
        <f t="shared" si="0"/>
        <v>45859.42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9689.6299999999992</v>
      </c>
      <c r="G199" s="18">
        <v>1013.75</v>
      </c>
      <c r="H199" s="18">
        <f>7814.27+1045.78</f>
        <v>8860.0500000000011</v>
      </c>
      <c r="I199" s="18">
        <v>11580.84</v>
      </c>
      <c r="J199" s="18"/>
      <c r="K199" s="18"/>
      <c r="L199" s="19">
        <f t="shared" si="0"/>
        <v>31144.27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75+20121.07</f>
        <v>20196.07</v>
      </c>
      <c r="I200" s="18"/>
      <c r="J200" s="18"/>
      <c r="K200" s="18"/>
      <c r="L200" s="19">
        <f t="shared" si="0"/>
        <v>20196.07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180471.85</v>
      </c>
      <c r="G203" s="41">
        <f t="shared" si="1"/>
        <v>61723.885679999992</v>
      </c>
      <c r="H203" s="41">
        <f t="shared" si="1"/>
        <v>79531.9856</v>
      </c>
      <c r="I203" s="41">
        <f t="shared" si="1"/>
        <v>26431.061119999998</v>
      </c>
      <c r="J203" s="41">
        <f t="shared" si="1"/>
        <v>86.3</v>
      </c>
      <c r="K203" s="41">
        <f t="shared" si="1"/>
        <v>1912.21704</v>
      </c>
      <c r="L203" s="41">
        <f t="shared" si="1"/>
        <v>350157.29944000003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92202.240000000005</v>
      </c>
      <c r="I225" s="18"/>
      <c r="J225" s="18"/>
      <c r="K225" s="18"/>
      <c r="L225" s="19">
        <f>SUM(F225:K225)</f>
        <v>92202.240000000005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21.61+19243.84</f>
        <v>19265.45</v>
      </c>
      <c r="I226" s="18"/>
      <c r="J226" s="18"/>
      <c r="K226" s="18"/>
      <c r="L226" s="19">
        <f>SUM(F226:K226)</f>
        <v>19265.45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f>2498.5</f>
        <v>2498.5</v>
      </c>
      <c r="I230" s="18"/>
      <c r="J230" s="18"/>
      <c r="K230" s="18"/>
      <c r="L230" s="19">
        <f t="shared" ref="L230:L236" si="4">SUM(F230:K230)</f>
        <v>2498.5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1430*0.354</f>
        <v>506.21999999999997</v>
      </c>
      <c r="G232" s="18">
        <f>114.08*0.354</f>
        <v>40.384319999999995</v>
      </c>
      <c r="H232" s="18">
        <f>(225+100+498.6+3250+43185)*0.354</f>
        <v>16729.544399999999</v>
      </c>
      <c r="I232" s="18">
        <f>436.72*0.354</f>
        <v>154.59888000000001</v>
      </c>
      <c r="J232" s="18"/>
      <c r="K232" s="18">
        <f>1497.24*0.354</f>
        <v>530.02296000000001</v>
      </c>
      <c r="L232" s="19">
        <f t="shared" si="4"/>
        <v>17960.770559999997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506.21999999999997</v>
      </c>
      <c r="G239" s="41">
        <f t="shared" si="5"/>
        <v>40.384319999999995</v>
      </c>
      <c r="H239" s="41">
        <f t="shared" si="5"/>
        <v>130695.7344</v>
      </c>
      <c r="I239" s="41">
        <f t="shared" si="5"/>
        <v>154.59888000000001</v>
      </c>
      <c r="J239" s="41">
        <f t="shared" si="5"/>
        <v>0</v>
      </c>
      <c r="K239" s="41">
        <f t="shared" si="5"/>
        <v>530.02296000000001</v>
      </c>
      <c r="L239" s="41">
        <f t="shared" si="5"/>
        <v>131926.96056000001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180978.07</v>
      </c>
      <c r="G249" s="41">
        <f t="shared" si="8"/>
        <v>61764.26999999999</v>
      </c>
      <c r="H249" s="41">
        <f t="shared" si="8"/>
        <v>210227.72</v>
      </c>
      <c r="I249" s="41">
        <f t="shared" si="8"/>
        <v>26585.66</v>
      </c>
      <c r="J249" s="41">
        <f t="shared" si="8"/>
        <v>86.3</v>
      </c>
      <c r="K249" s="41">
        <f t="shared" si="8"/>
        <v>2442.2399999999998</v>
      </c>
      <c r="L249" s="41">
        <f t="shared" si="8"/>
        <v>482084.26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8022.9</v>
      </c>
      <c r="L255" s="19">
        <f>SUM(F255:K255)</f>
        <v>8022.9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21000</v>
      </c>
      <c r="L258" s="19">
        <f t="shared" si="9"/>
        <v>21000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29022.9</v>
      </c>
      <c r="L262" s="41">
        <f t="shared" si="9"/>
        <v>29022.9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180978.07</v>
      </c>
      <c r="G263" s="42">
        <f t="shared" si="11"/>
        <v>61764.26999999999</v>
      </c>
      <c r="H263" s="42">
        <f t="shared" si="11"/>
        <v>210227.72</v>
      </c>
      <c r="I263" s="42">
        <f t="shared" si="11"/>
        <v>26585.66</v>
      </c>
      <c r="J263" s="42">
        <f t="shared" si="11"/>
        <v>86.3</v>
      </c>
      <c r="K263" s="42">
        <f t="shared" si="11"/>
        <v>31465.14</v>
      </c>
      <c r="L263" s="42">
        <f t="shared" si="11"/>
        <v>511107.16000000003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191.69</f>
        <v>191.69</v>
      </c>
      <c r="G268" s="18">
        <f>14.65</f>
        <v>14.65</v>
      </c>
      <c r="H268" s="18">
        <f>5867.18+155.6</f>
        <v>6022.7800000000007</v>
      </c>
      <c r="I268" s="18">
        <f>2201.65</f>
        <v>2201.65</v>
      </c>
      <c r="J268" s="18">
        <f>5801.91+720.07</f>
        <v>6521.98</v>
      </c>
      <c r="K268" s="18"/>
      <c r="L268" s="19">
        <f>SUM(F268:K268)</f>
        <v>14952.75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5978.07+3487.68</f>
        <v>9465.75</v>
      </c>
      <c r="G269" s="18">
        <f>266.79</f>
        <v>266.79000000000002</v>
      </c>
      <c r="H269" s="18"/>
      <c r="I269" s="18">
        <f>412.5</f>
        <v>412.5</v>
      </c>
      <c r="J269" s="18"/>
      <c r="K269" s="18">
        <f>511107.16-L263</f>
        <v>0</v>
      </c>
      <c r="L269" s="19">
        <f>SUM(F269:K269)</f>
        <v>10145.040000000001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462.87</f>
        <v>462.87</v>
      </c>
      <c r="I273" s="18"/>
      <c r="J273" s="18"/>
      <c r="K273" s="18"/>
      <c r="L273" s="19">
        <f t="shared" ref="L273:L279" si="12">SUM(F273:K273)</f>
        <v>462.87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f>1608.98+837.5</f>
        <v>2446.48</v>
      </c>
      <c r="G274" s="18">
        <f>190.97+108.33</f>
        <v>299.3</v>
      </c>
      <c r="H274" s="18">
        <f>740.84+75+1759.41+783.08+1417.6</f>
        <v>4775.93</v>
      </c>
      <c r="I274" s="18"/>
      <c r="J274" s="18">
        <f>444.95+199</f>
        <v>643.95000000000005</v>
      </c>
      <c r="K274" s="18">
        <f>1497</f>
        <v>1497</v>
      </c>
      <c r="L274" s="19">
        <f t="shared" si="12"/>
        <v>9662.66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>
        <f>215.89+292.93+250.66+22.68+183.97</f>
        <v>966.13</v>
      </c>
      <c r="L277" s="19">
        <f t="shared" si="12"/>
        <v>966.13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>
        <f>345</f>
        <v>345</v>
      </c>
      <c r="I279" s="18"/>
      <c r="J279" s="18"/>
      <c r="K279" s="18"/>
      <c r="L279" s="19">
        <f t="shared" si="12"/>
        <v>345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12103.92</v>
      </c>
      <c r="G282" s="42">
        <f t="shared" si="13"/>
        <v>580.74</v>
      </c>
      <c r="H282" s="42">
        <f t="shared" si="13"/>
        <v>11606.580000000002</v>
      </c>
      <c r="I282" s="42">
        <f t="shared" si="13"/>
        <v>2614.15</v>
      </c>
      <c r="J282" s="42">
        <f t="shared" si="13"/>
        <v>7165.9299999999994</v>
      </c>
      <c r="K282" s="42">
        <f t="shared" si="13"/>
        <v>2463.13</v>
      </c>
      <c r="L282" s="41">
        <f t="shared" si="13"/>
        <v>36534.449999999997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12103.92</v>
      </c>
      <c r="G330" s="41">
        <f t="shared" si="20"/>
        <v>580.74</v>
      </c>
      <c r="H330" s="41">
        <f t="shared" si="20"/>
        <v>11606.580000000002</v>
      </c>
      <c r="I330" s="41">
        <f t="shared" si="20"/>
        <v>2614.15</v>
      </c>
      <c r="J330" s="41">
        <f t="shared" si="20"/>
        <v>7165.9299999999994</v>
      </c>
      <c r="K330" s="41">
        <f t="shared" si="20"/>
        <v>2463.13</v>
      </c>
      <c r="L330" s="41">
        <f t="shared" si="20"/>
        <v>36534.449999999997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12103.92</v>
      </c>
      <c r="G344" s="41">
        <f>G330</f>
        <v>580.74</v>
      </c>
      <c r="H344" s="41">
        <f>H330</f>
        <v>11606.580000000002</v>
      </c>
      <c r="I344" s="41">
        <f>I330</f>
        <v>2614.15</v>
      </c>
      <c r="J344" s="41">
        <f>J330</f>
        <v>7165.9299999999994</v>
      </c>
      <c r="K344" s="47">
        <f>K330+K343</f>
        <v>2463.13</v>
      </c>
      <c r="L344" s="41">
        <f>L330+L343</f>
        <v>36534.449999999997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13293.13</v>
      </c>
      <c r="G350" s="18">
        <v>1380.11</v>
      </c>
      <c r="H350" s="18">
        <f>91</f>
        <v>91</v>
      </c>
      <c r="I350" s="18">
        <f>4911.62+2710.64</f>
        <v>7622.26</v>
      </c>
      <c r="J350" s="18"/>
      <c r="K350" s="18">
        <v>135</v>
      </c>
      <c r="L350" s="13">
        <f>SUM(F350:K350)</f>
        <v>22521.5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13293.13</v>
      </c>
      <c r="G354" s="47">
        <f t="shared" si="22"/>
        <v>1380.11</v>
      </c>
      <c r="H354" s="47">
        <f t="shared" si="22"/>
        <v>91</v>
      </c>
      <c r="I354" s="47">
        <f t="shared" si="22"/>
        <v>7622.26</v>
      </c>
      <c r="J354" s="47">
        <f t="shared" si="22"/>
        <v>0</v>
      </c>
      <c r="K354" s="47">
        <f t="shared" si="22"/>
        <v>135</v>
      </c>
      <c r="L354" s="47">
        <f t="shared" si="22"/>
        <v>22521.5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3942.56+2710.64</f>
        <v>6653.2</v>
      </c>
      <c r="G359" s="18"/>
      <c r="H359" s="18"/>
      <c r="I359" s="56">
        <f>SUM(F359:H359)</f>
        <v>6653.2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7622.26-F359</f>
        <v>969.0600000000004</v>
      </c>
      <c r="G360" s="63"/>
      <c r="H360" s="63"/>
      <c r="I360" s="56">
        <f>SUM(F360:H360)</f>
        <v>969.0600000000004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7622.26</v>
      </c>
      <c r="G361" s="47">
        <f>SUM(G359:G360)</f>
        <v>0</v>
      </c>
      <c r="H361" s="47">
        <f>SUM(H359:H360)</f>
        <v>0</v>
      </c>
      <c r="I361" s="47">
        <f>SUM(I359:I360)</f>
        <v>7622.26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55.07</v>
      </c>
      <c r="I381" s="18"/>
      <c r="J381" s="24" t="s">
        <v>312</v>
      </c>
      <c r="K381" s="24" t="s">
        <v>312</v>
      </c>
      <c r="L381" s="56">
        <f t="shared" si="25"/>
        <v>55.07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>
        <f>20.11</f>
        <v>20.11</v>
      </c>
      <c r="I383" s="18"/>
      <c r="J383" s="24" t="s">
        <v>312</v>
      </c>
      <c r="K383" s="24" t="s">
        <v>312</v>
      </c>
      <c r="L383" s="56">
        <f t="shared" si="25"/>
        <v>20.11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75.180000000000007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75.180000000000007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20000</v>
      </c>
      <c r="H390" s="18">
        <v>86.16</v>
      </c>
      <c r="I390" s="18"/>
      <c r="J390" s="24" t="s">
        <v>312</v>
      </c>
      <c r="K390" s="24" t="s">
        <v>312</v>
      </c>
      <c r="L390" s="56">
        <f t="shared" si="26"/>
        <v>20086.16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35.26</v>
      </c>
      <c r="I391" s="18"/>
      <c r="J391" s="24" t="s">
        <v>312</v>
      </c>
      <c r="K391" s="24" t="s">
        <v>312</v>
      </c>
      <c r="L391" s="56">
        <f t="shared" si="26"/>
        <v>35.26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1000</v>
      </c>
      <c r="H392" s="18">
        <f>11.42+79.03</f>
        <v>90.45</v>
      </c>
      <c r="I392" s="18"/>
      <c r="J392" s="24" t="s">
        <v>312</v>
      </c>
      <c r="K392" s="24" t="s">
        <v>312</v>
      </c>
      <c r="L392" s="56">
        <f t="shared" si="26"/>
        <v>1090.45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21000</v>
      </c>
      <c r="H393" s="47">
        <f>SUM(H387:H392)</f>
        <v>211.87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21211.87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21000</v>
      </c>
      <c r="H400" s="47">
        <f>H385+H393+H399</f>
        <v>287.05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21287.05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v>800</v>
      </c>
      <c r="L418" s="56">
        <f t="shared" si="29"/>
        <v>800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800</v>
      </c>
      <c r="L419" s="47">
        <f t="shared" si="30"/>
        <v>800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800</v>
      </c>
      <c r="L426" s="47">
        <f t="shared" si="32"/>
        <v>800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>
        <f>30817.52+10340.6</f>
        <v>41158.120000000003</v>
      </c>
      <c r="G434" s="18">
        <f>171652.87-F434</f>
        <v>130494.75</v>
      </c>
      <c r="H434" s="18"/>
      <c r="I434" s="56">
        <f t="shared" si="33"/>
        <v>171652.87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41158.120000000003</v>
      </c>
      <c r="G438" s="13">
        <f>SUM(G431:G437)</f>
        <v>130494.75</v>
      </c>
      <c r="H438" s="13">
        <f>SUM(H431:H437)</f>
        <v>0</v>
      </c>
      <c r="I438" s="13">
        <f>SUM(I431:I437)</f>
        <v>171652.87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>
        <v>20628.72</v>
      </c>
      <c r="H448" s="18"/>
      <c r="I448" s="56">
        <f>SUM(F448:H448)</f>
        <v>20628.72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F434</f>
        <v>41158.120000000003</v>
      </c>
      <c r="G449" s="18">
        <f>91417.42+14422.83+4025.78</f>
        <v>109866.03</v>
      </c>
      <c r="H449" s="18"/>
      <c r="I449" s="56">
        <f>SUM(F449:H449)</f>
        <v>151024.15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41158.120000000003</v>
      </c>
      <c r="G450" s="83">
        <f>SUM(G446:G449)</f>
        <v>130494.75</v>
      </c>
      <c r="H450" s="83">
        <f>SUM(H446:H449)</f>
        <v>0</v>
      </c>
      <c r="I450" s="83">
        <f>SUM(I446:I449)</f>
        <v>171652.87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41158.120000000003</v>
      </c>
      <c r="G451" s="42">
        <f>G444+G450</f>
        <v>130494.75</v>
      </c>
      <c r="H451" s="42">
        <f>H444+H450</f>
        <v>0</v>
      </c>
      <c r="I451" s="42">
        <f>I444+I450</f>
        <v>171652.87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54849.58</v>
      </c>
      <c r="G455" s="18">
        <v>0</v>
      </c>
      <c r="H455" s="18">
        <v>0</v>
      </c>
      <c r="I455" s="18"/>
      <c r="J455" s="18">
        <v>151165.82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495590.07</v>
      </c>
      <c r="G458" s="18">
        <v>22521.5</v>
      </c>
      <c r="H458" s="18">
        <v>36534.449999999997</v>
      </c>
      <c r="I458" s="18"/>
      <c r="J458" s="18">
        <v>21287.05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495590.07</v>
      </c>
      <c r="G460" s="53">
        <f>SUM(G458:G459)</f>
        <v>22521.5</v>
      </c>
      <c r="H460" s="53">
        <f>SUM(H458:H459)</f>
        <v>36534.449999999997</v>
      </c>
      <c r="I460" s="53">
        <f>SUM(I458:I459)</f>
        <v>0</v>
      </c>
      <c r="J460" s="53">
        <f>SUM(J458:J459)</f>
        <v>21287.05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511107.16</v>
      </c>
      <c r="G462" s="18">
        <v>22521.5</v>
      </c>
      <c r="H462" s="18">
        <v>36534.449999999997</v>
      </c>
      <c r="I462" s="18"/>
      <c r="J462" s="18">
        <v>800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511107.16</v>
      </c>
      <c r="G464" s="53">
        <f>SUM(G462:G463)</f>
        <v>22521.5</v>
      </c>
      <c r="H464" s="53">
        <f>SUM(H462:H463)</f>
        <v>36534.449999999997</v>
      </c>
      <c r="I464" s="53">
        <f>SUM(I462:I463)</f>
        <v>0</v>
      </c>
      <c r="J464" s="53">
        <f>SUM(J462:J463)</f>
        <v>800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39332.490000000049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171652.87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10664.11+997.5+5978.07+3487.68</f>
        <v>21127.360000000001</v>
      </c>
      <c r="G511" s="18">
        <f>1368.88+140.54+266.79</f>
        <v>1776.21</v>
      </c>
      <c r="H511" s="18">
        <f>39.51+50.6+1300.12</f>
        <v>1390.2299999999998</v>
      </c>
      <c r="I511" s="18">
        <f>687.5+412.5</f>
        <v>1100</v>
      </c>
      <c r="J511" s="18"/>
      <c r="K511" s="18"/>
      <c r="L511" s="88">
        <f>SUM(F511:K511)</f>
        <v>25393.8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f>21.61+19243.84</f>
        <v>19265.45</v>
      </c>
      <c r="I513" s="18"/>
      <c r="J513" s="18"/>
      <c r="K513" s="18"/>
      <c r="L513" s="88">
        <f>SUM(F513:K513)</f>
        <v>19265.45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21127.360000000001</v>
      </c>
      <c r="G514" s="108">
        <f t="shared" ref="G514:L514" si="35">SUM(G511:G513)</f>
        <v>1776.21</v>
      </c>
      <c r="H514" s="108">
        <f t="shared" si="35"/>
        <v>20655.68</v>
      </c>
      <c r="I514" s="108">
        <f t="shared" si="35"/>
        <v>1100</v>
      </c>
      <c r="J514" s="108">
        <f t="shared" si="35"/>
        <v>0</v>
      </c>
      <c r="K514" s="108">
        <f t="shared" si="35"/>
        <v>0</v>
      </c>
      <c r="L514" s="89">
        <f t="shared" si="35"/>
        <v>44659.25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212.5</f>
        <v>212.5</v>
      </c>
      <c r="G516" s="18">
        <f>16.25</f>
        <v>16.25</v>
      </c>
      <c r="H516" s="18">
        <f>526+4381.58+3613.72+2586.75+462.87</f>
        <v>11570.92</v>
      </c>
      <c r="I516" s="18"/>
      <c r="J516" s="18"/>
      <c r="K516" s="18"/>
      <c r="L516" s="88">
        <f>SUM(F516:K516)</f>
        <v>11799.67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2498.5</v>
      </c>
      <c r="I518" s="18"/>
      <c r="J518" s="18"/>
      <c r="K518" s="18"/>
      <c r="L518" s="88">
        <f>SUM(F518:K518)</f>
        <v>2498.5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212.5</v>
      </c>
      <c r="G519" s="89">
        <f t="shared" ref="G519:L519" si="36">SUM(G516:G518)</f>
        <v>16.25</v>
      </c>
      <c r="H519" s="89">
        <f t="shared" si="36"/>
        <v>14069.42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14298.17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f>9549.01*0.705</f>
        <v>6732.0520499999993</v>
      </c>
      <c r="I521" s="18"/>
      <c r="J521" s="18"/>
      <c r="K521" s="18">
        <v>183.97</v>
      </c>
      <c r="L521" s="88">
        <f>SUM(F521:K521)</f>
        <v>6916.0220499999996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f>9549.01*0.295</f>
        <v>2816.95795</v>
      </c>
      <c r="I523" s="18"/>
      <c r="J523" s="18"/>
      <c r="K523" s="18"/>
      <c r="L523" s="88">
        <f>SUM(F523:K523)</f>
        <v>2816.95795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9549.0099999999984</v>
      </c>
      <c r="I524" s="89">
        <f t="shared" si="37"/>
        <v>0</v>
      </c>
      <c r="J524" s="89">
        <f t="shared" si="37"/>
        <v>0</v>
      </c>
      <c r="K524" s="89">
        <f t="shared" si="37"/>
        <v>183.97</v>
      </c>
      <c r="L524" s="89">
        <f t="shared" si="37"/>
        <v>9732.98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21339.86</v>
      </c>
      <c r="G535" s="89">
        <f t="shared" ref="G535:L535" si="40">G514+G519+G524+G529+G534</f>
        <v>1792.46</v>
      </c>
      <c r="H535" s="89">
        <f t="shared" si="40"/>
        <v>44274.11</v>
      </c>
      <c r="I535" s="89">
        <f t="shared" si="40"/>
        <v>1100</v>
      </c>
      <c r="J535" s="89">
        <f t="shared" si="40"/>
        <v>0</v>
      </c>
      <c r="K535" s="89">
        <f t="shared" si="40"/>
        <v>183.97</v>
      </c>
      <c r="L535" s="89">
        <f t="shared" si="40"/>
        <v>68690.399999999994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25393.8</v>
      </c>
      <c r="G539" s="87">
        <f>L516</f>
        <v>11799.67</v>
      </c>
      <c r="H539" s="87">
        <f>L521</f>
        <v>6916.0220499999996</v>
      </c>
      <c r="I539" s="87">
        <f>L526</f>
        <v>0</v>
      </c>
      <c r="J539" s="87">
        <f>L531</f>
        <v>0</v>
      </c>
      <c r="K539" s="87">
        <f>SUM(F539:J539)</f>
        <v>44109.492050000001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19265.45</v>
      </c>
      <c r="G541" s="87">
        <f>L518</f>
        <v>2498.5</v>
      </c>
      <c r="H541" s="87">
        <f>L523</f>
        <v>2816.95795</v>
      </c>
      <c r="I541" s="87">
        <f>L528</f>
        <v>0</v>
      </c>
      <c r="J541" s="87">
        <f>L533</f>
        <v>0</v>
      </c>
      <c r="K541" s="87">
        <f>SUM(F541:J541)</f>
        <v>24580.907950000001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44659.25</v>
      </c>
      <c r="G542" s="89">
        <f t="shared" si="41"/>
        <v>14298.17</v>
      </c>
      <c r="H542" s="89">
        <f t="shared" si="41"/>
        <v>9732.98</v>
      </c>
      <c r="I542" s="89">
        <f t="shared" si="41"/>
        <v>0</v>
      </c>
      <c r="J542" s="89">
        <f t="shared" si="41"/>
        <v>0</v>
      </c>
      <c r="K542" s="89">
        <f t="shared" si="41"/>
        <v>68690.399999999994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86829.6</v>
      </c>
      <c r="I565" s="87">
        <f>SUM(F565:H565)</f>
        <v>86829.6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>
        <v>5372.64</v>
      </c>
      <c r="I568" s="87">
        <f t="shared" si="46"/>
        <v>5372.64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/>
      <c r="I569" s="87">
        <f t="shared" si="46"/>
        <v>0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1300.1199999999999</v>
      </c>
      <c r="G572" s="18"/>
      <c r="H572" s="18"/>
      <c r="I572" s="87">
        <f t="shared" si="46"/>
        <v>1300.1199999999999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19243.84</v>
      </c>
      <c r="I573" s="87">
        <f t="shared" si="46"/>
        <v>19243.84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20196.07</v>
      </c>
      <c r="I581" s="18"/>
      <c r="J581" s="18"/>
      <c r="K581" s="104">
        <f t="shared" ref="K581:K587" si="47">SUM(H581:J581)</f>
        <v>20196.07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7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7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20196.07</v>
      </c>
      <c r="I588" s="108">
        <f>SUM(I581:I587)</f>
        <v>0</v>
      </c>
      <c r="J588" s="108">
        <f>SUM(J581:J587)</f>
        <v>0</v>
      </c>
      <c r="K588" s="108">
        <f>SUM(K581:K587)</f>
        <v>20196.07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7252.23</v>
      </c>
      <c r="I594" s="18"/>
      <c r="J594" s="18"/>
      <c r="K594" s="104">
        <f>SUM(H594:J594)</f>
        <v>7252.23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7252.23</v>
      </c>
      <c r="I595" s="108">
        <f>SUM(I592:I594)</f>
        <v>0</v>
      </c>
      <c r="J595" s="108">
        <f>SUM(J592:J594)</f>
        <v>0</v>
      </c>
      <c r="K595" s="108">
        <f>SUM(K592:K594)</f>
        <v>7252.23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997.5</v>
      </c>
      <c r="G601" s="18">
        <v>154.03</v>
      </c>
      <c r="H601" s="18"/>
      <c r="I601" s="18"/>
      <c r="J601" s="18"/>
      <c r="K601" s="18"/>
      <c r="L601" s="88">
        <f>SUM(F601:K601)</f>
        <v>1151.53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997.5</v>
      </c>
      <c r="G604" s="108">
        <f t="shared" si="48"/>
        <v>154.03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1151.53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57316.600000000006</v>
      </c>
      <c r="H607" s="109">
        <f>SUM(F44)</f>
        <v>57316.6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238.28</v>
      </c>
      <c r="H608" s="109">
        <f>SUM(G44)</f>
        <v>238.27999999999767</v>
      </c>
      <c r="I608" s="121" t="s">
        <v>102</v>
      </c>
      <c r="J608" s="109">
        <f>G608-H608</f>
        <v>2.3305801732931286E-12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8017.51</v>
      </c>
      <c r="H609" s="109">
        <f>SUM(H44)</f>
        <v>8017.51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171652.87</v>
      </c>
      <c r="H611" s="109">
        <f>SUM(J44)</f>
        <v>171652.87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39332.49</v>
      </c>
      <c r="H612" s="109">
        <f>F466</f>
        <v>39332.490000000049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171652.87</v>
      </c>
      <c r="H616" s="109">
        <f>J466</f>
        <v>171652.87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495590.07</v>
      </c>
      <c r="H617" s="104">
        <f>SUM(F458)</f>
        <v>495590.07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22521.5</v>
      </c>
      <c r="H618" s="104">
        <f>SUM(G458)</f>
        <v>22521.5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36534.449999999997</v>
      </c>
      <c r="H619" s="104">
        <f>SUM(H458)</f>
        <v>36534.449999999997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21287.05</v>
      </c>
      <c r="H621" s="104">
        <f>SUM(J458)</f>
        <v>21287.05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511107.16000000003</v>
      </c>
      <c r="H622" s="104">
        <f>SUM(F462)</f>
        <v>511107.16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36534.449999999997</v>
      </c>
      <c r="H623" s="104">
        <f>SUM(H462)</f>
        <v>36534.449999999997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7622.26</v>
      </c>
      <c r="H624" s="104">
        <f>I361</f>
        <v>7622.26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22521.5</v>
      </c>
      <c r="H625" s="104">
        <f>SUM(G462)</f>
        <v>22521.5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21287.05</v>
      </c>
      <c r="H627" s="164">
        <f>SUM(J458)</f>
        <v>21287.05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800</v>
      </c>
      <c r="H628" s="164">
        <f>SUM(J462)</f>
        <v>800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41158.120000000003</v>
      </c>
      <c r="H629" s="104">
        <f>SUM(F451)</f>
        <v>41158.120000000003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130494.75</v>
      </c>
      <c r="H630" s="104">
        <f>SUM(G451)</f>
        <v>130494.75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171652.87</v>
      </c>
      <c r="H632" s="104">
        <f>SUM(I451)</f>
        <v>171652.87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287.05</v>
      </c>
      <c r="H634" s="104">
        <f>H400</f>
        <v>287.05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21000</v>
      </c>
      <c r="H635" s="104">
        <f>G400</f>
        <v>21000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21287.05</v>
      </c>
      <c r="H636" s="104">
        <f>L400</f>
        <v>21287.05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20196.07</v>
      </c>
      <c r="H637" s="104">
        <f>L200+L218+L236</f>
        <v>20196.07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7252.23</v>
      </c>
      <c r="H638" s="104">
        <f>(J249+J330)-(J247+J328)</f>
        <v>7252.23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20196.07</v>
      </c>
      <c r="H639" s="104">
        <f>H588</f>
        <v>20196.07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8022.9</v>
      </c>
      <c r="H642" s="104">
        <f>K255+K337</f>
        <v>8022.9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21000</v>
      </c>
      <c r="H645" s="104">
        <f>K258+K339</f>
        <v>21000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409213.24944000004</v>
      </c>
      <c r="G650" s="19">
        <f>(L221+L301+L351)</f>
        <v>0</v>
      </c>
      <c r="H650" s="19">
        <f>(L239+L320+L352)</f>
        <v>131926.96056000001</v>
      </c>
      <c r="I650" s="19">
        <f>SUM(F650:H650)</f>
        <v>541140.21000000008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7782.16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7782.16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20541.07</v>
      </c>
      <c r="G652" s="19">
        <f>(L218+L298)-(J218+J298)</f>
        <v>0</v>
      </c>
      <c r="H652" s="19">
        <f>(L236+L317)-(J236+J317)</f>
        <v>0</v>
      </c>
      <c r="I652" s="19">
        <f>SUM(F652:H652)</f>
        <v>20541.07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9703.8799999999992</v>
      </c>
      <c r="G653" s="200">
        <f>SUM(G565:G577)+SUM(I592:I594)+L602</f>
        <v>0</v>
      </c>
      <c r="H653" s="200">
        <f>SUM(H565:H577)+SUM(J592:J594)+L603</f>
        <v>111446.08</v>
      </c>
      <c r="I653" s="19">
        <f>SUM(F653:H653)</f>
        <v>121149.96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371186.13944000006</v>
      </c>
      <c r="G654" s="19">
        <f>G650-SUM(G651:G653)</f>
        <v>0</v>
      </c>
      <c r="H654" s="19">
        <f>H650-SUM(H651:H653)</f>
        <v>20480.880560000005</v>
      </c>
      <c r="I654" s="19">
        <f>I650-SUM(I651:I653)</f>
        <v>391667.02000000008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13.77</v>
      </c>
      <c r="G655" s="249"/>
      <c r="H655" s="249"/>
      <c r="I655" s="19">
        <f>SUM(F655:H655)</f>
        <v>13.77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26956.15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28443.5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-20480.88</v>
      </c>
      <c r="I659" s="19">
        <f>SUM(F659:H659)</f>
        <v>-20480.88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26956.15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26956.15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copies="5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08DC6-2D58-474F-BD26-0B3118989D46}">
  <sheetPr>
    <tabColor indexed="20"/>
  </sheetPr>
  <dimension ref="A1:C52"/>
  <sheetViews>
    <sheetView topLeftCell="A10" workbookViewId="0">
      <selection activeCell="B16" sqref="B16:C1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Errol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119479.68000000001</v>
      </c>
      <c r="C9" s="230">
        <f>'DOE25'!G189+'DOE25'!G207+'DOE25'!G225+'DOE25'!G268+'DOE25'!G287+'DOE25'!G306</f>
        <v>45390.42</v>
      </c>
    </row>
    <row r="10" spans="1:3" x14ac:dyDescent="0.2">
      <c r="A10" t="s">
        <v>813</v>
      </c>
      <c r="B10" s="241">
        <v>114916.53</v>
      </c>
      <c r="C10" s="241">
        <v>44991.15</v>
      </c>
    </row>
    <row r="11" spans="1:3" x14ac:dyDescent="0.2">
      <c r="A11" t="s">
        <v>814</v>
      </c>
      <c r="B11" s="241">
        <v>3907.46</v>
      </c>
      <c r="C11" s="241">
        <v>341.9</v>
      </c>
    </row>
    <row r="12" spans="1:3" x14ac:dyDescent="0.2">
      <c r="A12" t="s">
        <v>815</v>
      </c>
      <c r="B12" s="241">
        <v>655.69</v>
      </c>
      <c r="C12" s="241">
        <v>57.37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119479.68000000001</v>
      </c>
      <c r="C13" s="232">
        <f>SUM(C10:C12)</f>
        <v>45390.420000000006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20129.86</v>
      </c>
      <c r="C18" s="230">
        <f>'DOE25'!G190+'DOE25'!G208+'DOE25'!G226+'DOE25'!G269+'DOE25'!G288+'DOE25'!G307</f>
        <v>1635.67</v>
      </c>
    </row>
    <row r="19" spans="1:3" x14ac:dyDescent="0.2">
      <c r="A19" t="s">
        <v>813</v>
      </c>
      <c r="B19" s="241">
        <v>16343.4</v>
      </c>
      <c r="C19" s="241">
        <v>1304.3499999999999</v>
      </c>
    </row>
    <row r="20" spans="1:3" x14ac:dyDescent="0.2">
      <c r="A20" t="s">
        <v>814</v>
      </c>
      <c r="B20" s="241">
        <v>3715.77</v>
      </c>
      <c r="C20" s="241">
        <v>325.13</v>
      </c>
    </row>
    <row r="21" spans="1:3" x14ac:dyDescent="0.2">
      <c r="A21" t="s">
        <v>815</v>
      </c>
      <c r="B21" s="241">
        <v>70.69</v>
      </c>
      <c r="C21" s="241">
        <v>6.19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20129.859999999997</v>
      </c>
      <c r="C22" s="232">
        <f>SUM(C19:C21)</f>
        <v>1635.67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997.5</v>
      </c>
      <c r="C36" s="236">
        <f>'DOE25'!G192+'DOE25'!G210+'DOE25'!G228+'DOE25'!G271+'DOE25'!G290+'DOE25'!G309</f>
        <v>154.03</v>
      </c>
    </row>
    <row r="37" spans="1:3" x14ac:dyDescent="0.2">
      <c r="A37" t="s">
        <v>813</v>
      </c>
      <c r="B37" s="241">
        <v>997.5</v>
      </c>
      <c r="C37" s="241">
        <v>154.03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997.5</v>
      </c>
      <c r="C40" s="232">
        <f>SUM(C37:C39)</f>
        <v>154.03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4CE0-C0F1-4821-A2D6-65C156BE255A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Errol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301213.84999999998</v>
      </c>
      <c r="D5" s="20">
        <f>SUM('DOE25'!L189:L192)+SUM('DOE25'!L207:L210)+SUM('DOE25'!L225:L228)-F5-G5</f>
        <v>301213.84999999998</v>
      </c>
      <c r="E5" s="244"/>
      <c r="F5" s="256">
        <f>SUM('DOE25'!J189:J192)+SUM('DOE25'!J207:J210)+SUM('DOE25'!J225:J228)</f>
        <v>0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26147.019999999997</v>
      </c>
      <c r="D6" s="20">
        <f>'DOE25'!L194+'DOE25'!L212+'DOE25'!L230-F6-G6</f>
        <v>26060.719999999998</v>
      </c>
      <c r="E6" s="244"/>
      <c r="F6" s="256">
        <f>'DOE25'!J194+'DOE25'!J212+'DOE25'!J230</f>
        <v>86.3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6786.99</v>
      </c>
      <c r="D7" s="20">
        <f>'DOE25'!L195+'DOE25'!L213+'DOE25'!L231-F7-G7</f>
        <v>6786.99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33606.06</v>
      </c>
      <c r="D8" s="244"/>
      <c r="E8" s="20">
        <f>'DOE25'!L196+'DOE25'!L214+'DOE25'!L232-F8-G8-D9-D11</f>
        <v>32108.82</v>
      </c>
      <c r="F8" s="256">
        <f>'DOE25'!J196+'DOE25'!J214+'DOE25'!J232</f>
        <v>0</v>
      </c>
      <c r="G8" s="53">
        <f>'DOE25'!K196+'DOE25'!K214+'DOE25'!K232</f>
        <v>1497.24</v>
      </c>
      <c r="H8" s="260"/>
    </row>
    <row r="9" spans="1:9" x14ac:dyDescent="0.2">
      <c r="A9" s="32">
        <v>2310</v>
      </c>
      <c r="B9" t="s">
        <v>852</v>
      </c>
      <c r="C9" s="246">
        <f t="shared" si="0"/>
        <v>7551.64</v>
      </c>
      <c r="D9" s="245">
        <v>7551.64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3250</v>
      </c>
      <c r="D10" s="244"/>
      <c r="E10" s="245">
        <v>3250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9578.94</v>
      </c>
      <c r="D11" s="245">
        <v>9578.94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45859.42</v>
      </c>
      <c r="D12" s="20">
        <f>'DOE25'!L197+'DOE25'!L215+'DOE25'!L233-F12-G12</f>
        <v>44914.42</v>
      </c>
      <c r="E12" s="244"/>
      <c r="F12" s="256">
        <f>'DOE25'!J197+'DOE25'!J215+'DOE25'!J233</f>
        <v>0</v>
      </c>
      <c r="G12" s="53">
        <f>'DOE25'!K197+'DOE25'!K215+'DOE25'!K233</f>
        <v>945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31144.27</v>
      </c>
      <c r="D14" s="20">
        <f>'DOE25'!L199+'DOE25'!L217+'DOE25'!L235-F14-G14</f>
        <v>31144.27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20196.07</v>
      </c>
      <c r="D15" s="20">
        <f>'DOE25'!L200+'DOE25'!L218+'DOE25'!L236-F15-G15</f>
        <v>20196.07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15868.3</v>
      </c>
      <c r="D29" s="20">
        <f>'DOE25'!L350+'DOE25'!L351+'DOE25'!L352-'DOE25'!I359-F29-G29</f>
        <v>15733.3</v>
      </c>
      <c r="E29" s="244"/>
      <c r="F29" s="256">
        <f>'DOE25'!J350+'DOE25'!J351+'DOE25'!J352</f>
        <v>0</v>
      </c>
      <c r="G29" s="53">
        <f>'DOE25'!K350+'DOE25'!K351+'DOE25'!K352</f>
        <v>135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36534.44999999999</v>
      </c>
      <c r="D31" s="20">
        <f>'DOE25'!L282+'DOE25'!L301+'DOE25'!L320+'DOE25'!L325+'DOE25'!L326+'DOE25'!L327-F31-G31</f>
        <v>26905.389999999996</v>
      </c>
      <c r="E31" s="244"/>
      <c r="F31" s="256">
        <f>'DOE25'!J282+'DOE25'!J301+'DOE25'!J320+'DOE25'!J325+'DOE25'!J326+'DOE25'!J327</f>
        <v>7165.9299999999994</v>
      </c>
      <c r="G31" s="53">
        <f>'DOE25'!K282+'DOE25'!K301+'DOE25'!K320+'DOE25'!K325+'DOE25'!K326+'DOE25'!K327</f>
        <v>2463.13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490085.58999999997</v>
      </c>
      <c r="E33" s="247">
        <f>SUM(E5:E31)</f>
        <v>35358.82</v>
      </c>
      <c r="F33" s="247">
        <f>SUM(F5:F31)</f>
        <v>7252.23</v>
      </c>
      <c r="G33" s="247">
        <f>SUM(G5:G31)</f>
        <v>5040.37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35358.82</v>
      </c>
      <c r="E35" s="250"/>
    </row>
    <row r="36" spans="2:8" ht="12" thickTop="1" x14ac:dyDescent="0.2">
      <c r="B36" t="s">
        <v>849</v>
      </c>
      <c r="D36" s="20">
        <f>D33</f>
        <v>490085.58999999997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56AAA-16AB-4319-B9EF-62111CB83394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Errol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25197.54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1209.54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6851.41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24058.11</v>
      </c>
      <c r="D13" s="95">
        <f>'DOE25'!G13</f>
        <v>238.28</v>
      </c>
      <c r="E13" s="95">
        <f>'DOE25'!H13</f>
        <v>8017.51</v>
      </c>
      <c r="F13" s="95">
        <f>'DOE25'!I13</f>
        <v>0</v>
      </c>
      <c r="G13" s="95">
        <f>'DOE25'!J13</f>
        <v>171652.87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57316.600000000006</v>
      </c>
      <c r="D19" s="41">
        <f>SUM(D9:D18)</f>
        <v>238.28</v>
      </c>
      <c r="E19" s="41">
        <f>SUM(E9:E18)</f>
        <v>8017.51</v>
      </c>
      <c r="F19" s="41">
        <f>SUM(F9:F18)</f>
        <v>0</v>
      </c>
      <c r="G19" s="41">
        <f>SUM(G9:G18)</f>
        <v>171652.87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221.05999999999767</v>
      </c>
      <c r="E22" s="95">
        <f>'DOE25'!H23</f>
        <v>6630.35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0.92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2115.69</v>
      </c>
      <c r="D24" s="95">
        <f>'DOE25'!G25</f>
        <v>17.22</v>
      </c>
      <c r="E24" s="95">
        <f>'DOE25'!H25</f>
        <v>412.5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15868.42</v>
      </c>
      <c r="D30" s="95">
        <f>'DOE25'!G31</f>
        <v>0</v>
      </c>
      <c r="E30" s="95">
        <f>'DOE25'!H31</f>
        <v>973.74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17984.11</v>
      </c>
      <c r="D32" s="41">
        <f>SUM(D22:D31)</f>
        <v>238.27999999999767</v>
      </c>
      <c r="E32" s="41">
        <f>SUM(E22:E31)</f>
        <v>8017.51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20628.72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151024.15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39332.49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39332.49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171652.87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57316.6</v>
      </c>
      <c r="D43" s="41">
        <f>D42+D32</f>
        <v>238.27999999999767</v>
      </c>
      <c r="E43" s="41">
        <f>E42+E32</f>
        <v>8017.51</v>
      </c>
      <c r="F43" s="41">
        <f>F42+F32</f>
        <v>0</v>
      </c>
      <c r="G43" s="41">
        <f>G42+G32</f>
        <v>171652.87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217384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80546.759999999995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95.45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287.05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7782.16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0.04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80642.249999999985</v>
      </c>
      <c r="D54" s="130">
        <f>SUM(D49:D53)</f>
        <v>7782.16</v>
      </c>
      <c r="E54" s="130">
        <f>SUM(E49:E53)</f>
        <v>0</v>
      </c>
      <c r="F54" s="130">
        <f>SUM(F49:F53)</f>
        <v>0</v>
      </c>
      <c r="G54" s="130">
        <f>SUM(G49:G53)</f>
        <v>287.05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298026.25</v>
      </c>
      <c r="D55" s="22">
        <f>D48+D54</f>
        <v>7782.16</v>
      </c>
      <c r="E55" s="22">
        <f>E48+E54</f>
        <v>0</v>
      </c>
      <c r="F55" s="22">
        <f>F48+F54</f>
        <v>0</v>
      </c>
      <c r="G55" s="22">
        <f>G48+G54</f>
        <v>287.05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9137.14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175410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3504.86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188052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2947.06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2947.06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188052</v>
      </c>
      <c r="D73" s="130">
        <f>SUM(D71:D72)+D70+D62</f>
        <v>2947.06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19917.52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92.39</v>
      </c>
      <c r="D80" s="95">
        <f>SUM('DOE25'!G145:G153)</f>
        <v>3769.38</v>
      </c>
      <c r="E80" s="95">
        <f>SUM('DOE25'!H145:H153)</f>
        <v>16616.93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462.87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8956.56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9511.82</v>
      </c>
      <c r="D83" s="131">
        <f>SUM(D77:D82)</f>
        <v>3769.38</v>
      </c>
      <c r="E83" s="131">
        <f>SUM(E77:E82)</f>
        <v>36534.449999999997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8022.9</v>
      </c>
      <c r="E88" s="95">
        <f>'DOE25'!H171</f>
        <v>0</v>
      </c>
      <c r="F88" s="95">
        <f>'DOE25'!I171</f>
        <v>0</v>
      </c>
      <c r="G88" s="95">
        <f>'DOE25'!J171</f>
        <v>21000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8022.9</v>
      </c>
      <c r="E95" s="86">
        <f>SUM(E85:E94)</f>
        <v>0</v>
      </c>
      <c r="F95" s="86">
        <f>SUM(F85:F94)</f>
        <v>0</v>
      </c>
      <c r="G95" s="86">
        <f>SUM(G85:G94)</f>
        <v>21000</v>
      </c>
    </row>
    <row r="96" spans="1:7" ht="12.75" thickTop="1" thickBot="1" x14ac:dyDescent="0.25">
      <c r="A96" s="33" t="s">
        <v>797</v>
      </c>
      <c r="C96" s="86">
        <f>C55+C73+C83+C95</f>
        <v>495590.07</v>
      </c>
      <c r="D96" s="86">
        <f>D55+D73+D83+D95</f>
        <v>22521.5</v>
      </c>
      <c r="E96" s="86">
        <f>E55+E73+E83+E95</f>
        <v>36534.449999999997</v>
      </c>
      <c r="F96" s="86">
        <f>F55+F73+F83+F95</f>
        <v>0</v>
      </c>
      <c r="G96" s="86">
        <f>G55+G73+G95</f>
        <v>21287.05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266686.15000000002</v>
      </c>
      <c r="D101" s="24" t="s">
        <v>312</v>
      </c>
      <c r="E101" s="95">
        <f>('DOE25'!L268)+('DOE25'!L287)+('DOE25'!L306)</f>
        <v>14952.75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33376.17</v>
      </c>
      <c r="D102" s="24" t="s">
        <v>312</v>
      </c>
      <c r="E102" s="95">
        <f>('DOE25'!L269)+('DOE25'!L288)+('DOE25'!L307)</f>
        <v>10145.040000000001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1151.53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301213.85000000003</v>
      </c>
      <c r="D107" s="86">
        <f>SUM(D101:D106)</f>
        <v>0</v>
      </c>
      <c r="E107" s="86">
        <f>SUM(E101:E106)</f>
        <v>25097.79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26147.019999999997</v>
      </c>
      <c r="D110" s="24" t="s">
        <v>312</v>
      </c>
      <c r="E110" s="95">
        <f>+('DOE25'!L273)+('DOE25'!L292)+('DOE25'!L311)</f>
        <v>462.87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6786.99</v>
      </c>
      <c r="D111" s="24" t="s">
        <v>312</v>
      </c>
      <c r="E111" s="95">
        <f>+('DOE25'!L274)+('DOE25'!L293)+('DOE25'!L312)</f>
        <v>9662.66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50736.639999999999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45859.42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966.13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31144.27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20196.07</v>
      </c>
      <c r="D116" s="24" t="s">
        <v>312</v>
      </c>
      <c r="E116" s="95">
        <f>+('DOE25'!L279)+('DOE25'!L298)+('DOE25'!L317)</f>
        <v>345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22521.5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180870.41</v>
      </c>
      <c r="D120" s="86">
        <f>SUM(D110:D119)</f>
        <v>22521.5</v>
      </c>
      <c r="E120" s="86">
        <f>SUM(E110:E119)</f>
        <v>11436.66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800</v>
      </c>
    </row>
    <row r="127" spans="1:7" x14ac:dyDescent="0.2">
      <c r="A127" t="s">
        <v>256</v>
      </c>
      <c r="B127" s="32" t="s">
        <v>257</v>
      </c>
      <c r="C127" s="95">
        <f>'DOE25'!L255</f>
        <v>8022.9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75.180000000000007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21211.87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-287.04999999999927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29022.899999999998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800</v>
      </c>
    </row>
    <row r="137" spans="1:9" ht="12.75" thickTop="1" thickBot="1" x14ac:dyDescent="0.25">
      <c r="A137" s="33" t="s">
        <v>267</v>
      </c>
      <c r="C137" s="86">
        <f>(C107+C120+C136)</f>
        <v>511107.16000000003</v>
      </c>
      <c r="D137" s="86">
        <f>(D107+D120+D136)</f>
        <v>22521.5</v>
      </c>
      <c r="E137" s="86">
        <f>(E107+E120+E136)</f>
        <v>36534.449999999997</v>
      </c>
      <c r="F137" s="86">
        <f>(F107+F120+F136)</f>
        <v>0</v>
      </c>
      <c r="G137" s="86">
        <f>(G107+G120+G136)</f>
        <v>800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BA37-9843-4BFD-A645-E767B16C530E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Errol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26956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26956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281639</v>
      </c>
      <c r="D10" s="182">
        <f>ROUND((C10/$C$28)*100,1)</f>
        <v>52.8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43521</v>
      </c>
      <c r="D11" s="182">
        <f>ROUND((C11/$C$28)*100,1)</f>
        <v>8.1999999999999993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1152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26610</v>
      </c>
      <c r="D15" s="182">
        <f t="shared" ref="D15:D27" si="0">ROUND((C15/$C$28)*100,1)</f>
        <v>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16450</v>
      </c>
      <c r="D16" s="182">
        <f t="shared" si="0"/>
        <v>3.1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50737</v>
      </c>
      <c r="D17" s="182">
        <f t="shared" si="0"/>
        <v>9.5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45859</v>
      </c>
      <c r="D18" s="182">
        <f t="shared" si="0"/>
        <v>8.6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966</v>
      </c>
      <c r="D19" s="182">
        <f t="shared" si="0"/>
        <v>0.2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31144</v>
      </c>
      <c r="D20" s="182">
        <f t="shared" si="0"/>
        <v>5.8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20541</v>
      </c>
      <c r="D21" s="182">
        <f t="shared" si="0"/>
        <v>3.9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14739.84</v>
      </c>
      <c r="D27" s="182">
        <f t="shared" si="0"/>
        <v>2.8</v>
      </c>
    </row>
    <row r="28" spans="1:4" x14ac:dyDescent="0.2">
      <c r="B28" s="187" t="s">
        <v>754</v>
      </c>
      <c r="C28" s="180">
        <f>SUM(C10:C27)</f>
        <v>533358.84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533358.84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217384</v>
      </c>
      <c r="D35" s="182">
        <f t="shared" ref="D35:D40" si="1">ROUND((C35/$C$41)*100,1)</f>
        <v>40.299999999999997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80929.299999999988</v>
      </c>
      <c r="D36" s="182">
        <f t="shared" si="1"/>
        <v>15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184547</v>
      </c>
      <c r="D37" s="182">
        <f t="shared" si="1"/>
        <v>34.200000000000003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6452</v>
      </c>
      <c r="D38" s="182">
        <f t="shared" si="1"/>
        <v>1.2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49816</v>
      </c>
      <c r="D39" s="182">
        <f t="shared" si="1"/>
        <v>9.1999999999999993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539128.30000000005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3C44-43AD-45CC-8119-38A47AF3D15C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Errol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7"/>
      <c r="Q40" s="297"/>
      <c r="R40" s="297"/>
      <c r="S40" s="297"/>
      <c r="T40" s="297"/>
      <c r="U40" s="297"/>
      <c r="V40" s="297"/>
      <c r="W40" s="297"/>
      <c r="X40" s="297"/>
      <c r="Y40" s="297"/>
      <c r="Z40" s="297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3:M43"/>
    <mergeCell ref="IC40:IM40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GC39:GM39"/>
    <mergeCell ref="DC40:DM40"/>
    <mergeCell ref="EP40:EZ40"/>
    <mergeCell ref="DP40:DZ40"/>
    <mergeCell ref="P39:Z39"/>
    <mergeCell ref="AC39:AM39"/>
    <mergeCell ref="AP39:AZ39"/>
    <mergeCell ref="CP39:CZ39"/>
    <mergeCell ref="BP39:BZ39"/>
    <mergeCell ref="CC39:CM39"/>
    <mergeCell ref="DC39:DM39"/>
    <mergeCell ref="DP39:DZ39"/>
    <mergeCell ref="EC39:EM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2010-09-08T17:52:31Z</cp:lastPrinted>
  <dcterms:created xsi:type="dcterms:W3CDTF">1997-12-04T19:04:30Z</dcterms:created>
  <dcterms:modified xsi:type="dcterms:W3CDTF">2025-01-09T19:26:34Z</dcterms:modified>
</cp:coreProperties>
</file>