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06782322-A021-40CA-BF37-BAA9A45EAB89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B6F1EF20-6910-45EA-A357-015632F21C8E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8" i="1" l="1"/>
  <c r="F14" i="1"/>
  <c r="F39" i="1"/>
  <c r="G381" i="1"/>
  <c r="F462" i="1"/>
  <c r="K258" i="1"/>
  <c r="K262" i="1" s="1"/>
  <c r="L262" i="1" s="1"/>
  <c r="G432" i="1"/>
  <c r="J171" i="1"/>
  <c r="H226" i="1"/>
  <c r="H190" i="1"/>
  <c r="F569" i="1"/>
  <c r="I569" i="1" s="1"/>
  <c r="H533" i="1"/>
  <c r="H534" i="1" s="1"/>
  <c r="H531" i="1"/>
  <c r="G601" i="1"/>
  <c r="F601" i="1"/>
  <c r="C11" i="12"/>
  <c r="C36" i="12"/>
  <c r="C37" i="12"/>
  <c r="C40" i="12" s="1"/>
  <c r="A40" i="12" s="1"/>
  <c r="B36" i="12"/>
  <c r="B37" i="12"/>
  <c r="B21" i="12"/>
  <c r="B20" i="12"/>
  <c r="B19" i="12"/>
  <c r="B22" i="12" s="1"/>
  <c r="H497" i="1"/>
  <c r="I497" i="1" s="1"/>
  <c r="G497" i="1"/>
  <c r="F655" i="1"/>
  <c r="H235" i="1"/>
  <c r="F432" i="1"/>
  <c r="J594" i="1"/>
  <c r="H594" i="1"/>
  <c r="J582" i="1"/>
  <c r="J584" i="1"/>
  <c r="J583" i="1"/>
  <c r="H381" i="1"/>
  <c r="L381" i="1" s="1"/>
  <c r="H387" i="1"/>
  <c r="L387" i="1" s="1"/>
  <c r="L393" i="1" s="1"/>
  <c r="C131" i="2" s="1"/>
  <c r="F533" i="1"/>
  <c r="H518" i="1"/>
  <c r="H516" i="1"/>
  <c r="G518" i="1"/>
  <c r="G516" i="1"/>
  <c r="F518" i="1"/>
  <c r="F516" i="1"/>
  <c r="J513" i="1"/>
  <c r="J511" i="1"/>
  <c r="I513" i="1"/>
  <c r="I511" i="1"/>
  <c r="L511" i="1" s="1"/>
  <c r="H513" i="1"/>
  <c r="L513" i="1" s="1"/>
  <c r="F541" i="1" s="1"/>
  <c r="H511" i="1"/>
  <c r="G513" i="1"/>
  <c r="G511" i="1"/>
  <c r="F513" i="1"/>
  <c r="F511" i="1"/>
  <c r="F489" i="1"/>
  <c r="G438" i="1"/>
  <c r="G449" i="1"/>
  <c r="F438" i="1"/>
  <c r="F449" i="1" s="1"/>
  <c r="G307" i="1"/>
  <c r="G320" i="1" s="1"/>
  <c r="F307" i="1"/>
  <c r="L307" i="1" s="1"/>
  <c r="I268" i="1"/>
  <c r="J306" i="1"/>
  <c r="I312" i="1"/>
  <c r="H312" i="1"/>
  <c r="H306" i="1"/>
  <c r="G225" i="1"/>
  <c r="C9" i="12" s="1"/>
  <c r="L237" i="1"/>
  <c r="K248" i="1"/>
  <c r="K226" i="1"/>
  <c r="J226" i="1"/>
  <c r="J239" i="1" s="1"/>
  <c r="I236" i="1"/>
  <c r="I239" i="1" s="1"/>
  <c r="I249" i="1" s="1"/>
  <c r="I263" i="1" s="1"/>
  <c r="I235" i="1"/>
  <c r="I231" i="1"/>
  <c r="I226" i="1"/>
  <c r="I225" i="1"/>
  <c r="H236" i="1"/>
  <c r="H230" i="1"/>
  <c r="H227" i="1"/>
  <c r="H225" i="1"/>
  <c r="G236" i="1"/>
  <c r="G235" i="1"/>
  <c r="G231" i="1"/>
  <c r="G226" i="1"/>
  <c r="G239" i="1" s="1"/>
  <c r="F236" i="1"/>
  <c r="F235" i="1"/>
  <c r="L235" i="1"/>
  <c r="F231" i="1"/>
  <c r="L231" i="1" s="1"/>
  <c r="F225" i="1"/>
  <c r="L225" i="1"/>
  <c r="F226" i="1"/>
  <c r="C60" i="2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E16" i="13" s="1"/>
  <c r="C16" i="13" s="1"/>
  <c r="G16" i="13"/>
  <c r="L201" i="1"/>
  <c r="L219" i="1"/>
  <c r="G5" i="13"/>
  <c r="L189" i="1"/>
  <c r="L190" i="1"/>
  <c r="L191" i="1"/>
  <c r="L192" i="1"/>
  <c r="C13" i="10" s="1"/>
  <c r="L207" i="1"/>
  <c r="C10" i="10" s="1"/>
  <c r="L208" i="1"/>
  <c r="L209" i="1"/>
  <c r="L210" i="1"/>
  <c r="L227" i="1"/>
  <c r="L228" i="1"/>
  <c r="F6" i="13"/>
  <c r="G6" i="13"/>
  <c r="G33" i="13" s="1"/>
  <c r="L194" i="1"/>
  <c r="L212" i="1"/>
  <c r="L230" i="1"/>
  <c r="C15" i="10" s="1"/>
  <c r="D6" i="13"/>
  <c r="F7" i="13"/>
  <c r="G7" i="13"/>
  <c r="L195" i="1"/>
  <c r="L213" i="1"/>
  <c r="F12" i="13"/>
  <c r="G12" i="13"/>
  <c r="L197" i="1"/>
  <c r="L215" i="1"/>
  <c r="L233" i="1"/>
  <c r="C18" i="10" s="1"/>
  <c r="D12" i="13"/>
  <c r="C12" i="13" s="1"/>
  <c r="F14" i="13"/>
  <c r="G14" i="13"/>
  <c r="L199" i="1"/>
  <c r="L217" i="1"/>
  <c r="F15" i="13"/>
  <c r="G15" i="13"/>
  <c r="L200" i="1"/>
  <c r="L218" i="1"/>
  <c r="F17" i="13"/>
  <c r="D17" i="13" s="1"/>
  <c r="C17" i="13" s="1"/>
  <c r="G17" i="13"/>
  <c r="L243" i="1"/>
  <c r="F18" i="13"/>
  <c r="G18" i="13"/>
  <c r="L244" i="1"/>
  <c r="D18" i="13"/>
  <c r="C18" i="13" s="1"/>
  <c r="F19" i="13"/>
  <c r="G19" i="13"/>
  <c r="L245" i="1"/>
  <c r="D19" i="13" s="1"/>
  <c r="C19" i="13" s="1"/>
  <c r="F29" i="13"/>
  <c r="G29" i="13"/>
  <c r="L350" i="1"/>
  <c r="L351" i="1"/>
  <c r="L352" i="1"/>
  <c r="L354" i="1" s="1"/>
  <c r="I359" i="1"/>
  <c r="J282" i="1"/>
  <c r="F31" i="13" s="1"/>
  <c r="J301" i="1"/>
  <c r="J320" i="1"/>
  <c r="K282" i="1"/>
  <c r="K301" i="1"/>
  <c r="G31" i="13" s="1"/>
  <c r="K320" i="1"/>
  <c r="L268" i="1"/>
  <c r="L269" i="1"/>
  <c r="L282" i="1" s="1"/>
  <c r="L270" i="1"/>
  <c r="L271" i="1"/>
  <c r="L273" i="1"/>
  <c r="L274" i="1"/>
  <c r="L275" i="1"/>
  <c r="L276" i="1"/>
  <c r="L277" i="1"/>
  <c r="L278" i="1"/>
  <c r="C20" i="10" s="1"/>
  <c r="L279" i="1"/>
  <c r="F652" i="1" s="1"/>
  <c r="L280" i="1"/>
  <c r="L287" i="1"/>
  <c r="L288" i="1"/>
  <c r="L301" i="1" s="1"/>
  <c r="L289" i="1"/>
  <c r="L290" i="1"/>
  <c r="L292" i="1"/>
  <c r="L293" i="1"/>
  <c r="L294" i="1"/>
  <c r="L295" i="1"/>
  <c r="L296" i="1"/>
  <c r="C19" i="10" s="1"/>
  <c r="L297" i="1"/>
  <c r="L298" i="1"/>
  <c r="L299" i="1"/>
  <c r="L306" i="1"/>
  <c r="L308" i="1"/>
  <c r="L309" i="1"/>
  <c r="L311" i="1"/>
  <c r="L312" i="1"/>
  <c r="L313" i="1"/>
  <c r="L314" i="1"/>
  <c r="E113" i="2" s="1"/>
  <c r="L315" i="1"/>
  <c r="L316" i="1"/>
  <c r="L317" i="1"/>
  <c r="L318" i="1"/>
  <c r="L325" i="1"/>
  <c r="L326" i="1"/>
  <c r="L327" i="1"/>
  <c r="L252" i="1"/>
  <c r="L253" i="1"/>
  <c r="C25" i="10" s="1"/>
  <c r="L333" i="1"/>
  <c r="E123" i="2" s="1"/>
  <c r="E136" i="2" s="1"/>
  <c r="L334" i="1"/>
  <c r="L247" i="1"/>
  <c r="L328" i="1"/>
  <c r="F22" i="13"/>
  <c r="C22" i="13"/>
  <c r="C11" i="13"/>
  <c r="C10" i="13"/>
  <c r="C9" i="13"/>
  <c r="C6" i="13"/>
  <c r="L353" i="1"/>
  <c r="B4" i="12"/>
  <c r="B40" i="12"/>
  <c r="B27" i="12"/>
  <c r="C27" i="12"/>
  <c r="B31" i="12"/>
  <c r="C31" i="12"/>
  <c r="A31" i="12"/>
  <c r="B9" i="12"/>
  <c r="A13" i="12" s="1"/>
  <c r="B13" i="12"/>
  <c r="C13" i="12"/>
  <c r="C22" i="12"/>
  <c r="B1" i="12"/>
  <c r="L379" i="1"/>
  <c r="L385" i="1" s="1"/>
  <c r="L380" i="1"/>
  <c r="L382" i="1"/>
  <c r="L383" i="1"/>
  <c r="L384" i="1"/>
  <c r="L388" i="1"/>
  <c r="L389" i="1"/>
  <c r="L390" i="1"/>
  <c r="L391" i="1"/>
  <c r="L392" i="1"/>
  <c r="L395" i="1"/>
  <c r="L396" i="1"/>
  <c r="L397" i="1"/>
  <c r="L398" i="1"/>
  <c r="L399" i="1" s="1"/>
  <c r="C132" i="2" s="1"/>
  <c r="L258" i="1"/>
  <c r="J52" i="1"/>
  <c r="J104" i="1" s="1"/>
  <c r="J185" i="1" s="1"/>
  <c r="G48" i="2"/>
  <c r="G51" i="2"/>
  <c r="G53" i="2"/>
  <c r="G54" i="2" s="1"/>
  <c r="F2" i="11"/>
  <c r="L603" i="1"/>
  <c r="H653" i="1" s="1"/>
  <c r="L602" i="1"/>
  <c r="G653" i="1" s="1"/>
  <c r="L601" i="1"/>
  <c r="F653" i="1"/>
  <c r="C40" i="10"/>
  <c r="F52" i="1"/>
  <c r="C35" i="10" s="1"/>
  <c r="G52" i="1"/>
  <c r="H52" i="1"/>
  <c r="I52" i="1"/>
  <c r="I104" i="1" s="1"/>
  <c r="F71" i="1"/>
  <c r="C49" i="2" s="1"/>
  <c r="F86" i="1"/>
  <c r="C50" i="2" s="1"/>
  <c r="F103" i="1"/>
  <c r="G103" i="1"/>
  <c r="G104" i="1"/>
  <c r="H71" i="1"/>
  <c r="H104" i="1" s="1"/>
  <c r="H86" i="1"/>
  <c r="H103" i="1"/>
  <c r="I103" i="1"/>
  <c r="J103" i="1"/>
  <c r="C37" i="10"/>
  <c r="F113" i="1"/>
  <c r="F128" i="1"/>
  <c r="F132" i="1"/>
  <c r="G113" i="1"/>
  <c r="G128" i="1"/>
  <c r="G132" i="1" s="1"/>
  <c r="H113" i="1"/>
  <c r="H128" i="1"/>
  <c r="H132" i="1"/>
  <c r="I113" i="1"/>
  <c r="I132" i="1" s="1"/>
  <c r="I128" i="1"/>
  <c r="J113" i="1"/>
  <c r="J128" i="1"/>
  <c r="J132" i="1"/>
  <c r="F139" i="1"/>
  <c r="F161" i="1" s="1"/>
  <c r="F154" i="1"/>
  <c r="G139" i="1"/>
  <c r="G154" i="1"/>
  <c r="G161" i="1" s="1"/>
  <c r="H139" i="1"/>
  <c r="H161" i="1" s="1"/>
  <c r="H154" i="1"/>
  <c r="I139" i="1"/>
  <c r="I161" i="1" s="1"/>
  <c r="I154" i="1"/>
  <c r="C12" i="10"/>
  <c r="L242" i="1"/>
  <c r="C23" i="10" s="1"/>
  <c r="L324" i="1"/>
  <c r="L246" i="1"/>
  <c r="C24" i="10"/>
  <c r="L260" i="1"/>
  <c r="L261" i="1"/>
  <c r="L341" i="1"/>
  <c r="L342" i="1"/>
  <c r="C26" i="10"/>
  <c r="I655" i="1"/>
  <c r="I660" i="1"/>
  <c r="F651" i="1"/>
  <c r="G651" i="1"/>
  <c r="I651" i="1" s="1"/>
  <c r="H651" i="1"/>
  <c r="G652" i="1"/>
  <c r="I659" i="1"/>
  <c r="C5" i="10"/>
  <c r="C42" i="10"/>
  <c r="L366" i="1"/>
  <c r="C29" i="10" s="1"/>
  <c r="L367" i="1"/>
  <c r="L368" i="1"/>
  <c r="L369" i="1"/>
  <c r="L374" i="1" s="1"/>
  <c r="G626" i="1" s="1"/>
  <c r="J626" i="1" s="1"/>
  <c r="L370" i="1"/>
  <c r="L371" i="1"/>
  <c r="L372" i="1"/>
  <c r="B2" i="10"/>
  <c r="L336" i="1"/>
  <c r="L337" i="1"/>
  <c r="L338" i="1"/>
  <c r="E129" i="2" s="1"/>
  <c r="L339" i="1"/>
  <c r="K343" i="1"/>
  <c r="L512" i="1"/>
  <c r="F540" i="1"/>
  <c r="L516" i="1"/>
  <c r="G539" i="1" s="1"/>
  <c r="L517" i="1"/>
  <c r="G540" i="1"/>
  <c r="L518" i="1"/>
  <c r="G541" i="1" s="1"/>
  <c r="L521" i="1"/>
  <c r="H539" i="1"/>
  <c r="L522" i="1"/>
  <c r="H540" i="1"/>
  <c r="L523" i="1"/>
  <c r="H541" i="1" s="1"/>
  <c r="L526" i="1"/>
  <c r="I539" i="1"/>
  <c r="L527" i="1"/>
  <c r="I540" i="1" s="1"/>
  <c r="L528" i="1"/>
  <c r="I541" i="1" s="1"/>
  <c r="L531" i="1"/>
  <c r="J539" i="1"/>
  <c r="L532" i="1"/>
  <c r="J540" i="1" s="1"/>
  <c r="E124" i="2"/>
  <c r="J262" i="1"/>
  <c r="I262" i="1"/>
  <c r="H262" i="1"/>
  <c r="G262" i="1"/>
  <c r="F262" i="1"/>
  <c r="C124" i="2"/>
  <c r="C123" i="2"/>
  <c r="A1" i="2"/>
  <c r="A2" i="2"/>
  <c r="C9" i="2"/>
  <c r="D9" i="2"/>
  <c r="E9" i="2"/>
  <c r="E19" i="2" s="1"/>
  <c r="F9" i="2"/>
  <c r="F19" i="2" s="1"/>
  <c r="I431" i="1"/>
  <c r="J9" i="1" s="1"/>
  <c r="C10" i="2"/>
  <c r="D10" i="2"/>
  <c r="E10" i="2"/>
  <c r="F10" i="2"/>
  <c r="I432" i="1"/>
  <c r="J10" i="1"/>
  <c r="G10" i="2" s="1"/>
  <c r="C11" i="2"/>
  <c r="C12" i="2"/>
  <c r="D12" i="2"/>
  <c r="E12" i="2"/>
  <c r="F12" i="2"/>
  <c r="I433" i="1"/>
  <c r="I438" i="1" s="1"/>
  <c r="G632" i="1" s="1"/>
  <c r="J12" i="1"/>
  <c r="G12" i="2" s="1"/>
  <c r="C13" i="2"/>
  <c r="D13" i="2"/>
  <c r="E13" i="2"/>
  <c r="F13" i="2"/>
  <c r="I434" i="1"/>
  <c r="J13" i="1"/>
  <c r="G13" i="2" s="1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 s="1"/>
  <c r="G18" i="2" s="1"/>
  <c r="C19" i="2"/>
  <c r="D19" i="2"/>
  <c r="C22" i="2"/>
  <c r="D22" i="2"/>
  <c r="E22" i="2"/>
  <c r="F22" i="2"/>
  <c r="I440" i="1"/>
  <c r="J23" i="1" s="1"/>
  <c r="C23" i="2"/>
  <c r="C32" i="2" s="1"/>
  <c r="D23" i="2"/>
  <c r="D32" i="2" s="1"/>
  <c r="E23" i="2"/>
  <c r="F23" i="2"/>
  <c r="I441" i="1"/>
  <c r="J24" i="1"/>
  <c r="G23" i="2" s="1"/>
  <c r="C24" i="2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E32" i="2" s="1"/>
  <c r="F28" i="2"/>
  <c r="F32" i="2" s="1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D34" i="2"/>
  <c r="E34" i="2"/>
  <c r="E42" i="2" s="1"/>
  <c r="E43" i="2" s="1"/>
  <c r="F34" i="2"/>
  <c r="F42" i="2" s="1"/>
  <c r="F43" i="2" s="1"/>
  <c r="C35" i="2"/>
  <c r="D35" i="2"/>
  <c r="E35" i="2"/>
  <c r="F35" i="2"/>
  <c r="C36" i="2"/>
  <c r="D36" i="2"/>
  <c r="D42" i="2" s="1"/>
  <c r="E36" i="2"/>
  <c r="F36" i="2"/>
  <c r="I446" i="1"/>
  <c r="J37" i="1"/>
  <c r="G36" i="2"/>
  <c r="C37" i="2"/>
  <c r="C42" i="2" s="1"/>
  <c r="C43" i="2" s="1"/>
  <c r="D37" i="2"/>
  <c r="E37" i="2"/>
  <c r="F37" i="2"/>
  <c r="I447" i="1"/>
  <c r="J38" i="1" s="1"/>
  <c r="C38" i="2"/>
  <c r="D38" i="2"/>
  <c r="E38" i="2"/>
  <c r="F38" i="2"/>
  <c r="I448" i="1"/>
  <c r="J40" i="1"/>
  <c r="G39" i="2" s="1"/>
  <c r="C40" i="2"/>
  <c r="D40" i="2"/>
  <c r="E40" i="2"/>
  <c r="F40" i="2"/>
  <c r="C41" i="2"/>
  <c r="D41" i="2"/>
  <c r="E41" i="2"/>
  <c r="F41" i="2"/>
  <c r="C48" i="2"/>
  <c r="D48" i="2"/>
  <c r="E48" i="2"/>
  <c r="F48" i="2"/>
  <c r="E50" i="2"/>
  <c r="C51" i="2"/>
  <c r="D51" i="2"/>
  <c r="D54" i="2" s="1"/>
  <c r="E51" i="2"/>
  <c r="F51" i="2"/>
  <c r="D52" i="2"/>
  <c r="C53" i="2"/>
  <c r="D53" i="2"/>
  <c r="E53" i="2"/>
  <c r="F53" i="2"/>
  <c r="F54" i="2"/>
  <c r="F55" i="2"/>
  <c r="C58" i="2"/>
  <c r="C62" i="2" s="1"/>
  <c r="C59" i="2"/>
  <c r="C61" i="2"/>
  <c r="D61" i="2"/>
  <c r="E61" i="2"/>
  <c r="E62" i="2" s="1"/>
  <c r="F61" i="2"/>
  <c r="G61" i="2"/>
  <c r="D62" i="2"/>
  <c r="F62" i="2"/>
  <c r="G62" i="2"/>
  <c r="C64" i="2"/>
  <c r="C70" i="2" s="1"/>
  <c r="F64" i="2"/>
  <c r="F70" i="2" s="1"/>
  <c r="F73" i="2" s="1"/>
  <c r="C65" i="2"/>
  <c r="F65" i="2"/>
  <c r="C66" i="2"/>
  <c r="C67" i="2"/>
  <c r="C68" i="2"/>
  <c r="E68" i="2"/>
  <c r="E70" i="2" s="1"/>
  <c r="E73" i="2" s="1"/>
  <c r="F68" i="2"/>
  <c r="C69" i="2"/>
  <c r="D69" i="2"/>
  <c r="D70" i="2" s="1"/>
  <c r="D73" i="2" s="1"/>
  <c r="E69" i="2"/>
  <c r="F69" i="2"/>
  <c r="G69" i="2"/>
  <c r="G70" i="2"/>
  <c r="G73" i="2" s="1"/>
  <c r="C71" i="2"/>
  <c r="D71" i="2"/>
  <c r="E71" i="2"/>
  <c r="C72" i="2"/>
  <c r="E72" i="2"/>
  <c r="C77" i="2"/>
  <c r="D77" i="2"/>
  <c r="D83" i="2" s="1"/>
  <c r="E77" i="2"/>
  <c r="C79" i="2"/>
  <c r="E79" i="2"/>
  <c r="F79" i="2"/>
  <c r="C80" i="2"/>
  <c r="C83" i="2" s="1"/>
  <c r="D80" i="2"/>
  <c r="E80" i="2"/>
  <c r="F80" i="2"/>
  <c r="C81" i="2"/>
  <c r="D81" i="2"/>
  <c r="E81" i="2"/>
  <c r="F81" i="2"/>
  <c r="C82" i="2"/>
  <c r="E83" i="2"/>
  <c r="C85" i="2"/>
  <c r="F85" i="2"/>
  <c r="F95" i="2" s="1"/>
  <c r="C86" i="2"/>
  <c r="F86" i="2"/>
  <c r="D88" i="2"/>
  <c r="E88" i="2"/>
  <c r="F88" i="2"/>
  <c r="G88" i="2"/>
  <c r="C89" i="2"/>
  <c r="D89" i="2"/>
  <c r="E89" i="2"/>
  <c r="F89" i="2"/>
  <c r="G89" i="2"/>
  <c r="C90" i="2"/>
  <c r="D90" i="2"/>
  <c r="E90" i="2"/>
  <c r="G90" i="2"/>
  <c r="C91" i="2"/>
  <c r="C95" i="2" s="1"/>
  <c r="D91" i="2"/>
  <c r="E91" i="2"/>
  <c r="F91" i="2"/>
  <c r="C92" i="2"/>
  <c r="D92" i="2"/>
  <c r="E92" i="2"/>
  <c r="E95" i="2" s="1"/>
  <c r="F92" i="2"/>
  <c r="C93" i="2"/>
  <c r="D93" i="2"/>
  <c r="E93" i="2"/>
  <c r="F93" i="2"/>
  <c r="C94" i="2"/>
  <c r="D94" i="2"/>
  <c r="E94" i="2"/>
  <c r="F94" i="2"/>
  <c r="D95" i="2"/>
  <c r="G95" i="2"/>
  <c r="E101" i="2"/>
  <c r="C103" i="2"/>
  <c r="E103" i="2"/>
  <c r="E104" i="2"/>
  <c r="C105" i="2"/>
  <c r="E105" i="2"/>
  <c r="C106" i="2"/>
  <c r="E106" i="2"/>
  <c r="D107" i="2"/>
  <c r="F107" i="2"/>
  <c r="G107" i="2"/>
  <c r="E110" i="2"/>
  <c r="E111" i="2"/>
  <c r="E112" i="2"/>
  <c r="C114" i="2"/>
  <c r="C117" i="2"/>
  <c r="E117" i="2"/>
  <c r="D119" i="2"/>
  <c r="D120" i="2" s="1"/>
  <c r="D137" i="2" s="1"/>
  <c r="F120" i="2"/>
  <c r="G120" i="2"/>
  <c r="C122" i="2"/>
  <c r="E122" i="2"/>
  <c r="D126" i="2"/>
  <c r="E126" i="2"/>
  <c r="F126" i="2"/>
  <c r="K411" i="1"/>
  <c r="K419" i="1"/>
  <c r="K425" i="1"/>
  <c r="K426" i="1"/>
  <c r="G126" i="2" s="1"/>
  <c r="G136" i="2" s="1"/>
  <c r="L255" i="1"/>
  <c r="C127" i="2"/>
  <c r="E127" i="2"/>
  <c r="L256" i="1"/>
  <c r="C128" i="2"/>
  <c r="L257" i="1"/>
  <c r="C129" i="2"/>
  <c r="C134" i="2"/>
  <c r="E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/>
  <c r="G490" i="1"/>
  <c r="C153" i="2" s="1"/>
  <c r="H490" i="1"/>
  <c r="D153" i="2" s="1"/>
  <c r="I490" i="1"/>
  <c r="E153" i="2" s="1"/>
  <c r="J490" i="1"/>
  <c r="F153" i="2"/>
  <c r="B154" i="2"/>
  <c r="C154" i="2"/>
  <c r="D154" i="2"/>
  <c r="G154" i="2" s="1"/>
  <c r="E154" i="2"/>
  <c r="F154" i="2"/>
  <c r="B155" i="2"/>
  <c r="C155" i="2"/>
  <c r="G155" i="2" s="1"/>
  <c r="D155" i="2"/>
  <c r="E155" i="2"/>
  <c r="F155" i="2"/>
  <c r="F493" i="1"/>
  <c r="B156" i="2"/>
  <c r="G493" i="1"/>
  <c r="K493" i="1" s="1"/>
  <c r="C156" i="2"/>
  <c r="G156" i="2" s="1"/>
  <c r="H493" i="1"/>
  <c r="D156" i="2"/>
  <c r="I493" i="1"/>
  <c r="E156" i="2"/>
  <c r="J493" i="1"/>
  <c r="F156" i="2"/>
  <c r="F19" i="1"/>
  <c r="G607" i="1" s="1"/>
  <c r="G19" i="1"/>
  <c r="H19" i="1"/>
  <c r="I19" i="1"/>
  <c r="G610" i="1" s="1"/>
  <c r="F33" i="1"/>
  <c r="G33" i="1"/>
  <c r="H33" i="1"/>
  <c r="I33" i="1"/>
  <c r="I44" i="1" s="1"/>
  <c r="H610" i="1" s="1"/>
  <c r="F43" i="1"/>
  <c r="G43" i="1"/>
  <c r="H43" i="1"/>
  <c r="H44" i="1" s="1"/>
  <c r="H609" i="1" s="1"/>
  <c r="I43" i="1"/>
  <c r="G615" i="1" s="1"/>
  <c r="F44" i="1"/>
  <c r="H607" i="1" s="1"/>
  <c r="G44" i="1"/>
  <c r="H608" i="1" s="1"/>
  <c r="F169" i="1"/>
  <c r="F184" i="1" s="1"/>
  <c r="I169" i="1"/>
  <c r="F175" i="1"/>
  <c r="G175" i="1"/>
  <c r="G184" i="1" s="1"/>
  <c r="H175" i="1"/>
  <c r="H184" i="1" s="1"/>
  <c r="I175" i="1"/>
  <c r="J175" i="1"/>
  <c r="G635" i="1" s="1"/>
  <c r="J635" i="1" s="1"/>
  <c r="F180" i="1"/>
  <c r="G180" i="1"/>
  <c r="H180" i="1"/>
  <c r="I180" i="1"/>
  <c r="I184" i="1"/>
  <c r="J184" i="1"/>
  <c r="F203" i="1"/>
  <c r="G203" i="1"/>
  <c r="H203" i="1"/>
  <c r="I203" i="1"/>
  <c r="J203" i="1"/>
  <c r="K203" i="1"/>
  <c r="F221" i="1"/>
  <c r="F249" i="1" s="1"/>
  <c r="F263" i="1" s="1"/>
  <c r="G221" i="1"/>
  <c r="G249" i="1" s="1"/>
  <c r="G263" i="1" s="1"/>
  <c r="H221" i="1"/>
  <c r="H249" i="1" s="1"/>
  <c r="H263" i="1" s="1"/>
  <c r="I221" i="1"/>
  <c r="J221" i="1"/>
  <c r="J249" i="1" s="1"/>
  <c r="K221" i="1"/>
  <c r="K249" i="1" s="1"/>
  <c r="K263" i="1" s="1"/>
  <c r="F239" i="1"/>
  <c r="H239" i="1"/>
  <c r="K239" i="1"/>
  <c r="F248" i="1"/>
  <c r="L248" i="1" s="1"/>
  <c r="G248" i="1"/>
  <c r="H248" i="1"/>
  <c r="I248" i="1"/>
  <c r="J248" i="1"/>
  <c r="F282" i="1"/>
  <c r="G282" i="1"/>
  <c r="G330" i="1" s="1"/>
  <c r="G344" i="1" s="1"/>
  <c r="H282" i="1"/>
  <c r="I282" i="1"/>
  <c r="F301" i="1"/>
  <c r="G301" i="1"/>
  <c r="H301" i="1"/>
  <c r="H330" i="1" s="1"/>
  <c r="H344" i="1" s="1"/>
  <c r="I301" i="1"/>
  <c r="H320" i="1"/>
  <c r="I320" i="1"/>
  <c r="I330" i="1" s="1"/>
  <c r="I344" i="1" s="1"/>
  <c r="F329" i="1"/>
  <c r="G329" i="1"/>
  <c r="H329" i="1"/>
  <c r="I329" i="1"/>
  <c r="J329" i="1"/>
  <c r="K329" i="1"/>
  <c r="L329" i="1" s="1"/>
  <c r="J330" i="1"/>
  <c r="J344" i="1" s="1"/>
  <c r="F354" i="1"/>
  <c r="G354" i="1"/>
  <c r="H354" i="1"/>
  <c r="I354" i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I385" i="1"/>
  <c r="F393" i="1"/>
  <c r="F400" i="1" s="1"/>
  <c r="H633" i="1" s="1"/>
  <c r="J633" i="1" s="1"/>
  <c r="G393" i="1"/>
  <c r="I393" i="1"/>
  <c r="I400" i="1" s="1"/>
  <c r="F399" i="1"/>
  <c r="G399" i="1"/>
  <c r="H399" i="1"/>
  <c r="I399" i="1"/>
  <c r="G400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F426" i="1" s="1"/>
  <c r="G411" i="1"/>
  <c r="H411" i="1"/>
  <c r="H426" i="1" s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G425" i="1"/>
  <c r="H425" i="1"/>
  <c r="I425" i="1"/>
  <c r="J425" i="1"/>
  <c r="G426" i="1"/>
  <c r="I426" i="1"/>
  <c r="J426" i="1"/>
  <c r="H438" i="1"/>
  <c r="G631" i="1" s="1"/>
  <c r="J631" i="1" s="1"/>
  <c r="F444" i="1"/>
  <c r="G444" i="1"/>
  <c r="H444" i="1"/>
  <c r="H451" i="1" s="1"/>
  <c r="H631" i="1" s="1"/>
  <c r="I444" i="1"/>
  <c r="G450" i="1"/>
  <c r="G451" i="1" s="1"/>
  <c r="H630" i="1" s="1"/>
  <c r="H450" i="1"/>
  <c r="F460" i="1"/>
  <c r="F466" i="1" s="1"/>
  <c r="H612" i="1" s="1"/>
  <c r="G460" i="1"/>
  <c r="H460" i="1"/>
  <c r="H466" i="1" s="1"/>
  <c r="H614" i="1" s="1"/>
  <c r="J614" i="1" s="1"/>
  <c r="I460" i="1"/>
  <c r="I466" i="1" s="1"/>
  <c r="H615" i="1" s="1"/>
  <c r="J460" i="1"/>
  <c r="F464" i="1"/>
  <c r="G464" i="1"/>
  <c r="G466" i="1" s="1"/>
  <c r="H613" i="1" s="1"/>
  <c r="H464" i="1"/>
  <c r="I464" i="1"/>
  <c r="J464" i="1"/>
  <c r="J466" i="1"/>
  <c r="H616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I514" i="1"/>
  <c r="I535" i="1" s="1"/>
  <c r="J514" i="1"/>
  <c r="J535" i="1" s="1"/>
  <c r="K514" i="1"/>
  <c r="F519" i="1"/>
  <c r="G519" i="1"/>
  <c r="G535" i="1" s="1"/>
  <c r="H519" i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F535" i="1" s="1"/>
  <c r="G534" i="1"/>
  <c r="I534" i="1"/>
  <c r="J534" i="1"/>
  <c r="K534" i="1"/>
  <c r="K535" i="1"/>
  <c r="L547" i="1"/>
  <c r="L548" i="1"/>
  <c r="L549" i="1"/>
  <c r="F550" i="1"/>
  <c r="G550" i="1"/>
  <c r="G561" i="1" s="1"/>
  <c r="H550" i="1"/>
  <c r="H561" i="1" s="1"/>
  <c r="I550" i="1"/>
  <c r="J550" i="1"/>
  <c r="K550" i="1"/>
  <c r="K561" i="1" s="1"/>
  <c r="L550" i="1"/>
  <c r="L552" i="1"/>
  <c r="L555" i="1" s="1"/>
  <c r="L553" i="1"/>
  <c r="L554" i="1"/>
  <c r="F555" i="1"/>
  <c r="G555" i="1"/>
  <c r="H555" i="1"/>
  <c r="I555" i="1"/>
  <c r="J555" i="1"/>
  <c r="K555" i="1"/>
  <c r="L557" i="1"/>
  <c r="L558" i="1"/>
  <c r="L560" i="1" s="1"/>
  <c r="L559" i="1"/>
  <c r="F560" i="1"/>
  <c r="G560" i="1"/>
  <c r="H560" i="1"/>
  <c r="I560" i="1"/>
  <c r="J560" i="1"/>
  <c r="K560" i="1"/>
  <c r="F561" i="1"/>
  <c r="I561" i="1"/>
  <c r="J561" i="1"/>
  <c r="I565" i="1"/>
  <c r="I566" i="1"/>
  <c r="I567" i="1"/>
  <c r="I568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H639" i="1" s="1"/>
  <c r="I588" i="1"/>
  <c r="H640" i="1" s="1"/>
  <c r="J588" i="1"/>
  <c r="K592" i="1"/>
  <c r="K593" i="1"/>
  <c r="K595" i="1" s="1"/>
  <c r="G638" i="1" s="1"/>
  <c r="K594" i="1"/>
  <c r="H595" i="1"/>
  <c r="I595" i="1"/>
  <c r="J595" i="1"/>
  <c r="F604" i="1"/>
  <c r="G604" i="1"/>
  <c r="H604" i="1"/>
  <c r="I604" i="1"/>
  <c r="J604" i="1"/>
  <c r="K604" i="1"/>
  <c r="L604" i="1"/>
  <c r="G608" i="1"/>
  <c r="J608" i="1" s="1"/>
  <c r="G609" i="1"/>
  <c r="J609" i="1" s="1"/>
  <c r="G612" i="1"/>
  <c r="J612" i="1" s="1"/>
  <c r="G613" i="1"/>
  <c r="G614" i="1"/>
  <c r="H617" i="1"/>
  <c r="H618" i="1"/>
  <c r="H619" i="1"/>
  <c r="H620" i="1"/>
  <c r="H621" i="1"/>
  <c r="H622" i="1"/>
  <c r="H623" i="1"/>
  <c r="G624" i="1"/>
  <c r="J624" i="1" s="1"/>
  <c r="H625" i="1"/>
  <c r="H626" i="1"/>
  <c r="H627" i="1"/>
  <c r="H628" i="1"/>
  <c r="G629" i="1"/>
  <c r="G630" i="1"/>
  <c r="J630" i="1" s="1"/>
  <c r="G633" i="1"/>
  <c r="G634" i="1"/>
  <c r="H635" i="1"/>
  <c r="G639" i="1"/>
  <c r="G640" i="1"/>
  <c r="J640" i="1" s="1"/>
  <c r="H641" i="1"/>
  <c r="G642" i="1"/>
  <c r="J642" i="1" s="1"/>
  <c r="H642" i="1"/>
  <c r="G643" i="1"/>
  <c r="J643" i="1" s="1"/>
  <c r="H643" i="1"/>
  <c r="G644" i="1"/>
  <c r="J644" i="1" s="1"/>
  <c r="H644" i="1"/>
  <c r="G645" i="1"/>
  <c r="H645" i="1"/>
  <c r="J645" i="1"/>
  <c r="D14" i="13"/>
  <c r="C14" i="13"/>
  <c r="C115" i="2"/>
  <c r="C130" i="2" l="1"/>
  <c r="C133" i="2" s="1"/>
  <c r="C136" i="2" s="1"/>
  <c r="L400" i="1"/>
  <c r="L320" i="1"/>
  <c r="L330" i="1" s="1"/>
  <c r="L344" i="1" s="1"/>
  <c r="G623" i="1" s="1"/>
  <c r="J623" i="1" s="1"/>
  <c r="E102" i="2"/>
  <c r="E107" i="2" s="1"/>
  <c r="F539" i="1"/>
  <c r="L514" i="1"/>
  <c r="G625" i="1"/>
  <c r="J625" i="1" s="1"/>
  <c r="C27" i="10"/>
  <c r="G542" i="1"/>
  <c r="I653" i="1"/>
  <c r="E33" i="13"/>
  <c r="D35" i="13" s="1"/>
  <c r="C8" i="13"/>
  <c r="K540" i="1"/>
  <c r="H185" i="1"/>
  <c r="G619" i="1" s="1"/>
  <c r="J619" i="1" s="1"/>
  <c r="D31" i="13"/>
  <c r="C31" i="13" s="1"/>
  <c r="I449" i="1"/>
  <c r="F450" i="1"/>
  <c r="F451" i="1" s="1"/>
  <c r="H629" i="1" s="1"/>
  <c r="J629" i="1" s="1"/>
  <c r="J613" i="1"/>
  <c r="L561" i="1"/>
  <c r="J610" i="1"/>
  <c r="C73" i="2"/>
  <c r="I542" i="1"/>
  <c r="G185" i="1"/>
  <c r="G618" i="1" s="1"/>
  <c r="J618" i="1" s="1"/>
  <c r="D15" i="13"/>
  <c r="C15" i="13" s="1"/>
  <c r="D55" i="2"/>
  <c r="D96" i="2" s="1"/>
  <c r="H638" i="1"/>
  <c r="J638" i="1" s="1"/>
  <c r="J263" i="1"/>
  <c r="E120" i="2"/>
  <c r="C55" i="2"/>
  <c r="J607" i="1"/>
  <c r="D43" i="2"/>
  <c r="C38" i="10"/>
  <c r="J615" i="1"/>
  <c r="J33" i="1"/>
  <c r="G22" i="2"/>
  <c r="G32" i="2" s="1"/>
  <c r="J19" i="1"/>
  <c r="G611" i="1" s="1"/>
  <c r="G9" i="2"/>
  <c r="G19" i="2" s="1"/>
  <c r="C39" i="10"/>
  <c r="C54" i="2"/>
  <c r="J639" i="1"/>
  <c r="G153" i="2"/>
  <c r="G37" i="2"/>
  <c r="H542" i="1"/>
  <c r="I185" i="1"/>
  <c r="G620" i="1" s="1"/>
  <c r="J620" i="1" s="1"/>
  <c r="G55" i="2"/>
  <c r="G96" i="2" s="1"/>
  <c r="G137" i="2"/>
  <c r="G621" i="1"/>
  <c r="J621" i="1" s="1"/>
  <c r="G636" i="1"/>
  <c r="C111" i="2"/>
  <c r="C16" i="10"/>
  <c r="D7" i="13"/>
  <c r="C7" i="13" s="1"/>
  <c r="H393" i="1"/>
  <c r="H514" i="1"/>
  <c r="H535" i="1" s="1"/>
  <c r="L221" i="1"/>
  <c r="G650" i="1" s="1"/>
  <c r="G654" i="1" s="1"/>
  <c r="L519" i="1"/>
  <c r="F320" i="1"/>
  <c r="F330" i="1" s="1"/>
  <c r="F344" i="1" s="1"/>
  <c r="F122" i="2"/>
  <c r="F136" i="2" s="1"/>
  <c r="F137" i="2" s="1"/>
  <c r="E115" i="2"/>
  <c r="L533" i="1"/>
  <c r="L343" i="1"/>
  <c r="L203" i="1"/>
  <c r="F104" i="1"/>
  <c r="F185" i="1" s="1"/>
  <c r="G617" i="1" s="1"/>
  <c r="J617" i="1" s="1"/>
  <c r="L236" i="1"/>
  <c r="C110" i="2"/>
  <c r="E114" i="2"/>
  <c r="F77" i="2"/>
  <c r="F83" i="2" s="1"/>
  <c r="F96" i="2" s="1"/>
  <c r="L529" i="1"/>
  <c r="E116" i="2"/>
  <c r="H385" i="1"/>
  <c r="C32" i="10"/>
  <c r="C18" i="12"/>
  <c r="F5" i="13"/>
  <c r="C113" i="2"/>
  <c r="B18" i="12"/>
  <c r="A22" i="12" s="1"/>
  <c r="D29" i="13"/>
  <c r="C29" i="13" s="1"/>
  <c r="C101" i="2"/>
  <c r="E49" i="2"/>
  <c r="E54" i="2" s="1"/>
  <c r="E55" i="2" s="1"/>
  <c r="E96" i="2" s="1"/>
  <c r="C17" i="10"/>
  <c r="L226" i="1"/>
  <c r="C112" i="2"/>
  <c r="H25" i="13"/>
  <c r="K330" i="1"/>
  <c r="K344" i="1" s="1"/>
  <c r="C104" i="2"/>
  <c r="G627" i="1" l="1"/>
  <c r="J627" i="1" s="1"/>
  <c r="H636" i="1"/>
  <c r="F650" i="1"/>
  <c r="G657" i="1"/>
  <c r="G662" i="1"/>
  <c r="F542" i="1"/>
  <c r="K539" i="1"/>
  <c r="E137" i="2"/>
  <c r="C107" i="2"/>
  <c r="C21" i="10"/>
  <c r="H652" i="1"/>
  <c r="I652" i="1" s="1"/>
  <c r="G641" i="1"/>
  <c r="J641" i="1" s="1"/>
  <c r="C116" i="2"/>
  <c r="C120" i="2" s="1"/>
  <c r="H637" i="1"/>
  <c r="J637" i="1" s="1"/>
  <c r="C96" i="2"/>
  <c r="J41" i="1"/>
  <c r="I450" i="1"/>
  <c r="I451" i="1" s="1"/>
  <c r="H632" i="1" s="1"/>
  <c r="J632" i="1" s="1"/>
  <c r="J636" i="1"/>
  <c r="L534" i="1"/>
  <c r="J541" i="1"/>
  <c r="H33" i="13"/>
  <c r="C25" i="13"/>
  <c r="H400" i="1"/>
  <c r="H634" i="1" s="1"/>
  <c r="J634" i="1" s="1"/>
  <c r="C36" i="10"/>
  <c r="D5" i="13"/>
  <c r="F33" i="13"/>
  <c r="L239" i="1"/>
  <c r="H650" i="1" s="1"/>
  <c r="H654" i="1" s="1"/>
  <c r="C11" i="10"/>
  <c r="C102" i="2"/>
  <c r="L535" i="1"/>
  <c r="G40" i="2" l="1"/>
  <c r="G42" i="2" s="1"/>
  <c r="G43" i="2" s="1"/>
  <c r="J43" i="1"/>
  <c r="C137" i="2"/>
  <c r="C41" i="10"/>
  <c r="D33" i="13"/>
  <c r="D36" i="13" s="1"/>
  <c r="C5" i="13"/>
  <c r="L249" i="1"/>
  <c r="L263" i="1" s="1"/>
  <c r="G622" i="1" s="1"/>
  <c r="J622" i="1" s="1"/>
  <c r="C28" i="10"/>
  <c r="J542" i="1"/>
  <c r="K541" i="1"/>
  <c r="K542" i="1" s="1"/>
  <c r="F654" i="1"/>
  <c r="I650" i="1"/>
  <c r="I654" i="1" s="1"/>
  <c r="H662" i="1"/>
  <c r="C6" i="10" s="1"/>
  <c r="H657" i="1"/>
  <c r="D22" i="10" l="1"/>
  <c r="D26" i="10"/>
  <c r="C30" i="10"/>
  <c r="D19" i="10"/>
  <c r="D13" i="10"/>
  <c r="D12" i="10"/>
  <c r="D20" i="10"/>
  <c r="D10" i="10"/>
  <c r="D18" i="10"/>
  <c r="D15" i="10"/>
  <c r="D23" i="10"/>
  <c r="D25" i="10"/>
  <c r="D24" i="10"/>
  <c r="D27" i="10"/>
  <c r="D16" i="10"/>
  <c r="D17" i="10"/>
  <c r="D37" i="10"/>
  <c r="D40" i="10"/>
  <c r="D35" i="10"/>
  <c r="D39" i="10"/>
  <c r="D38" i="10"/>
  <c r="D11" i="10"/>
  <c r="D36" i="10"/>
  <c r="I662" i="1"/>
  <c r="C7" i="10" s="1"/>
  <c r="I657" i="1"/>
  <c r="D21" i="10"/>
  <c r="F662" i="1"/>
  <c r="C4" i="10" s="1"/>
  <c r="F657" i="1"/>
  <c r="J44" i="1"/>
  <c r="H611" i="1" s="1"/>
  <c r="J611" i="1" s="1"/>
  <c r="G616" i="1"/>
  <c r="D41" i="10" l="1"/>
  <c r="D28" i="10"/>
  <c r="J616" i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9230F347-6FA4-46CF-A96E-39598D76105D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1AEAFDF3-23D7-448D-8D96-326110CC4282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F46207B4-3DCF-4E50-B8B2-FE9AE74BF9D8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BE2D22AB-7A49-4D9B-BA2D-30ECA8DCEB9A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E08215CE-38F7-4D3A-8A5F-1E043DFC7B0A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B1CECEAC-23F3-4BF8-B2C5-2D585582A2E6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8F1EEA32-DCE3-43B4-A808-4772278793B0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6A4EE1D6-8154-4E11-8544-1C2D53059531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E86C979C-2CC2-4B1A-89B1-0FFF8388186F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EB16455A-49DD-4F5C-AA95-A6CCA5E9905F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1744561A-8137-4652-B837-881B205D4AB8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2A0ADAA5-0A75-4A5B-91CE-F68830B180FC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<sst xmlns="http://schemas.openxmlformats.org/spreadsheetml/2006/main" count="3860" uniqueCount="897">
  <si>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</si>
  <si>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</si>
  <si>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</si>
  <si>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</si>
  <si>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</si>
  <si>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</si>
  <si>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</si>
  <si>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</si>
  <si>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</si>
  <si>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</si>
  <si>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</si>
  <si>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</si>
  <si>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</si>
  <si>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</si>
  <si>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</si>
  <si>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</si>
  <si>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</si>
  <si>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</si>
  <si>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</si>
  <si>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</si>
  <si>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</si>
  <si>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</si>
  <si>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</si>
  <si>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</si>
  <si>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</si>
  <si>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</si>
  <si>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</si>
  <si>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</si>
  <si>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</si>
  <si>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</si>
  <si>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</si>
  <si>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</si>
  <si>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</si>
  <si>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</si>
  <si>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</si>
  <si>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</si>
  <si>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</si>
  <si>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</si>
  <si>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</si>
  <si>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</si>
  <si>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</si>
  <si>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</si>
  <si>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</si>
  <si>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</si>
  <si>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</si>
  <si>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</si>
  <si>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</si>
  <si>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</si>
  <si>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</si>
  <si>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</si>
  <si>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</si>
  <si>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</si>
  <si>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</si>
  <si>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</si>
  <si>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</si>
  <si>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</si>
  <si>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</si>
  <si>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</si>
  <si>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</si>
  <si>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</si>
  <si>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</si>
  <si>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</si>
  <si>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</si>
  <si>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</si>
  <si>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</si>
  <si>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</si>
  <si>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</si>
  <si>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</si>
  <si>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</si>
  <si>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</si>
  <si>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</si>
  <si>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</si>
  <si>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</si>
  <si>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</si>
  <si>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</si>
  <si>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</si>
  <si>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</si>
  <si>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</si>
  <si>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</si>
  <si>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</si>
  <si>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</si>
  <si>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</si>
  <si>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</si>
  <si>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</si>
  <si>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</si>
  <si>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</si>
  <si>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</si>
  <si>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</si>
  <si>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</si>
  <si>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</si>
  <si>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</si>
  <si>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</si>
  <si>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</si>
  <si>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</si>
  <si>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</si>
  <si>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</si>
  <si>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</si>
  <si>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</si>
  <si>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</si>
  <si>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</si>
  <si>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</si>
  <si>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</si>
  <si>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</si>
  <si>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</si>
  <si>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</si>
  <si>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</si>
  <si>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</si>
  <si>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</si>
  <si>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</si>
  <si>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</si>
  <si>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</si>
  <si>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</si>
  <si>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</si>
  <si>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</si>
  <si>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</si>
  <si>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</si>
  <si>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</si>
  <si>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</si>
  <si>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</si>
  <si>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</si>
  <si>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</si>
  <si>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</si>
  <si>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</si>
  <si>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</si>
  <si>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</si>
  <si>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</si>
  <si>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</si>
  <si>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</si>
  <si>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</si>
  <si>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</si>
  <si>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</si>
  <si>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</si>
  <si>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</si>
  <si>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</si>
  <si>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</si>
  <si>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</si>
  <si>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</si>
  <si>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</si>
  <si>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</si>
  <si>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</si>
  <si>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</si>
  <si>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</si>
  <si>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</si>
  <si>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</si>
  <si>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</si>
  <si>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</si>
  <si>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</si>
  <si>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</si>
  <si>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</si>
  <si>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</si>
  <si>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</si>
  <si>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</si>
  <si>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</si>
  <si>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</si>
  <si>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</si>
  <si>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</si>
  <si>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</si>
  <si>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</si>
  <si>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</si>
  <si>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</si>
  <si>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</si>
  <si>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</si>
  <si>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</si>
  <si>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</si>
  <si>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</si>
  <si>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</si>
  <si>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</si>
  <si>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</si>
  <si>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</si>
  <si>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</si>
  <si>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</si>
  <si>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</si>
  <si>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</si>
  <si>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</si>
  <si>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</si>
  <si>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</si>
  <si>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</si>
  <si>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</si>
  <si>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</si>
  <si>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</si>
  <si>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</si>
  <si>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</si>
  <si>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</si>
  <si>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</si>
  <si>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</si>
  <si>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</si>
  <si>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</si>
  <si>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</si>
  <si>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</si>
  <si>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</si>
  <si>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</si>
  <si>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</si>
  <si>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</si>
  <si>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</si>
  <si>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</si>
  <si>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</si>
  <si>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</si>
  <si>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</si>
  <si>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</si>
  <si>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</si>
  <si>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</si>
  <si>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</si>
  <si>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</si>
  <si>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</si>
  <si>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</si>
  <si>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</si>
  <si>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</si>
  <si>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</si>
  <si>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</si>
  <si>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</si>
  <si>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</si>
  <si>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</si>
  <si>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</si>
  <si>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</si>
  <si>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</si>
  <si>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</si>
  <si>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</si>
  <si>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</si>
  <si>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</si>
  <si>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</si>
  <si>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</si>
  <si>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</si>
  <si>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</si>
  <si>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</si>
  <si>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</si>
  <si>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</si>
  <si>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</si>
  <si>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</si>
  <si>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</si>
  <si>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</si>
  <si>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</si>
  <si>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</si>
  <si>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</si>
  <si>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</si>
  <si>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</si>
  <si>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</si>
  <si>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</si>
  <si>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</si>
  <si>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</si>
  <si>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</si>
  <si>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</si>
  <si>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</si>
  <si>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</si>
  <si>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</si>
  <si>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</si>
  <si>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</si>
  <si>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</si>
  <si>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</si>
  <si>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</si>
  <si>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</si>
  <si>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</si>
  <si>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</si>
  <si>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</si>
  <si>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</si>
  <si>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</si>
  <si>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</si>
  <si>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</si>
  <si>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</si>
  <si>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</si>
  <si>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</si>
  <si>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</si>
  <si>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</si>
  <si>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</si>
  <si>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</si>
  <si>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</si>
  <si>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</si>
  <si>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</si>
  <si>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</si>
  <si>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</si>
  <si>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</si>
  <si>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</si>
  <si>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</si>
  <si>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</si>
  <si>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</si>
  <si>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</si>
  <si>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</si>
  <si>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</si>
  <si>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</si>
  <si>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</si>
  <si>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</si>
  <si>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</si>
  <si>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</si>
  <si>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</si>
  <si>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</si>
  <si>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</si>
  <si>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</si>
  <si>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</si>
  <si>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</si>
  <si>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</si>
  <si>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</si>
  <si>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</si>
  <si>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</si>
  <si>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</si>
  <si>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</si>
  <si>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</si>
  <si>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</si>
  <si>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</si>
  <si>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</si>
  <si>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</si>
  <si>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</si>
  <si>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</si>
  <si>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</si>
  <si>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</si>
  <si>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</si>
  <si>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</si>
  <si>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</si>
  <si>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</si>
  <si>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</si>
  <si>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</si>
  <si>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</si>
  <si>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</si>
  <si>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</si>
  <si>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</si>
  <si>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</si>
  <si>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</si>
  <si>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</si>
  <si>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</si>
  <si>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</si>
  <si>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</si>
  <si>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</si>
  <si>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</si>
  <si>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</si>
  <si>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</si>
  <si>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</si>
  <si>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</si>
  <si>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</si>
  <si>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</si>
  <si>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</si>
  <si>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</si>
  <si>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</si>
  <si>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</si>
  <si>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</si>
  <si>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</si>
  <si>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</si>
  <si>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</si>
  <si>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</si>
  <si>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</si>
  <si>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</si>
  <si>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</si>
  <si>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</si>
  <si>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</si>
  <si>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</si>
  <si>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</si>
  <si>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</si>
  <si>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</si>
  <si>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</si>
  <si>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</si>
  <si>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</si>
  <si>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</si>
  <si>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</si>
  <si>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</si>
  <si>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</si>
  <si>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</si>
  <si>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</si>
  <si>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</si>
  <si>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</si>
  <si>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</si>
  <si>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</si>
  <si>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</si>
  <si>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</si>
  <si>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</si>
  <si>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</si>
  <si>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</si>
  <si>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</si>
  <si>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</si>
  <si>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</si>
  <si>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</si>
  <si>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</si>
  <si>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</si>
  <si>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</si>
  <si>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</si>
  <si>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</si>
  <si>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</si>
  <si>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</si>
  <si>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</si>
  <si>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</si>
  <si>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</si>
  <si>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</si>
  <si>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</si>
  <si>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</si>
  <si>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</si>
  <si>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</si>
  <si>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</si>
  <si>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</si>
  <si>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</si>
  <si>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</si>
  <si>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</si>
  <si>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</si>
  <si>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</si>
  <si>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</si>
  <si>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</si>
  <si>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</si>
  <si>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</si>
  <si>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</si>
  <si>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</si>
  <si>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</si>
  <si>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</si>
  <si>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</si>
  <si>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</si>
  <si>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</si>
  <si>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</si>
  <si>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</si>
  <si>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</si>
  <si>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</si>
  <si>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</si>
  <si>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</si>
  <si>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</si>
  <si>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</si>
  <si>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</si>
  <si>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</si>
  <si>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</si>
  <si>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</si>
  <si>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</si>
  <si>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</si>
  <si>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</si>
  <si>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</si>
  <si>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</si>
  <si>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</si>
  <si>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</si>
  <si>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</si>
  <si>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</si>
  <si>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</si>
  <si>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</si>
  <si>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</si>
  <si>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</si>
  <si>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</si>
  <si>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</si>
  <si>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</si>
  <si>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</si>
  <si>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</si>
  <si>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</si>
  <si>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</si>
  <si>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</si>
  <si>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</si>
  <si>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</si>
  <si>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</si>
  <si>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</si>
  <si>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</si>
  <si>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</si>
  <si>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</si>
  <si>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</si>
  <si>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</si>
  <si>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</si>
  <si>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</si>
  <si>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</si>
  <si>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</si>
  <si>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</si>
  <si>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</si>
  <si>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</si>
  <si>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</si>
  <si>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</si>
  <si>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</si>
  <si>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</si>
  <si>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</si>
  <si>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</si>
  <si>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</si>
  <si>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</si>
  <si>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</si>
  <si>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</si>
  <si>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</si>
  <si>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</si>
  <si>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</si>
  <si>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</si>
  <si>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</si>
  <si>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</si>
  <si>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</si>
  <si>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</si>
  <si>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</si>
  <si>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</si>
  <si>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</si>
  <si>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</si>
  <si>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</si>
  <si>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</si>
  <si>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</si>
  <si>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</si>
  <si>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</si>
  <si>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</si>
  <si>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</si>
  <si>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</si>
  <si>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</si>
  <si>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</si>
  <si>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</si>
  <si>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</si>
  <si>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</si>
  <si>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</si>
  <si>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</si>
  <si>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</si>
  <si>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</si>
  <si>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</si>
  <si>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</si>
  <si>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</si>
  <si>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</si>
  <si>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</si>
  <si>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</si>
  <si>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</si>
  <si>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</si>
  <si>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</si>
  <si>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</si>
  <si>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</si>
  <si>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</si>
  <si>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</si>
  <si>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</si>
  <si>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</si>
  <si>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</si>
  <si>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</si>
  <si>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</si>
  <si>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</si>
  <si>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</si>
  <si>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</si>
  <si>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</si>
  <si>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</si>
  <si>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</si>
  <si>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</si>
  <si>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</si>
  <si>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</si>
  <si>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</si>
  <si>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</si>
  <si>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</si>
  <si>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</si>
  <si>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</si>
  <si>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</si>
  <si>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</si>
  <si>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</si>
  <si>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</si>
  <si>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</si>
  <si>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</si>
  <si>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</si>
  <si>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</si>
  <si>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</si>
  <si>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</si>
  <si>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</si>
  <si>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</si>
  <si>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</si>
  <si>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</si>
  <si>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</si>
  <si>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</si>
  <si>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</si>
  <si>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</si>
  <si>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</si>
  <si>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</si>
  <si>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</si>
  <si>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</si>
  <si>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</si>
  <si>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</si>
  <si>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</si>
  <si>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</si>
  <si>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</si>
  <si>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</si>
  <si>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</si>
  <si>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</si>
  <si>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</si>
  <si>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</si>
  <si>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</si>
  <si>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</si>
  <si>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</si>
  <si>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</si>
  <si>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</si>
  <si>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</si>
  <si>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</si>
  <si>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</si>
  <si>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</si>
  <si>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</si>
  <si>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</si>
  <si>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</si>
  <si>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</si>
  <si>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</si>
  <si>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</si>
  <si>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</si>
  <si>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</si>
  <si>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</si>
  <si>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</si>
  <si>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</si>
  <si>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</si>
  <si>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</si>
  <si>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</si>
  <si>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</si>
  <si>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</si>
  <si>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</si>
  <si>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</si>
  <si>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</si>
  <si>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</si>
  <si>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</si>
  <si>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</si>
  <si>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</si>
  <si>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</si>
  <si>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</si>
  <si>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</si>
  <si>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</si>
  <si>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</si>
  <si>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</si>
  <si>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</si>
  <si>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</si>
  <si>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</si>
  <si>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</si>
  <si>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</si>
  <si>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</si>
  <si>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</si>
  <si>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</si>
  <si>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</si>
  <si>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</si>
  <si>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</si>
  <si>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</si>
  <si>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</si>
  <si>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</si>
  <si>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</si>
  <si>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</si>
  <si>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</si>
  <si>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</si>
  <si>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</si>
  <si>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</si>
  <si>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</si>
  <si>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</si>
  <si>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</si>
  <si>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</si>
  <si>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</si>
  <si>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</si>
  <si>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</si>
  <si>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</si>
  <si>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</si>
  <si>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</si>
  <si>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</si>
  <si>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</si>
  <si>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</si>
  <si>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</si>
  <si>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</si>
  <si>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</si>
  <si>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</si>
  <si>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</si>
  <si>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</si>
  <si>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</si>
  <si>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</si>
  <si>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</si>
  <si>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</si>
  <si>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</si>
  <si>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</si>
  <si>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</si>
  <si>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</si>
  <si>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</si>
  <si>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</si>
  <si>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</si>
  <si>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</si>
  <si>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</si>
  <si>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</si>
  <si>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</si>
  <si>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</si>
  <si>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</si>
  <si>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</si>
  <si>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</si>
  <si>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</si>
  <si>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</si>
  <si>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</si>
  <si>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</si>
  <si>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</si>
  <si>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</si>
  <si>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</si>
  <si>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</si>
  <si>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</si>
  <si>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</si>
  <si>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</si>
  <si>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</si>
  <si>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</si>
  <si>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</si>
  <si>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</si>
  <si>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</si>
  <si>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</si>
  <si>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</si>
  <si>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</si>
  <si>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</si>
  <si>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</si>
  <si>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</si>
  <si>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</si>
  <si>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</si>
  <si>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</si>
  <si>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</si>
  <si>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</si>
  <si>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</si>
  <si>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</si>
  <si>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</si>
  <si>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</si>
  <si>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</si>
  <si>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</si>
  <si>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</si>
  <si>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</si>
  <si>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</si>
  <si>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</si>
  <si>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</si>
  <si>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</si>
  <si>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</si>
  <si>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</si>
  <si>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</si>
  <si>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</si>
  <si>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</si>
  <si>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</si>
  <si>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</si>
  <si>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</si>
  <si>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</si>
  <si>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</si>
  <si>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</si>
  <si>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</si>
  <si>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</si>
  <si>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</si>
  <si>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</si>
  <si>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</si>
  <si>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</si>
  <si>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</si>
  <si>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</si>
  <si>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</si>
  <si>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</si>
  <si>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</si>
  <si>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</si>
  <si>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</si>
  <si>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</si>
  <si>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</si>
  <si>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</si>
  <si>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</si>
  <si>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</si>
  <si>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</si>
  <si>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</si>
  <si>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</si>
  <si>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</si>
  <si>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</si>
  <si>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</si>
  <si>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</si>
  <si>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</si>
  <si>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</si>
  <si>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</si>
  <si>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</si>
  <si>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</si>
  <si>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</si>
  <si>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</si>
  <si>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</si>
  <si>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</si>
  <si>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</si>
  <si>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</si>
  <si>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</si>
  <si>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</si>
  <si>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</si>
  <si>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</si>
  <si>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</si>
  <si>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</si>
  <si>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</si>
  <si>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</si>
  <si>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</si>
  <si>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</si>
  <si>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</si>
  <si>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</si>
  <si>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</si>
  <si>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</si>
  <si>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</si>
  <si>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</si>
  <si>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</si>
  <si>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</si>
  <si>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</si>
  <si>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</si>
  <si>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</si>
  <si>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</si>
  <si>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</si>
  <si>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</si>
  <si>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</si>
  <si>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</si>
  <si>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</si>
  <si>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</si>
  <si>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</si>
  <si>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</si>
  <si>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</si>
  <si>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</si>
  <si>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</si>
  <si>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</si>
  <si>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</si>
  <si>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</si>
  <si>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</si>
  <si>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</si>
  <si>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</si>
  <si>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</si>
  <si>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</si>
  <si>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</si>
  <si>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</si>
  <si>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</si>
  <si>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</si>
  <si>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</si>
  <si>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</si>
  <si>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</si>
  <si>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</si>
  <si>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</si>
  <si>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</si>
  <si>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</si>
  <si>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</si>
  <si>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</si>
  <si>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</si>
  <si>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</si>
  <si>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</si>
  <si>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</si>
  <si>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</si>
  <si>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</si>
  <si>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</si>
  <si>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</si>
  <si>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</si>
  <si>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</si>
  <si>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</si>
  <si>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</si>
  <si>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</si>
  <si>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</si>
  <si>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</si>
  <si>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</si>
  <si>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</si>
  <si>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</si>
  <si>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</si>
  <si>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</si>
  <si>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</si>
  <si>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</si>
  <si>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</si>
  <si>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</si>
  <si>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</si>
  <si>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</si>
  <si>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</si>
  <si>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</si>
  <si>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</si>
  <si>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</si>
  <si>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</si>
  <si>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</si>
  <si>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</si>
  <si>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</si>
  <si>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</si>
  <si>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</si>
  <si>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</si>
  <si>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</si>
  <si>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</si>
  <si>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</si>
  <si>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</si>
  <si>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</si>
  <si>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</si>
  <si>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</si>
  <si>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</si>
  <si>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</si>
  <si>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</si>
  <si>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</si>
  <si>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</si>
  <si>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</si>
  <si>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</si>
  <si>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</si>
  <si>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</si>
  <si>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</si>
  <si>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</si>
  <si>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</si>
  <si>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</si>
  <si>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</si>
  <si>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</si>
  <si>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</si>
  <si>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</si>
  <si>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</si>
  <si>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</si>
  <si>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</si>
  <si>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</si>
  <si>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</si>
  <si>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</si>
  <si>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</si>
  <si>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</si>
  <si>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</si>
  <si>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</si>
  <si>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</si>
  <si>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</si>
  <si>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</si>
  <si>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</si>
  <si>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</si>
  <si>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</si>
  <si>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</si>
  <si>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</si>
  <si>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</si>
  <si>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</si>
  <si>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</si>
  <si>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</si>
  <si>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</si>
  <si>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</si>
  <si>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</si>
  <si>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</si>
  <si>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</si>
  <si>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</si>
  <si>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</si>
  <si>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</si>
  <si>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</si>
  <si>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</si>
  <si>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</si>
  <si>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</si>
  <si>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</si>
  <si>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</si>
  <si>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</si>
  <si>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</si>
  <si>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</si>
  <si>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</si>
  <si>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</si>
  <si>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</si>
  <si>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</si>
  <si>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</si>
  <si>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</si>
  <si>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Fall Mountain Regional School District/SAU 60</t>
  </si>
  <si>
    <t>08/05</t>
  </si>
  <si>
    <t>08/24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</si>
</sst>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AC460-35CF-4AE3-B22D-93CE3907AE70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174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1861033.01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3048146.4400000004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38197.040000000001</v>
      </c>
      <c r="G12" s="18">
        <v>32163.06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149635.16</v>
      </c>
      <c r="G13" s="18">
        <v>17526.82</v>
      </c>
      <c r="H13" s="18">
        <v>308836.62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53353.84+23130.41</f>
        <v>76484.25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231602</v>
      </c>
      <c r="G17" s="18">
        <v>1350</v>
      </c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2356951.46</v>
      </c>
      <c r="G19" s="41">
        <f>SUM(G9:G18)</f>
        <v>51039.880000000005</v>
      </c>
      <c r="H19" s="41">
        <f>SUM(H9:H18)</f>
        <v>308836.62</v>
      </c>
      <c r="I19" s="41">
        <f>SUM(I9:I18)</f>
        <v>0</v>
      </c>
      <c r="J19" s="41">
        <f>SUM(J9:J18)</f>
        <v>3048146.4400000004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70360.100000000006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390605.3</v>
      </c>
      <c r="G25" s="18">
        <v>19279.32</v>
      </c>
      <c r="H25" s="18">
        <v>14442.15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1476899.69</v>
      </c>
      <c r="G29" s="18">
        <v>31760.560000000001</v>
      </c>
      <c r="H29" s="18">
        <v>60213.15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-2442.62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1865062.3699999999</v>
      </c>
      <c r="G33" s="41">
        <f>SUM(G23:G32)</f>
        <v>51039.880000000005</v>
      </c>
      <c r="H33" s="41">
        <f>SUM(H23:H32)</f>
        <v>145015.4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f>468758.68+23130.41</f>
        <v>491889.08999999997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>
        <v>163821.22</v>
      </c>
      <c r="I41" s="18"/>
      <c r="J41" s="13">
        <f>SUM(I449)</f>
        <v>3048146.4400000004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/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491889.08999999997</v>
      </c>
      <c r="G43" s="41">
        <f>SUM(G35:G42)</f>
        <v>0</v>
      </c>
      <c r="H43" s="41">
        <f>SUM(H35:H42)</f>
        <v>163821.22</v>
      </c>
      <c r="I43" s="41">
        <f>SUM(I35:I42)</f>
        <v>0</v>
      </c>
      <c r="J43" s="41">
        <f>SUM(J35:J42)</f>
        <v>3048146.4400000004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2356951.46</v>
      </c>
      <c r="G44" s="41">
        <f>G43+G33</f>
        <v>51039.880000000005</v>
      </c>
      <c r="H44" s="41">
        <f>H43+H33</f>
        <v>308836.62</v>
      </c>
      <c r="I44" s="41">
        <f>I43+I33</f>
        <v>0</v>
      </c>
      <c r="J44" s="41">
        <f>J43+J33</f>
        <v>3048146.4400000004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12221363.18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12221363.18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132404.72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132404.72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23418.68</v>
      </c>
      <c r="G88" s="18"/>
      <c r="H88" s="18"/>
      <c r="I88" s="18"/>
      <c r="J88" s="18">
        <v>37416.559999999998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431426.69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151500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25447.73</v>
      </c>
      <c r="G102" s="18"/>
      <c r="H102" s="18">
        <v>22001.25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48866.41</v>
      </c>
      <c r="G103" s="41">
        <f>SUM(G88:G102)</f>
        <v>431426.69</v>
      </c>
      <c r="H103" s="41">
        <f>SUM(H88:H102)</f>
        <v>173501.25</v>
      </c>
      <c r="I103" s="41">
        <f>SUM(I88:I102)</f>
        <v>0</v>
      </c>
      <c r="J103" s="41">
        <f>SUM(J88:J102)</f>
        <v>37416.559999999998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12402634.310000001</v>
      </c>
      <c r="G104" s="41">
        <f>G52+G103</f>
        <v>431426.69</v>
      </c>
      <c r="H104" s="41">
        <f>H52+H71+H86+H103</f>
        <v>173501.25</v>
      </c>
      <c r="I104" s="41">
        <f>I52+I103</f>
        <v>0</v>
      </c>
      <c r="J104" s="41">
        <f>J52+J103</f>
        <v>37416.559999999998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6286262.4199999999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2320694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2411844.58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11018801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57548.38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270027.15000000002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261937.5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26594.080000000002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4834.43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>
        <v>16950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616107.11</v>
      </c>
      <c r="G128" s="41">
        <f>SUM(G115:G127)</f>
        <v>4834.43</v>
      </c>
      <c r="H128" s="41">
        <f>SUM(H115:H127)</f>
        <v>16950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11634908.109999999</v>
      </c>
      <c r="G132" s="41">
        <f>G113+SUM(G128:G129)</f>
        <v>4834.43</v>
      </c>
      <c r="H132" s="41">
        <f>H113+SUM(H128:H131)</f>
        <v>16950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451439.01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382731.19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74902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267943.13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532074.55000000005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284799.09999999998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4855.33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284799.09999999998</v>
      </c>
      <c r="G154" s="41">
        <f>SUM(G142:G153)</f>
        <v>267943.13</v>
      </c>
      <c r="H154" s="41">
        <f>SUM(H142:H153)</f>
        <v>1446002.08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284799.09999999998</v>
      </c>
      <c r="G161" s="41">
        <f>G139+G154+SUM(G155:G160)</f>
        <v>267943.13</v>
      </c>
      <c r="H161" s="41">
        <f>H139+H154+SUM(H155:H160)</f>
        <v>1446002.08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79495.759999999995</v>
      </c>
      <c r="H171" s="18"/>
      <c r="I171" s="18"/>
      <c r="J171" s="18">
        <f>305346.32+85000</f>
        <v>390346.32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79495.759999999995</v>
      </c>
      <c r="H175" s="41">
        <f>SUM(H171:H174)</f>
        <v>0</v>
      </c>
      <c r="I175" s="41">
        <f>SUM(I171:I174)</f>
        <v>0</v>
      </c>
      <c r="J175" s="41">
        <f>SUM(J171:J174)</f>
        <v>390346.32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79495.759999999995</v>
      </c>
      <c r="H184" s="41">
        <f>+H175+SUM(H180:H183)</f>
        <v>0</v>
      </c>
      <c r="I184" s="41">
        <f>I169+I175+SUM(I180:I183)</f>
        <v>0</v>
      </c>
      <c r="J184" s="41">
        <f>J175</f>
        <v>390346.32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24322341.520000003</v>
      </c>
      <c r="G185" s="47">
        <f>G104+G132+G161+G184</f>
        <v>783700.01</v>
      </c>
      <c r="H185" s="47">
        <f>H104+H132+H161+H184</f>
        <v>1636453.33</v>
      </c>
      <c r="I185" s="47">
        <f>I104+I132+I161+I184</f>
        <v>0</v>
      </c>
      <c r="J185" s="47">
        <f>J104+J132+J184</f>
        <v>427762.88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4118519.48</v>
      </c>
      <c r="G189" s="18">
        <v>1822435.81</v>
      </c>
      <c r="H189" s="18">
        <v>42274.59</v>
      </c>
      <c r="I189" s="18">
        <v>220864.08</v>
      </c>
      <c r="J189" s="18">
        <v>124841.56</v>
      </c>
      <c r="K189" s="18">
        <v>4146.41</v>
      </c>
      <c r="L189" s="19">
        <f>SUM(F189:K189)</f>
        <v>6333081.9299999997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2098380.0499999998</v>
      </c>
      <c r="G190" s="18">
        <v>607379.07999999996</v>
      </c>
      <c r="H190" s="18">
        <f>264609.18+54871.99</f>
        <v>319481.17</v>
      </c>
      <c r="I190" s="18">
        <v>14049.07</v>
      </c>
      <c r="J190" s="18">
        <v>15329.94</v>
      </c>
      <c r="K190" s="18">
        <v>1491.29</v>
      </c>
      <c r="L190" s="19">
        <f>SUM(F190:K190)</f>
        <v>3056110.5999999996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54935</v>
      </c>
      <c r="G192" s="18">
        <v>6850.91</v>
      </c>
      <c r="H192" s="18">
        <v>10329.6</v>
      </c>
      <c r="I192" s="18">
        <v>5101.3900000000003</v>
      </c>
      <c r="J192" s="18">
        <v>9686.43</v>
      </c>
      <c r="K192" s="18"/>
      <c r="L192" s="19">
        <f>SUM(F192:K192)</f>
        <v>86903.330000000016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461150.04</v>
      </c>
      <c r="G194" s="18">
        <v>150815.24</v>
      </c>
      <c r="H194" s="18">
        <v>4101.91</v>
      </c>
      <c r="I194" s="18">
        <v>4908.6499999999996</v>
      </c>
      <c r="J194" s="18">
        <v>1099.54</v>
      </c>
      <c r="K194" s="18"/>
      <c r="L194" s="19">
        <f t="shared" ref="L194:L200" si="0">SUM(F194:K194)</f>
        <v>622075.38000000012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274221.5</v>
      </c>
      <c r="G195" s="18">
        <v>152327.67999999999</v>
      </c>
      <c r="H195" s="18">
        <v>26696.04</v>
      </c>
      <c r="I195" s="18">
        <v>38034.519999999997</v>
      </c>
      <c r="J195" s="18">
        <v>977</v>
      </c>
      <c r="K195" s="18">
        <v>6566.95</v>
      </c>
      <c r="L195" s="19">
        <f t="shared" si="0"/>
        <v>498823.69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182222.34</v>
      </c>
      <c r="G196" s="18">
        <v>65859.360000000001</v>
      </c>
      <c r="H196" s="18">
        <v>60548.76</v>
      </c>
      <c r="I196" s="18">
        <v>7653.2</v>
      </c>
      <c r="J196" s="18">
        <v>26066.52</v>
      </c>
      <c r="K196" s="18">
        <v>5080.7299999999996</v>
      </c>
      <c r="L196" s="19">
        <f t="shared" si="0"/>
        <v>347430.91000000003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598219.76</v>
      </c>
      <c r="G197" s="18">
        <v>227610.9</v>
      </c>
      <c r="H197" s="18">
        <v>14973.64</v>
      </c>
      <c r="I197" s="18">
        <v>7916.77</v>
      </c>
      <c r="J197" s="18">
        <v>9321.69</v>
      </c>
      <c r="K197" s="18">
        <v>2261.4</v>
      </c>
      <c r="L197" s="19">
        <f t="shared" si="0"/>
        <v>860304.16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120832.6</v>
      </c>
      <c r="G198" s="18">
        <v>55225.49</v>
      </c>
      <c r="H198" s="18">
        <v>7279.35</v>
      </c>
      <c r="I198" s="18">
        <v>1817.12</v>
      </c>
      <c r="J198" s="18">
        <v>90.29</v>
      </c>
      <c r="K198" s="18">
        <v>1449.84</v>
      </c>
      <c r="L198" s="19">
        <f t="shared" si="0"/>
        <v>186694.69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594754.4</v>
      </c>
      <c r="G199" s="18">
        <v>313229.40999999997</v>
      </c>
      <c r="H199" s="18">
        <v>304540.42</v>
      </c>
      <c r="I199" s="18">
        <v>331226.02</v>
      </c>
      <c r="J199" s="18">
        <v>28322.86</v>
      </c>
      <c r="K199" s="18">
        <v>258.73</v>
      </c>
      <c r="L199" s="19">
        <f t="shared" si="0"/>
        <v>1572331.84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296560.73</v>
      </c>
      <c r="G200" s="18">
        <v>83111.539999999994</v>
      </c>
      <c r="H200" s="18">
        <v>228396.2</v>
      </c>
      <c r="I200" s="18">
        <v>74670.33</v>
      </c>
      <c r="J200" s="18">
        <v>6106.59</v>
      </c>
      <c r="K200" s="18">
        <v>52</v>
      </c>
      <c r="L200" s="19">
        <f t="shared" si="0"/>
        <v>688897.3899999999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8799795.8999999985</v>
      </c>
      <c r="G203" s="41">
        <f t="shared" si="1"/>
        <v>3484845.4200000004</v>
      </c>
      <c r="H203" s="41">
        <f t="shared" si="1"/>
        <v>1018621.6799999999</v>
      </c>
      <c r="I203" s="41">
        <f t="shared" si="1"/>
        <v>706241.15</v>
      </c>
      <c r="J203" s="41">
        <f t="shared" si="1"/>
        <v>221842.42</v>
      </c>
      <c r="K203" s="41">
        <f t="shared" si="1"/>
        <v>21307.35</v>
      </c>
      <c r="L203" s="41">
        <f t="shared" si="1"/>
        <v>14252653.92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4752.3+1946931.77</f>
        <v>1951684.07</v>
      </c>
      <c r="G225" s="18">
        <f>1174.51+797776.48</f>
        <v>798950.99</v>
      </c>
      <c r="H225" s="18">
        <f>5725.83+20184.37</f>
        <v>25910.199999999997</v>
      </c>
      <c r="I225" s="18">
        <f>1645.73+88331.89</f>
        <v>89977.62</v>
      </c>
      <c r="J225" s="18">
        <v>54750.54</v>
      </c>
      <c r="K225" s="18">
        <v>7561.3</v>
      </c>
      <c r="L225" s="19">
        <f>SUM(F225:K225)</f>
        <v>2928834.72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343902.29+607268.46</f>
        <v>951170.75</v>
      </c>
      <c r="G226" s="18">
        <f>125758.04+253009.16</f>
        <v>378767.2</v>
      </c>
      <c r="H226" s="18">
        <f>608552.6+36581.32</f>
        <v>645133.91999999993</v>
      </c>
      <c r="I226" s="18">
        <f>3659.85+13452.69</f>
        <v>17112.54</v>
      </c>
      <c r="J226" s="18">
        <f>3108.6+8152.79</f>
        <v>11261.39</v>
      </c>
      <c r="K226" s="18">
        <f>560.69+4167.01</f>
        <v>4727.7000000000007</v>
      </c>
      <c r="L226" s="19">
        <f>SUM(F226:K226)</f>
        <v>2008173.4999999998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386945.02</v>
      </c>
      <c r="G227" s="18">
        <v>128670.43</v>
      </c>
      <c r="H227" s="18">
        <f>408553.44</f>
        <v>408553.44</v>
      </c>
      <c r="I227" s="18">
        <v>52708.800000000003</v>
      </c>
      <c r="J227" s="18">
        <v>27565.84</v>
      </c>
      <c r="K227" s="18">
        <v>635</v>
      </c>
      <c r="L227" s="19">
        <f>SUM(F227:K227)</f>
        <v>1005078.53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174259.14</v>
      </c>
      <c r="G228" s="18">
        <v>31598.07</v>
      </c>
      <c r="H228" s="18">
        <v>40804.89</v>
      </c>
      <c r="I228" s="18">
        <v>4181.8900000000003</v>
      </c>
      <c r="J228" s="18">
        <v>17915.28</v>
      </c>
      <c r="K228" s="18">
        <v>2450</v>
      </c>
      <c r="L228" s="19">
        <f>SUM(F228:K228)</f>
        <v>271209.27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353045.21</v>
      </c>
      <c r="G230" s="18">
        <v>126423.17</v>
      </c>
      <c r="H230" s="18">
        <f>13124.62+9205</f>
        <v>22329.620000000003</v>
      </c>
      <c r="I230" s="18">
        <v>3990.92</v>
      </c>
      <c r="J230" s="18">
        <v>2404.08</v>
      </c>
      <c r="K230" s="18">
        <v>475</v>
      </c>
      <c r="L230" s="19">
        <f t="shared" ref="L230:L236" si="4">SUM(F230:K230)</f>
        <v>508668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82051.34+111422.64</f>
        <v>193473.97999999998</v>
      </c>
      <c r="G231" s="18">
        <f>63982.66+31648.36</f>
        <v>95631.02</v>
      </c>
      <c r="H231" s="18">
        <v>14364.58</v>
      </c>
      <c r="I231" s="18">
        <f>22613.44+8217.59</f>
        <v>30831.03</v>
      </c>
      <c r="J231" s="18">
        <v>3452.03</v>
      </c>
      <c r="K231" s="18">
        <v>3536.05</v>
      </c>
      <c r="L231" s="19">
        <f t="shared" si="4"/>
        <v>341288.69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93408.19</v>
      </c>
      <c r="G232" s="18">
        <v>35082.550000000003</v>
      </c>
      <c r="H232" s="18">
        <v>31643.59</v>
      </c>
      <c r="I232" s="18">
        <v>4120.96</v>
      </c>
      <c r="J232" s="18">
        <v>14035.82</v>
      </c>
      <c r="K232" s="18">
        <v>2735.78</v>
      </c>
      <c r="L232" s="19">
        <f t="shared" si="4"/>
        <v>181026.89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241352.02</v>
      </c>
      <c r="G233" s="18">
        <v>111501.75</v>
      </c>
      <c r="H233" s="18">
        <v>23993.360000000001</v>
      </c>
      <c r="I233" s="18">
        <v>7009.98</v>
      </c>
      <c r="J233" s="18">
        <v>2418.23</v>
      </c>
      <c r="K233" s="18">
        <v>912</v>
      </c>
      <c r="L233" s="19">
        <f t="shared" si="4"/>
        <v>387187.33999999997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65063.71</v>
      </c>
      <c r="G234" s="18">
        <v>29736.799999999999</v>
      </c>
      <c r="H234" s="18">
        <v>3919.65</v>
      </c>
      <c r="I234" s="18">
        <v>978.45</v>
      </c>
      <c r="J234" s="18">
        <v>48.62</v>
      </c>
      <c r="K234" s="18">
        <v>780.69</v>
      </c>
      <c r="L234" s="19">
        <f t="shared" si="4"/>
        <v>100527.91999999998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125877.46+162939.2</f>
        <v>288816.66000000003</v>
      </c>
      <c r="G235" s="18">
        <f>62806.71+82357.25</f>
        <v>145163.96</v>
      </c>
      <c r="H235" s="18">
        <f>155370.36+77775.41</f>
        <v>233145.77</v>
      </c>
      <c r="I235" s="18">
        <f>145805.76+30770.31</f>
        <v>176576.07</v>
      </c>
      <c r="J235" s="18">
        <v>6659.86</v>
      </c>
      <c r="K235" s="18">
        <v>139.32</v>
      </c>
      <c r="L235" s="19">
        <f t="shared" si="4"/>
        <v>850501.6399999999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f>54008.18+162082.59</f>
        <v>216090.77</v>
      </c>
      <c r="G236" s="18">
        <f>30593.32+19548.3</f>
        <v>50141.619999999995</v>
      </c>
      <c r="H236" s="18">
        <f>145595.29+7663.35</f>
        <v>153258.64000000001</v>
      </c>
      <c r="I236" s="18">
        <f>45077.54+3798.36</f>
        <v>48875.9</v>
      </c>
      <c r="J236" s="18">
        <v>3288.16</v>
      </c>
      <c r="K236" s="18">
        <v>28</v>
      </c>
      <c r="L236" s="19">
        <f t="shared" si="4"/>
        <v>471683.09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4915309.5199999996</v>
      </c>
      <c r="G239" s="41">
        <f t="shared" si="5"/>
        <v>1931667.56</v>
      </c>
      <c r="H239" s="41">
        <f t="shared" si="5"/>
        <v>1603057.6600000001</v>
      </c>
      <c r="I239" s="41">
        <f t="shared" si="5"/>
        <v>436364.16000000009</v>
      </c>
      <c r="J239" s="41">
        <f t="shared" si="5"/>
        <v>143799.84999999998</v>
      </c>
      <c r="K239" s="41">
        <f t="shared" si="5"/>
        <v>23980.839999999997</v>
      </c>
      <c r="L239" s="41">
        <f t="shared" si="5"/>
        <v>9054179.5899999999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186898.16</v>
      </c>
      <c r="I247" s="18"/>
      <c r="J247" s="18"/>
      <c r="K247" s="18"/>
      <c r="L247" s="19">
        <f t="shared" si="6"/>
        <v>186898.16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186898.16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186898.16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13715105.419999998</v>
      </c>
      <c r="G249" s="41">
        <f t="shared" si="8"/>
        <v>5416512.9800000004</v>
      </c>
      <c r="H249" s="41">
        <f t="shared" si="8"/>
        <v>2808577.5</v>
      </c>
      <c r="I249" s="41">
        <f t="shared" si="8"/>
        <v>1142605.31</v>
      </c>
      <c r="J249" s="41">
        <f t="shared" si="8"/>
        <v>365642.27</v>
      </c>
      <c r="K249" s="41">
        <f t="shared" si="8"/>
        <v>45288.189999999995</v>
      </c>
      <c r="L249" s="41">
        <f t="shared" si="8"/>
        <v>23493731.669999998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100000</v>
      </c>
      <c r="L252" s="19">
        <f>SUM(F252:K252)</f>
        <v>100000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72225</v>
      </c>
      <c r="L253" s="19">
        <f>SUM(F253:K253)</f>
        <v>72225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79495.759999999995</v>
      </c>
      <c r="L255" s="19">
        <f>SUM(F255:K255)</f>
        <v>79495.759999999995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f>85000+305346.32</f>
        <v>390346.32</v>
      </c>
      <c r="L258" s="19">
        <f t="shared" si="9"/>
        <v>390346.32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642067.08000000007</v>
      </c>
      <c r="L262" s="41">
        <f t="shared" si="9"/>
        <v>642067.08000000007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13715105.419999998</v>
      </c>
      <c r="G263" s="42">
        <f t="shared" si="11"/>
        <v>5416512.9800000004</v>
      </c>
      <c r="H263" s="42">
        <f t="shared" si="11"/>
        <v>2808577.5</v>
      </c>
      <c r="I263" s="42">
        <f t="shared" si="11"/>
        <v>1142605.31</v>
      </c>
      <c r="J263" s="42">
        <f t="shared" si="11"/>
        <v>365642.27</v>
      </c>
      <c r="K263" s="42">
        <f t="shared" si="11"/>
        <v>687355.27</v>
      </c>
      <c r="L263" s="42">
        <f t="shared" si="11"/>
        <v>24135798.75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329231.48</v>
      </c>
      <c r="G268" s="18">
        <v>71110.52</v>
      </c>
      <c r="H268" s="18">
        <v>67891.490000000005</v>
      </c>
      <c r="I268" s="18">
        <f>49006.38+4507.17</f>
        <v>53513.549999999996</v>
      </c>
      <c r="J268" s="18">
        <v>48253.65</v>
      </c>
      <c r="K268" s="18"/>
      <c r="L268" s="19">
        <f>SUM(F268:K268)</f>
        <v>570000.68999999994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191385.114</v>
      </c>
      <c r="G269" s="18">
        <v>46459.02</v>
      </c>
      <c r="H269" s="18">
        <v>196179.7</v>
      </c>
      <c r="I269" s="18">
        <v>20968.740000000002</v>
      </c>
      <c r="J269" s="18">
        <v>40306.589999999997</v>
      </c>
      <c r="K269" s="18"/>
      <c r="L269" s="19">
        <f>SUM(F269:K269)</f>
        <v>495299.16399999999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544.5</v>
      </c>
      <c r="G273" s="18">
        <v>43.84</v>
      </c>
      <c r="H273" s="18"/>
      <c r="I273" s="18"/>
      <c r="J273" s="18"/>
      <c r="K273" s="18"/>
      <c r="L273" s="19">
        <f t="shared" ref="L273:L279" si="12">SUM(F273:K273)</f>
        <v>588.34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28948.32</v>
      </c>
      <c r="G274" s="18">
        <v>5175.66</v>
      </c>
      <c r="H274" s="18">
        <v>85804.17</v>
      </c>
      <c r="I274" s="18">
        <v>44718.9</v>
      </c>
      <c r="J274" s="18">
        <v>7145.48</v>
      </c>
      <c r="K274" s="18"/>
      <c r="L274" s="19">
        <f t="shared" si="12"/>
        <v>171792.53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>
        <v>2443.2199999999998</v>
      </c>
      <c r="I275" s="18"/>
      <c r="J275" s="18"/>
      <c r="K275" s="18"/>
      <c r="L275" s="19">
        <f t="shared" si="12"/>
        <v>2443.2199999999998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>
        <v>6874.95</v>
      </c>
      <c r="I276" s="18"/>
      <c r="J276" s="18"/>
      <c r="K276" s="18"/>
      <c r="L276" s="19">
        <f t="shared" si="12"/>
        <v>6874.95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12071.82</v>
      </c>
      <c r="G277" s="18">
        <v>2403.1</v>
      </c>
      <c r="H277" s="18"/>
      <c r="I277" s="18"/>
      <c r="J277" s="18"/>
      <c r="K277" s="18"/>
      <c r="L277" s="19">
        <f t="shared" si="12"/>
        <v>14474.92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562181.23399999994</v>
      </c>
      <c r="G282" s="42">
        <f t="shared" si="13"/>
        <v>125192.14000000001</v>
      </c>
      <c r="H282" s="42">
        <f t="shared" si="13"/>
        <v>359193.52999999997</v>
      </c>
      <c r="I282" s="42">
        <f t="shared" si="13"/>
        <v>119201.19</v>
      </c>
      <c r="J282" s="42">
        <f t="shared" si="13"/>
        <v>95705.719999999987</v>
      </c>
      <c r="K282" s="42">
        <f t="shared" si="13"/>
        <v>0</v>
      </c>
      <c r="L282" s="41">
        <f t="shared" si="13"/>
        <v>1261473.8139999998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19117.88</v>
      </c>
      <c r="G306" s="18">
        <v>2556.79</v>
      </c>
      <c r="H306" s="18">
        <f>24921.27+29057.48</f>
        <v>53978.75</v>
      </c>
      <c r="I306" s="18">
        <v>369.68</v>
      </c>
      <c r="J306" s="18">
        <f>159.37+5842.81</f>
        <v>6002.18</v>
      </c>
      <c r="K306" s="18"/>
      <c r="L306" s="19">
        <f>SUM(F306:K306)</f>
        <v>82025.279999999999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f>3232.78+21728.23</f>
        <v>24961.01</v>
      </c>
      <c r="G307" s="18">
        <f>318.02+1889.31</f>
        <v>2207.33</v>
      </c>
      <c r="H307" s="18">
        <v>1722</v>
      </c>
      <c r="I307" s="18">
        <v>63.84</v>
      </c>
      <c r="J307" s="18"/>
      <c r="K307" s="18"/>
      <c r="L307" s="19">
        <f>SUM(F307:K307)</f>
        <v>28954.179999999997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>
        <v>1162.25</v>
      </c>
      <c r="I308" s="18">
        <v>20697.3</v>
      </c>
      <c r="J308" s="18">
        <v>39542.870000000003</v>
      </c>
      <c r="K308" s="18"/>
      <c r="L308" s="19">
        <f>SUM(F308:K308)</f>
        <v>61402.42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>
        <f>8278.5+15422.66</f>
        <v>23701.16</v>
      </c>
      <c r="I312" s="18">
        <f>9115.44+1520.34</f>
        <v>10635.78</v>
      </c>
      <c r="J312" s="18"/>
      <c r="K312" s="18">
        <v>2269.37</v>
      </c>
      <c r="L312" s="19">
        <f t="shared" si="16"/>
        <v>36606.310000000005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>
        <v>1315.58</v>
      </c>
      <c r="I313" s="18"/>
      <c r="J313" s="18"/>
      <c r="K313" s="18"/>
      <c r="L313" s="19">
        <f t="shared" si="16"/>
        <v>1315.58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>
        <v>3701.89</v>
      </c>
      <c r="I314" s="18"/>
      <c r="J314" s="18"/>
      <c r="K314" s="18"/>
      <c r="L314" s="19">
        <f t="shared" si="16"/>
        <v>3701.89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>
        <v>6500.21</v>
      </c>
      <c r="G315" s="18">
        <v>1293.97</v>
      </c>
      <c r="H315" s="18"/>
      <c r="I315" s="18"/>
      <c r="J315" s="18"/>
      <c r="K315" s="18"/>
      <c r="L315" s="19">
        <f t="shared" si="16"/>
        <v>7794.18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4000</v>
      </c>
      <c r="I317" s="18"/>
      <c r="J317" s="18"/>
      <c r="K317" s="18"/>
      <c r="L317" s="19">
        <f t="shared" si="16"/>
        <v>4000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50579.1</v>
      </c>
      <c r="G320" s="42">
        <f t="shared" si="17"/>
        <v>6058.09</v>
      </c>
      <c r="H320" s="42">
        <f t="shared" si="17"/>
        <v>89581.63</v>
      </c>
      <c r="I320" s="42">
        <f t="shared" si="17"/>
        <v>31766.6</v>
      </c>
      <c r="J320" s="42">
        <f t="shared" si="17"/>
        <v>45545.05</v>
      </c>
      <c r="K320" s="42">
        <f t="shared" si="17"/>
        <v>2269.37</v>
      </c>
      <c r="L320" s="41">
        <f t="shared" si="17"/>
        <v>225799.84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>
        <v>3574.24</v>
      </c>
      <c r="I328" s="18"/>
      <c r="J328" s="18"/>
      <c r="K328" s="18"/>
      <c r="L328" s="19">
        <f t="shared" si="18"/>
        <v>3574.24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3574.24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3574.24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612760.33399999992</v>
      </c>
      <c r="G330" s="41">
        <f t="shared" si="20"/>
        <v>131250.23000000001</v>
      </c>
      <c r="H330" s="41">
        <f t="shared" si="20"/>
        <v>452349.39999999997</v>
      </c>
      <c r="I330" s="41">
        <f t="shared" si="20"/>
        <v>150967.79</v>
      </c>
      <c r="J330" s="41">
        <f t="shared" si="20"/>
        <v>141250.76999999999</v>
      </c>
      <c r="K330" s="41">
        <f t="shared" si="20"/>
        <v>2269.37</v>
      </c>
      <c r="L330" s="41">
        <f t="shared" si="20"/>
        <v>1490847.8939999999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612760.33399999992</v>
      </c>
      <c r="G344" s="41">
        <f>G330</f>
        <v>131250.23000000001</v>
      </c>
      <c r="H344" s="41">
        <f>H330</f>
        <v>452349.39999999997</v>
      </c>
      <c r="I344" s="41">
        <f>I330</f>
        <v>150967.79</v>
      </c>
      <c r="J344" s="41">
        <f>J330</f>
        <v>141250.76999999999</v>
      </c>
      <c r="K344" s="47">
        <f>K330+K343</f>
        <v>2269.37</v>
      </c>
      <c r="L344" s="41">
        <f>L330+L343</f>
        <v>1490847.8939999999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158364.25</v>
      </c>
      <c r="G350" s="18">
        <v>34759.300000000003</v>
      </c>
      <c r="H350" s="18">
        <v>42878.85</v>
      </c>
      <c r="I350" s="18">
        <v>256057.5</v>
      </c>
      <c r="J350" s="18">
        <v>7734.53</v>
      </c>
      <c r="K350" s="18"/>
      <c r="L350" s="13">
        <f>SUM(F350:K350)</f>
        <v>499794.43000000005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80146.87</v>
      </c>
      <c r="G352" s="18">
        <v>35606.949999999997</v>
      </c>
      <c r="H352" s="18">
        <v>24119.360000000001</v>
      </c>
      <c r="I352" s="18">
        <v>144032.4</v>
      </c>
      <c r="J352" s="18">
        <v>0</v>
      </c>
      <c r="K352" s="18"/>
      <c r="L352" s="19">
        <f>SUM(F352:K352)</f>
        <v>283905.57999999996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238511.12</v>
      </c>
      <c r="G354" s="47">
        <f t="shared" si="22"/>
        <v>70366.25</v>
      </c>
      <c r="H354" s="47">
        <f t="shared" si="22"/>
        <v>66998.209999999992</v>
      </c>
      <c r="I354" s="47">
        <f t="shared" si="22"/>
        <v>400089.9</v>
      </c>
      <c r="J354" s="47">
        <f t="shared" si="22"/>
        <v>7734.53</v>
      </c>
      <c r="K354" s="47">
        <f t="shared" si="22"/>
        <v>0</v>
      </c>
      <c r="L354" s="47">
        <f t="shared" si="22"/>
        <v>783700.01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242118.71</v>
      </c>
      <c r="G359" s="18"/>
      <c r="H359" s="18">
        <v>136191.79999999999</v>
      </c>
      <c r="I359" s="56">
        <f>SUM(F359:H359)</f>
        <v>378310.51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13938.81</v>
      </c>
      <c r="G360" s="63"/>
      <c r="H360" s="63">
        <v>7840.58</v>
      </c>
      <c r="I360" s="56">
        <f>SUM(F360:H360)</f>
        <v>21779.39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256057.52</v>
      </c>
      <c r="G361" s="47">
        <f>SUM(G359:G360)</f>
        <v>0</v>
      </c>
      <c r="H361" s="47">
        <f>SUM(H359:H360)</f>
        <v>144032.37999999998</v>
      </c>
      <c r="I361" s="47">
        <f>SUM(I359:I360)</f>
        <v>400089.9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f>305346.32-25000+85000</f>
        <v>365346.32</v>
      </c>
      <c r="H381" s="18">
        <f>15938.06+491.76+120.85+13.67+9.72+652.91</f>
        <v>17226.969999999998</v>
      </c>
      <c r="I381" s="18"/>
      <c r="J381" s="24" t="s">
        <v>312</v>
      </c>
      <c r="K381" s="24" t="s">
        <v>312</v>
      </c>
      <c r="L381" s="56">
        <f t="shared" si="25"/>
        <v>382573.29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365346.32</v>
      </c>
      <c r="H385" s="139">
        <f>SUM(H379:H384)</f>
        <v>17226.969999999998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382573.29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>
        <f>11222.51+4702.92</f>
        <v>15925.43</v>
      </c>
      <c r="I387" s="18"/>
      <c r="J387" s="24" t="s">
        <v>312</v>
      </c>
      <c r="K387" s="24" t="s">
        <v>312</v>
      </c>
      <c r="L387" s="56">
        <f t="shared" ref="L387:L392" si="26">SUM(F387:K387)</f>
        <v>15925.43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4073.26</v>
      </c>
      <c r="I389" s="18"/>
      <c r="J389" s="24" t="s">
        <v>312</v>
      </c>
      <c r="K389" s="24" t="s">
        <v>312</v>
      </c>
      <c r="L389" s="56">
        <f t="shared" si="26"/>
        <v>4073.26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v>25000</v>
      </c>
      <c r="H392" s="18">
        <v>190.9</v>
      </c>
      <c r="I392" s="18"/>
      <c r="J392" s="24" t="s">
        <v>312</v>
      </c>
      <c r="K392" s="24" t="s">
        <v>312</v>
      </c>
      <c r="L392" s="56">
        <f t="shared" si="26"/>
        <v>25190.9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25000</v>
      </c>
      <c r="H393" s="47">
        <f>SUM(H387:H392)</f>
        <v>20189.590000000004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45189.590000000004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390346.32</v>
      </c>
      <c r="H400" s="47">
        <f>H385+H393+H399</f>
        <v>37416.559999999998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427762.88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f>1535670.53+45492.49+58221.05+7026.84+76772.69+4012.15+6272.59</f>
        <v>1733468.34</v>
      </c>
      <c r="G432" s="18">
        <f>362334.12+25134.13+672609.25+277731.01-23130.41</f>
        <v>1314678.1000000001</v>
      </c>
      <c r="H432" s="18"/>
      <c r="I432" s="56">
        <f t="shared" si="33"/>
        <v>3048146.4400000004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1733468.34</v>
      </c>
      <c r="G438" s="13">
        <f>SUM(G431:G437)</f>
        <v>1314678.1000000001</v>
      </c>
      <c r="H438" s="13">
        <f>SUM(H431:H437)</f>
        <v>0</v>
      </c>
      <c r="I438" s="13">
        <f>SUM(I431:I437)</f>
        <v>3048146.4400000004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f>F438</f>
        <v>1733468.34</v>
      </c>
      <c r="G449" s="18">
        <f>G438</f>
        <v>1314678.1000000001</v>
      </c>
      <c r="H449" s="18"/>
      <c r="I449" s="56">
        <f>SUM(F449:H449)</f>
        <v>3048146.4400000004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1733468.34</v>
      </c>
      <c r="G450" s="83">
        <f>SUM(G446:G449)</f>
        <v>1314678.1000000001</v>
      </c>
      <c r="H450" s="83">
        <f>SUM(H446:H449)</f>
        <v>0</v>
      </c>
      <c r="I450" s="83">
        <f>SUM(I446:I449)</f>
        <v>3048146.4400000004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1733468.34</v>
      </c>
      <c r="G451" s="42">
        <f>G444+G450</f>
        <v>1314678.1000000001</v>
      </c>
      <c r="H451" s="42">
        <f>H444+H450</f>
        <v>0</v>
      </c>
      <c r="I451" s="42">
        <f>I444+I450</f>
        <v>3048146.4400000004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305346.32</v>
      </c>
      <c r="G455" s="18"/>
      <c r="H455" s="18">
        <v>18215.78</v>
      </c>
      <c r="I455" s="18"/>
      <c r="J455" s="18">
        <v>2620383.56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24322341.52</v>
      </c>
      <c r="G458" s="18">
        <v>783700.01</v>
      </c>
      <c r="H458" s="18">
        <v>1636453.33</v>
      </c>
      <c r="I458" s="18"/>
      <c r="J458" s="18">
        <f>37416.56+390346.32</f>
        <v>427762.88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24322341.52</v>
      </c>
      <c r="G460" s="53">
        <f>SUM(G458:G459)</f>
        <v>783700.01</v>
      </c>
      <c r="H460" s="53">
        <f>SUM(H458:H459)</f>
        <v>1636453.33</v>
      </c>
      <c r="I460" s="53">
        <f>SUM(I458:I459)</f>
        <v>0</v>
      </c>
      <c r="J460" s="53">
        <f>SUM(J458:J459)</f>
        <v>427762.88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24135798.75</f>
        <v>24135798.75</v>
      </c>
      <c r="G462" s="18">
        <v>783700.01</v>
      </c>
      <c r="H462" s="18">
        <v>1490847.89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24135798.75</v>
      </c>
      <c r="G464" s="53">
        <f>SUM(G462:G463)</f>
        <v>783700.01</v>
      </c>
      <c r="H464" s="53">
        <f>SUM(H462:H463)</f>
        <v>1490847.89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491889.08999999985</v>
      </c>
      <c r="G466" s="53">
        <f>(G455+G460)- G464</f>
        <v>0</v>
      </c>
      <c r="H466" s="53">
        <f>(H455+H460)- H464</f>
        <v>163821.2200000002</v>
      </c>
      <c r="I466" s="53">
        <f>(I455+I460)- I464</f>
        <v>0</v>
      </c>
      <c r="J466" s="53">
        <f>(J455+J460)- J464</f>
        <v>3048146.44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19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1911965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0.4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1600000</v>
      </c>
      <c r="G485" s="18"/>
      <c r="H485" s="18"/>
      <c r="I485" s="18"/>
      <c r="J485" s="18"/>
      <c r="K485" s="53">
        <f>SUM(F485:J485)</f>
        <v>1600000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100000</v>
      </c>
      <c r="G487" s="18"/>
      <c r="H487" s="18"/>
      <c r="I487" s="18"/>
      <c r="J487" s="18"/>
      <c r="K487" s="53">
        <f t="shared" si="34"/>
        <v>100000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1500000</v>
      </c>
      <c r="G488" s="205"/>
      <c r="H488" s="205"/>
      <c r="I488" s="205"/>
      <c r="J488" s="205"/>
      <c r="K488" s="206">
        <f t="shared" si="34"/>
        <v>1500000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575487.5-72225</f>
        <v>503262.5</v>
      </c>
      <c r="G489" s="18"/>
      <c r="H489" s="18"/>
      <c r="I489" s="18"/>
      <c r="J489" s="18"/>
      <c r="K489" s="53">
        <f t="shared" si="34"/>
        <v>503262.5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2003262.5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2003262.5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100000</v>
      </c>
      <c r="G491" s="205"/>
      <c r="H491" s="205"/>
      <c r="I491" s="205"/>
      <c r="J491" s="205"/>
      <c r="K491" s="206">
        <f t="shared" si="34"/>
        <v>100000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67225</v>
      </c>
      <c r="G492" s="18"/>
      <c r="H492" s="18"/>
      <c r="I492" s="18"/>
      <c r="J492" s="18"/>
      <c r="K492" s="53">
        <f t="shared" si="34"/>
        <v>67225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167225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167225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1872793.09</v>
      </c>
      <c r="G497" s="144">
        <f>46020+55807.7</f>
        <v>101827.7</v>
      </c>
      <c r="H497" s="144">
        <f>80894.11+24641.36+57274.46+56748.87+33523.2+15913.48+70058.86+50788.08</f>
        <v>389842.42</v>
      </c>
      <c r="I497" s="144">
        <f>F497+G497-H497</f>
        <v>1584778.37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1688165.58+1200497.92</f>
        <v>2888663.5</v>
      </c>
      <c r="G511" s="18">
        <f>29713.47+526364.95</f>
        <v>556078.41999999993</v>
      </c>
      <c r="H511" s="18">
        <f>589457.19-13266.59+117634.53</f>
        <v>693825.13</v>
      </c>
      <c r="I511" s="18">
        <f>20255.05+13552.62</f>
        <v>33807.67</v>
      </c>
      <c r="J511" s="18">
        <f>17284.31+26199.28</f>
        <v>43483.59</v>
      </c>
      <c r="K511" s="18">
        <v>4024.34</v>
      </c>
      <c r="L511" s="88">
        <f>SUM(F511:K511)</f>
        <v>4219882.6499999994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809918.26+64883.49</f>
        <v>874801.75</v>
      </c>
      <c r="G513" s="18">
        <f>252530.08+15999.56</f>
        <v>268529.64</v>
      </c>
      <c r="H513" s="18">
        <f>317400.02-71143.55+63341.67</f>
        <v>309598.14</v>
      </c>
      <c r="I513" s="18">
        <f>10906.56+7297.56</f>
        <v>18204.12</v>
      </c>
      <c r="J513" s="18">
        <f>9306.94+14107.31</f>
        <v>23414.25</v>
      </c>
      <c r="K513" s="18">
        <v>2176.65</v>
      </c>
      <c r="L513" s="88">
        <f>SUM(F513:K513)</f>
        <v>1496724.5500000003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3763465.25</v>
      </c>
      <c r="G514" s="108">
        <f t="shared" ref="G514:L514" si="35">SUM(G511:G513)</f>
        <v>824608.05999999994</v>
      </c>
      <c r="H514" s="108">
        <f t="shared" si="35"/>
        <v>1003423.27</v>
      </c>
      <c r="I514" s="108">
        <f t="shared" si="35"/>
        <v>52011.789999999994</v>
      </c>
      <c r="J514" s="108">
        <f t="shared" si="35"/>
        <v>66897.84</v>
      </c>
      <c r="K514" s="108">
        <f t="shared" si="35"/>
        <v>6200.99</v>
      </c>
      <c r="L514" s="89">
        <f t="shared" si="35"/>
        <v>5716607.1999999993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337466.69+4025.89</f>
        <v>341492.58</v>
      </c>
      <c r="G516" s="18">
        <f>105221.1+773.11</f>
        <v>105994.21</v>
      </c>
      <c r="H516" s="18">
        <f>35729.12+9425.46</f>
        <v>45154.58</v>
      </c>
      <c r="I516" s="18">
        <v>14235</v>
      </c>
      <c r="J516" s="18">
        <v>4344.74</v>
      </c>
      <c r="K516" s="18"/>
      <c r="L516" s="88">
        <f>SUM(F516:K516)</f>
        <v>511221.11000000004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116773.57+2167.79</f>
        <v>118941.36</v>
      </c>
      <c r="G518" s="18">
        <f>36409.65+416.29</f>
        <v>36825.94</v>
      </c>
      <c r="H518" s="18">
        <f>19238.76+5075.25</f>
        <v>24314.01</v>
      </c>
      <c r="I518" s="18">
        <v>7665</v>
      </c>
      <c r="J518" s="18">
        <v>2339.48</v>
      </c>
      <c r="K518" s="18"/>
      <c r="L518" s="88">
        <f>SUM(F518:K518)</f>
        <v>190085.79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460433.94</v>
      </c>
      <c r="G519" s="89">
        <f t="shared" ref="G519:L519" si="36">SUM(G516:G518)</f>
        <v>142820.15000000002</v>
      </c>
      <c r="H519" s="89">
        <f t="shared" si="36"/>
        <v>69468.59</v>
      </c>
      <c r="I519" s="89">
        <f t="shared" si="36"/>
        <v>21900</v>
      </c>
      <c r="J519" s="89">
        <f t="shared" si="36"/>
        <v>6684.2199999999993</v>
      </c>
      <c r="K519" s="89">
        <f t="shared" si="36"/>
        <v>0</v>
      </c>
      <c r="L519" s="89">
        <f t="shared" si="36"/>
        <v>701306.9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72967.31</v>
      </c>
      <c r="G521" s="18">
        <v>32883.379999999997</v>
      </c>
      <c r="H521" s="18"/>
      <c r="I521" s="18"/>
      <c r="J521" s="18"/>
      <c r="K521" s="18">
        <v>5446.43</v>
      </c>
      <c r="L521" s="88">
        <f>SUM(F521:K521)</f>
        <v>111297.12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39290.089999999997</v>
      </c>
      <c r="G523" s="18">
        <v>117706.43</v>
      </c>
      <c r="H523" s="18"/>
      <c r="I523" s="18"/>
      <c r="J523" s="18"/>
      <c r="K523" s="18">
        <v>2932.7</v>
      </c>
      <c r="L523" s="88">
        <f>SUM(F523:K523)</f>
        <v>159929.22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112257.4</v>
      </c>
      <c r="G524" s="89">
        <f t="shared" ref="G524:L524" si="37">SUM(G521:G523)</f>
        <v>150589.81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8379.130000000001</v>
      </c>
      <c r="L524" s="89">
        <f t="shared" si="37"/>
        <v>271226.33999999997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2790</v>
      </c>
      <c r="I526" s="18"/>
      <c r="J526" s="18"/>
      <c r="K526" s="18"/>
      <c r="L526" s="88">
        <f>SUM(F526:K526)</f>
        <v>2790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2790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2790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41922.239999999998</v>
      </c>
      <c r="G531" s="18">
        <v>9140.69</v>
      </c>
      <c r="H531" s="18">
        <f>113266.59+62018.91-75726.99</f>
        <v>99558.51</v>
      </c>
      <c r="I531" s="18">
        <v>20076.259999999998</v>
      </c>
      <c r="J531" s="18">
        <v>1526.65</v>
      </c>
      <c r="K531" s="18"/>
      <c r="L531" s="88">
        <f>SUM(F531:K531)</f>
        <v>172224.35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f>16952.09+17504.33</f>
        <v>34456.42</v>
      </c>
      <c r="G533" s="18">
        <v>8369.99</v>
      </c>
      <c r="H533" s="18">
        <f>7143.55+33394.8+13161.37</f>
        <v>53699.720000000008</v>
      </c>
      <c r="I533" s="18">
        <v>10810.29</v>
      </c>
      <c r="J533" s="18">
        <v>822.04</v>
      </c>
      <c r="K533" s="18"/>
      <c r="L533" s="88">
        <f>SUM(F533:K533)</f>
        <v>108158.46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76378.66</v>
      </c>
      <c r="G534" s="194">
        <f t="shared" ref="G534:L534" si="39">SUM(G531:G533)</f>
        <v>17510.68</v>
      </c>
      <c r="H534" s="194">
        <f t="shared" si="39"/>
        <v>153258.23000000001</v>
      </c>
      <c r="I534" s="194">
        <f t="shared" si="39"/>
        <v>30886.55</v>
      </c>
      <c r="J534" s="194">
        <f t="shared" si="39"/>
        <v>2348.69</v>
      </c>
      <c r="K534" s="194">
        <f t="shared" si="39"/>
        <v>0</v>
      </c>
      <c r="L534" s="194">
        <f t="shared" si="39"/>
        <v>280382.81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4412535.2500000009</v>
      </c>
      <c r="G535" s="89">
        <f t="shared" ref="G535:L535" si="40">G514+G519+G524+G529+G534</f>
        <v>1135528.7</v>
      </c>
      <c r="H535" s="89">
        <f t="shared" si="40"/>
        <v>1228940.0900000001</v>
      </c>
      <c r="I535" s="89">
        <f t="shared" si="40"/>
        <v>104798.34</v>
      </c>
      <c r="J535" s="89">
        <f t="shared" si="40"/>
        <v>75930.75</v>
      </c>
      <c r="K535" s="89">
        <f t="shared" si="40"/>
        <v>14580.12</v>
      </c>
      <c r="L535" s="89">
        <f t="shared" si="40"/>
        <v>6972313.2499999991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4219882.6499999994</v>
      </c>
      <c r="G539" s="87">
        <f>L516</f>
        <v>511221.11000000004</v>
      </c>
      <c r="H539" s="87">
        <f>L521</f>
        <v>111297.12</v>
      </c>
      <c r="I539" s="87">
        <f>L526</f>
        <v>2790</v>
      </c>
      <c r="J539" s="87">
        <f>L531</f>
        <v>172224.35</v>
      </c>
      <c r="K539" s="87">
        <f>SUM(F539:J539)</f>
        <v>5017415.2299999995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1496724.5500000003</v>
      </c>
      <c r="G541" s="87">
        <f>L518</f>
        <v>190085.79</v>
      </c>
      <c r="H541" s="87">
        <f>L523</f>
        <v>159929.22</v>
      </c>
      <c r="I541" s="87">
        <f>L528</f>
        <v>0</v>
      </c>
      <c r="J541" s="87">
        <f>L533</f>
        <v>108158.46</v>
      </c>
      <c r="K541" s="87">
        <f>SUM(F541:J541)</f>
        <v>1954898.0200000003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5716607.1999999993</v>
      </c>
      <c r="G542" s="89">
        <f t="shared" si="41"/>
        <v>701306.9</v>
      </c>
      <c r="H542" s="89">
        <f t="shared" si="41"/>
        <v>271226.33999999997</v>
      </c>
      <c r="I542" s="89">
        <f t="shared" si="41"/>
        <v>2790</v>
      </c>
      <c r="J542" s="89">
        <f t="shared" si="41"/>
        <v>280382.81</v>
      </c>
      <c r="K542" s="89">
        <f t="shared" si="41"/>
        <v>6972313.25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f>48780.32-5653.44</f>
        <v>43126.879999999997</v>
      </c>
      <c r="G569" s="18"/>
      <c r="H569" s="18">
        <v>39947.53</v>
      </c>
      <c r="I569" s="87">
        <f t="shared" si="46"/>
        <v>83074.41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39900</v>
      </c>
      <c r="G570" s="18"/>
      <c r="H570" s="18">
        <v>125209.56</v>
      </c>
      <c r="I570" s="87">
        <f t="shared" si="46"/>
        <v>165109.56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181582.3</v>
      </c>
      <c r="G572" s="18"/>
      <c r="H572" s="18">
        <v>443395.51</v>
      </c>
      <c r="I572" s="87">
        <f t="shared" si="46"/>
        <v>624977.81000000006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5653.44</v>
      </c>
      <c r="I574" s="87">
        <f t="shared" si="46"/>
        <v>5653.44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>
        <v>398450</v>
      </c>
      <c r="I575" s="87">
        <f t="shared" si="46"/>
        <v>398450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489117.15</v>
      </c>
      <c r="I581" s="18"/>
      <c r="J581" s="18">
        <v>284009.64</v>
      </c>
      <c r="K581" s="104">
        <f t="shared" ref="K581:K587" si="47">SUM(H581:J581)</f>
        <v>773126.79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172224.35</v>
      </c>
      <c r="I582" s="18"/>
      <c r="J582" s="18">
        <f>70752.46+9532+27874</f>
        <v>108158.46</v>
      </c>
      <c r="K582" s="104">
        <f t="shared" si="47"/>
        <v>280382.81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f>51885.14-9532</f>
        <v>42353.14</v>
      </c>
      <c r="K583" s="104">
        <f t="shared" si="47"/>
        <v>42353.14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12055.7</v>
      </c>
      <c r="I584" s="18"/>
      <c r="J584" s="18">
        <f>SUM(17039*1.08)+4908</f>
        <v>23310.120000000003</v>
      </c>
      <c r="K584" s="104">
        <f t="shared" si="47"/>
        <v>35365.820000000007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15500.19</v>
      </c>
      <c r="I585" s="18"/>
      <c r="J585" s="18">
        <v>13851.73</v>
      </c>
      <c r="K585" s="104">
        <f t="shared" si="47"/>
        <v>29351.919999999998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688897.3899999999</v>
      </c>
      <c r="I588" s="108">
        <f>SUM(I581:I587)</f>
        <v>0</v>
      </c>
      <c r="J588" s="108">
        <f>SUM(J581:J587)</f>
        <v>471683.09</v>
      </c>
      <c r="K588" s="108">
        <f>SUM(K581:K587)</f>
        <v>1160580.48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221842.42+95705.72</f>
        <v>317548.14</v>
      </c>
      <c r="I594" s="18"/>
      <c r="J594" s="18">
        <f>120761.71+45545.05+23038.14</f>
        <v>189344.90000000002</v>
      </c>
      <c r="K594" s="104">
        <f>SUM(H594:J594)</f>
        <v>506893.04000000004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317548.14</v>
      </c>
      <c r="I595" s="108">
        <f>SUM(I592:I594)</f>
        <v>0</v>
      </c>
      <c r="J595" s="108">
        <f>SUM(J592:J594)</f>
        <v>189344.90000000002</v>
      </c>
      <c r="K595" s="108">
        <f>SUM(K592:K594)</f>
        <v>506893.04000000004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35959.19+4000+21235</f>
        <v>61194.19</v>
      </c>
      <c r="G601" s="18">
        <f>5055.3+2335.85</f>
        <v>7391.15</v>
      </c>
      <c r="H601" s="18">
        <v>6468.57</v>
      </c>
      <c r="I601" s="18">
        <v>1608.05</v>
      </c>
      <c r="J601" s="18"/>
      <c r="K601" s="18"/>
      <c r="L601" s="88">
        <f>SUM(F601:K601)</f>
        <v>76661.960000000006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3995.46</v>
      </c>
      <c r="G603" s="18">
        <v>570.15</v>
      </c>
      <c r="H603" s="18">
        <v>670.8</v>
      </c>
      <c r="I603" s="18"/>
      <c r="J603" s="18"/>
      <c r="K603" s="18"/>
      <c r="L603" s="88">
        <f>SUM(F603:K603)</f>
        <v>5236.41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65189.65</v>
      </c>
      <c r="G604" s="108">
        <f t="shared" si="48"/>
        <v>7961.2999999999993</v>
      </c>
      <c r="H604" s="108">
        <f t="shared" si="48"/>
        <v>7139.37</v>
      </c>
      <c r="I604" s="108">
        <f t="shared" si="48"/>
        <v>1608.05</v>
      </c>
      <c r="J604" s="108">
        <f t="shared" si="48"/>
        <v>0</v>
      </c>
      <c r="K604" s="108">
        <f t="shared" si="48"/>
        <v>0</v>
      </c>
      <c r="L604" s="89">
        <f t="shared" si="48"/>
        <v>81898.37000000001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2356951.46</v>
      </c>
      <c r="H607" s="109">
        <f>SUM(F44)</f>
        <v>2356951.46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51039.880000000005</v>
      </c>
      <c r="H608" s="109">
        <f>SUM(G44)</f>
        <v>51039.880000000005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308836.62</v>
      </c>
      <c r="H609" s="109">
        <f>SUM(H44)</f>
        <v>308836.62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3048146.4400000004</v>
      </c>
      <c r="H611" s="109">
        <f>SUM(J44)</f>
        <v>3048146.4400000004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491889.08999999997</v>
      </c>
      <c r="H612" s="109">
        <f>F466</f>
        <v>491889.08999999985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163821.22</v>
      </c>
      <c r="H614" s="109">
        <f>H466</f>
        <v>163821.2200000002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3048146.4400000004</v>
      </c>
      <c r="H616" s="109">
        <f>J466</f>
        <v>3048146.44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24322341.520000003</v>
      </c>
      <c r="H617" s="104">
        <f>SUM(F458)</f>
        <v>24322341.52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783700.01</v>
      </c>
      <c r="H618" s="104">
        <f>SUM(G458)</f>
        <v>783700.01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1636453.33</v>
      </c>
      <c r="H619" s="104">
        <f>SUM(H458)</f>
        <v>1636453.33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427762.88</v>
      </c>
      <c r="H621" s="104">
        <f>SUM(J458)</f>
        <v>427762.88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24135798.75</v>
      </c>
      <c r="H622" s="104">
        <f>SUM(F462)</f>
        <v>24135798.75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1490847.8939999999</v>
      </c>
      <c r="H623" s="104">
        <f>SUM(H462)</f>
        <v>1490847.89</v>
      </c>
      <c r="I623" s="140" t="s">
        <v>121</v>
      </c>
      <c r="J623" s="109">
        <f>G623-H623</f>
        <v>3.9999999571591616E-3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400089.9</v>
      </c>
      <c r="H624" s="104">
        <f>I361</f>
        <v>400089.9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783700.01</v>
      </c>
      <c r="H625" s="104">
        <f>SUM(G462)</f>
        <v>783700.01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427762.88</v>
      </c>
      <c r="H627" s="164">
        <f>SUM(J458)</f>
        <v>427762.88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1733468.34</v>
      </c>
      <c r="H629" s="104">
        <f>SUM(F451)</f>
        <v>1733468.34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1314678.1000000001</v>
      </c>
      <c r="H630" s="104">
        <f>SUM(G451)</f>
        <v>1314678.1000000001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3048146.4400000004</v>
      </c>
      <c r="H632" s="104">
        <f>SUM(I451)</f>
        <v>3048146.4400000004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37416.559999999998</v>
      </c>
      <c r="H634" s="104">
        <f>H400</f>
        <v>37416.559999999998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390346.32</v>
      </c>
      <c r="H635" s="104">
        <f>G400</f>
        <v>390346.32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427762.88</v>
      </c>
      <c r="H636" s="104">
        <f>L400</f>
        <v>427762.88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1160580.48</v>
      </c>
      <c r="H637" s="104">
        <f>L200+L218+L236</f>
        <v>1160580.48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506893.04000000004</v>
      </c>
      <c r="H638" s="104">
        <f>(J249+J330)-(J247+J328)</f>
        <v>506893.04000000004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688897.3899999999</v>
      </c>
      <c r="H639" s="104">
        <f>H588</f>
        <v>688897.3899999999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471683.09</v>
      </c>
      <c r="H641" s="104">
        <f>J588</f>
        <v>471683.09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79495.759999999995</v>
      </c>
      <c r="H642" s="104">
        <f>K255+K337</f>
        <v>79495.759999999995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390346.32</v>
      </c>
      <c r="H645" s="104">
        <f>K258+K339</f>
        <v>390346.32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4.0000081062316895E-3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16013922.163999999</v>
      </c>
      <c r="G650" s="19">
        <f>(L221+L301+L351)</f>
        <v>0</v>
      </c>
      <c r="H650" s="19">
        <f>(L239+L320+L352)</f>
        <v>9563885.0099999998</v>
      </c>
      <c r="I650" s="19">
        <f>SUM(F650:H650)</f>
        <v>25577807.173999999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275136.72816635121</v>
      </c>
      <c r="G651" s="19">
        <f>(L351/IF(SUM(L350:L352)=0,1,SUM(L350:L352))*(SUM(G89:G102)))</f>
        <v>0</v>
      </c>
      <c r="H651" s="19">
        <f>(L352/IF(SUM(L350:L352)=0,1,SUM(L350:L352))*(SUM(G89:G102)))</f>
        <v>156289.96183364879</v>
      </c>
      <c r="I651" s="19">
        <f>SUM(F651:H651)</f>
        <v>431426.69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682790.79999999993</v>
      </c>
      <c r="G652" s="19">
        <f>(L218+L298)-(J218+J298)</f>
        <v>0</v>
      </c>
      <c r="H652" s="19">
        <f>(L236+L317)-(J236+J317)</f>
        <v>472394.93000000005</v>
      </c>
      <c r="I652" s="19">
        <f>SUM(F652:H652)</f>
        <v>1155185.73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658819.28</v>
      </c>
      <c r="G653" s="200">
        <f>SUM(G565:G577)+SUM(I592:I594)+L602</f>
        <v>0</v>
      </c>
      <c r="H653" s="200">
        <f>SUM(H565:H577)+SUM(J592:J594)+L603</f>
        <v>1207237.3499999999</v>
      </c>
      <c r="I653" s="19">
        <f>SUM(F653:H653)</f>
        <v>1866056.63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14397175.355833648</v>
      </c>
      <c r="G654" s="19">
        <f>G650-SUM(G651:G653)</f>
        <v>0</v>
      </c>
      <c r="H654" s="19">
        <f>H650-SUM(H651:H653)</f>
        <v>7727962.7681663511</v>
      </c>
      <c r="I654" s="19">
        <f>I650-SUM(I651:I653)</f>
        <v>22125138.123999998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f>23.71+112.48+182.29+218.31+70.72+121.93+28.1+115.56+172.31+75.36+6.46</f>
        <v>1127.23</v>
      </c>
      <c r="G655" s="249"/>
      <c r="H655" s="249">
        <v>625.26</v>
      </c>
      <c r="I655" s="19">
        <f>SUM(F655:H655)</f>
        <v>1752.49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12772.17</v>
      </c>
      <c r="G657" s="19" t="e">
        <f>ROUND(G654/G655,2)</f>
        <v>#DIV/0!</v>
      </c>
      <c r="H657" s="19">
        <f>ROUND(H654/H655,2)</f>
        <v>12359.6</v>
      </c>
      <c r="I657" s="19">
        <f>ROUND(I654/I655,2)</f>
        <v>12624.97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-31.41</v>
      </c>
      <c r="I660" s="19">
        <f>SUM(F660:H660)</f>
        <v>-31.41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12772.17</v>
      </c>
      <c r="G662" s="19" t="e">
        <f>ROUND((G654+G659)/(G655+G660),2)</f>
        <v>#DIV/0!</v>
      </c>
      <c r="H662" s="19">
        <f>ROUND((H654+H659)/(H655+H660),2)</f>
        <v>13013.32</v>
      </c>
      <c r="I662" s="19">
        <f>ROUND((I654+I659)/(I655+I660),2)</f>
        <v>12855.38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D76E-464F-487B-9731-59250822E13E}">
  <sheetPr>
    <tabColor indexed="20"/>
  </sheetPr>
  <dimension ref="A1:C52"/>
  <sheetViews>
    <sheetView topLeftCell="A6"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Fall Mountain Regional School District/SAU 60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6418552.9099999992</v>
      </c>
      <c r="C9" s="230">
        <f>'DOE25'!G189+'DOE25'!G207+'DOE25'!G225+'DOE25'!G268+'DOE25'!G287+'DOE25'!G306</f>
        <v>2695054.11</v>
      </c>
    </row>
    <row r="10" spans="1:3" x14ac:dyDescent="0.2">
      <c r="A10" t="s">
        <v>813</v>
      </c>
      <c r="B10" s="241">
        <v>6330202.7599999998</v>
      </c>
      <c r="C10" s="241">
        <v>2676483.59</v>
      </c>
    </row>
    <row r="11" spans="1:3" x14ac:dyDescent="0.2">
      <c r="A11" t="s">
        <v>814</v>
      </c>
      <c r="B11" s="241">
        <v>88350.15</v>
      </c>
      <c r="C11" s="241">
        <f>13252.52+5318</f>
        <v>18570.52</v>
      </c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6418552.9100000001</v>
      </c>
      <c r="C13" s="232">
        <f>SUM(C10:C12)</f>
        <v>2695054.11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3265896.9239999996</v>
      </c>
      <c r="C18" s="230">
        <f>'DOE25'!G190+'DOE25'!G208+'DOE25'!G226+'DOE25'!G269+'DOE25'!G288+'DOE25'!G307</f>
        <v>1034812.63</v>
      </c>
    </row>
    <row r="19" spans="1:3" x14ac:dyDescent="0.2">
      <c r="A19" t="s">
        <v>813</v>
      </c>
      <c r="B19" s="241">
        <f>244930.92+1065216.56+39954.65+20749.73</f>
        <v>1370851.8599999999</v>
      </c>
      <c r="C19" s="241">
        <v>669978.91</v>
      </c>
    </row>
    <row r="20" spans="1:3" x14ac:dyDescent="0.2">
      <c r="A20" t="s">
        <v>814</v>
      </c>
      <c r="B20" s="241">
        <f>1207270.13+76123.86</f>
        <v>1283393.99</v>
      </c>
      <c r="C20" s="241">
        <v>175221.89</v>
      </c>
    </row>
    <row r="21" spans="1:3" x14ac:dyDescent="0.2">
      <c r="A21" t="s">
        <v>815</v>
      </c>
      <c r="B21" s="241">
        <f>65399+41310.4+31767.4+454240.26+18934.01</f>
        <v>611651.07000000007</v>
      </c>
      <c r="C21" s="241">
        <v>189611.83</v>
      </c>
    </row>
    <row r="22" spans="1:3" x14ac:dyDescent="0.2">
      <c r="A22" t="str">
        <f>IF(B18=B22,IF(C18=C22,"Check Total OK","Check Total Error"),"Check Total Error")</f>
        <v>Check Total Error</v>
      </c>
      <c r="B22" s="232">
        <f>SUM(B19:B21)</f>
        <v>3265896.92</v>
      </c>
      <c r="C22" s="232">
        <f>SUM(C19:C21)</f>
        <v>1034812.63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386945.02</v>
      </c>
      <c r="C27" s="235">
        <f>'DOE25'!G191+'DOE25'!G209+'DOE25'!G227+'DOE25'!G270+'DOE25'!G289+'DOE25'!G308</f>
        <v>128670.43</v>
      </c>
    </row>
    <row r="28" spans="1:3" x14ac:dyDescent="0.2">
      <c r="A28" t="s">
        <v>813</v>
      </c>
      <c r="B28" s="241">
        <v>386945.02</v>
      </c>
      <c r="C28" s="241">
        <v>128670.43</v>
      </c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386945.02</v>
      </c>
      <c r="C31" s="232">
        <f>SUM(C28:C30)</f>
        <v>128670.43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229194.14</v>
      </c>
      <c r="C36" s="236">
        <f>'DOE25'!G192+'DOE25'!G210+'DOE25'!G228+'DOE25'!G271+'DOE25'!G290+'DOE25'!G309</f>
        <v>38448.979999999996</v>
      </c>
    </row>
    <row r="37" spans="1:3" x14ac:dyDescent="0.2">
      <c r="A37" t="s">
        <v>813</v>
      </c>
      <c r="B37" s="241">
        <f>B36-B39</f>
        <v>174654.14</v>
      </c>
      <c r="C37" s="241">
        <f>C36-C39</f>
        <v>23335.319999999996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54540</v>
      </c>
      <c r="C39" s="241">
        <v>15113.66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229194.14</v>
      </c>
      <c r="C40" s="232">
        <f>SUM(C37:C39)</f>
        <v>38448.979999999996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62D03-24F2-40C8-B4AE-E1E33884570F}">
  <sheetPr>
    <tabColor indexed="11"/>
  </sheetPr>
  <dimension ref="A1:I51"/>
  <sheetViews>
    <sheetView workbookViewId="0">
      <pane ySplit="4" topLeftCell="A15" activePane="bottomLeft" state="frozen"/>
      <selection pane="bottomLeft" activeCell="E36" sqref="E3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Fall Mountain Regional School District/SAU 60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15689391.879999999</v>
      </c>
      <c r="D5" s="20">
        <f>SUM('DOE25'!L189:L192)+SUM('DOE25'!L207:L210)+SUM('DOE25'!L225:L228)-F5-G5</f>
        <v>15407029.199999999</v>
      </c>
      <c r="E5" s="244"/>
      <c r="F5" s="256">
        <f>SUM('DOE25'!J189:J192)+SUM('DOE25'!J207:J210)+SUM('DOE25'!J225:J228)</f>
        <v>261350.97999999998</v>
      </c>
      <c r="G5" s="53">
        <f>SUM('DOE25'!K189:K192)+SUM('DOE25'!K207:K210)+SUM('DOE25'!K225:K228)</f>
        <v>21011.7</v>
      </c>
      <c r="H5" s="260"/>
    </row>
    <row r="6" spans="1:9" x14ac:dyDescent="0.2">
      <c r="A6" s="32">
        <v>2100</v>
      </c>
      <c r="B6" t="s">
        <v>835</v>
      </c>
      <c r="C6" s="246">
        <f t="shared" si="0"/>
        <v>1130743.3800000001</v>
      </c>
      <c r="D6" s="20">
        <f>'DOE25'!L194+'DOE25'!L212+'DOE25'!L230-F6-G6</f>
        <v>1126764.76</v>
      </c>
      <c r="E6" s="244"/>
      <c r="F6" s="256">
        <f>'DOE25'!J194+'DOE25'!J212+'DOE25'!J230</f>
        <v>3503.62</v>
      </c>
      <c r="G6" s="53">
        <f>'DOE25'!K194+'DOE25'!K212+'DOE25'!K230</f>
        <v>475</v>
      </c>
      <c r="H6" s="260"/>
    </row>
    <row r="7" spans="1:9" x14ac:dyDescent="0.2">
      <c r="A7" s="32">
        <v>2200</v>
      </c>
      <c r="B7" t="s">
        <v>868</v>
      </c>
      <c r="C7" s="246">
        <f t="shared" si="0"/>
        <v>840112.38</v>
      </c>
      <c r="D7" s="20">
        <f>'DOE25'!L195+'DOE25'!L213+'DOE25'!L231-F7-G7</f>
        <v>825580.35</v>
      </c>
      <c r="E7" s="244"/>
      <c r="F7" s="256">
        <f>'DOE25'!J195+'DOE25'!J213+'DOE25'!J231</f>
        <v>4429.0300000000007</v>
      </c>
      <c r="G7" s="53">
        <f>'DOE25'!K195+'DOE25'!K213+'DOE25'!K231</f>
        <v>10103</v>
      </c>
      <c r="H7" s="260"/>
    </row>
    <row r="8" spans="1:9" x14ac:dyDescent="0.2">
      <c r="A8" s="32">
        <v>2300</v>
      </c>
      <c r="B8" t="s">
        <v>836</v>
      </c>
      <c r="C8" s="246">
        <f t="shared" si="0"/>
        <v>65874.320000000022</v>
      </c>
      <c r="D8" s="244"/>
      <c r="E8" s="20">
        <f>'DOE25'!L196+'DOE25'!L214+'DOE25'!L232-F8-G8-D9-D11</f>
        <v>17955.47000000003</v>
      </c>
      <c r="F8" s="256">
        <f>'DOE25'!J196+'DOE25'!J214+'DOE25'!J232</f>
        <v>40102.339999999997</v>
      </c>
      <c r="G8" s="53">
        <f>'DOE25'!K196+'DOE25'!K214+'DOE25'!K232</f>
        <v>7816.51</v>
      </c>
      <c r="H8" s="260"/>
    </row>
    <row r="9" spans="1:9" x14ac:dyDescent="0.2">
      <c r="A9" s="32">
        <v>2310</v>
      </c>
      <c r="B9" t="s">
        <v>852</v>
      </c>
      <c r="C9" s="246">
        <f t="shared" si="0"/>
        <v>116557.71</v>
      </c>
      <c r="D9" s="245">
        <v>116557.71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22000</v>
      </c>
      <c r="D10" s="244"/>
      <c r="E10" s="245">
        <v>22000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346025.77</v>
      </c>
      <c r="D11" s="245">
        <v>346025.77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1247491.5</v>
      </c>
      <c r="D12" s="20">
        <f>'DOE25'!L197+'DOE25'!L215+'DOE25'!L233-F12-G12</f>
        <v>1232578.1800000002</v>
      </c>
      <c r="E12" s="244"/>
      <c r="F12" s="256">
        <f>'DOE25'!J197+'DOE25'!J215+'DOE25'!J233</f>
        <v>11739.92</v>
      </c>
      <c r="G12" s="53">
        <f>'DOE25'!K197+'DOE25'!K215+'DOE25'!K233</f>
        <v>3173.4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287222.61</v>
      </c>
      <c r="D13" s="244"/>
      <c r="E13" s="20">
        <f>'DOE25'!L198+'DOE25'!L216+'DOE25'!L234-F13-G13</f>
        <v>284853.17</v>
      </c>
      <c r="F13" s="256">
        <f>'DOE25'!J198+'DOE25'!J216+'DOE25'!J234</f>
        <v>138.91</v>
      </c>
      <c r="G13" s="53">
        <f>'DOE25'!K198+'DOE25'!K216+'DOE25'!K234</f>
        <v>2230.5299999999997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2422833.48</v>
      </c>
      <c r="D14" s="20">
        <f>'DOE25'!L199+'DOE25'!L217+'DOE25'!L235-F14-G14</f>
        <v>2387452.71</v>
      </c>
      <c r="E14" s="244"/>
      <c r="F14" s="256">
        <f>'DOE25'!J199+'DOE25'!J217+'DOE25'!J235</f>
        <v>34982.720000000001</v>
      </c>
      <c r="G14" s="53">
        <f>'DOE25'!K199+'DOE25'!K217+'DOE25'!K235</f>
        <v>398.05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1160580.48</v>
      </c>
      <c r="D15" s="20">
        <f>'DOE25'!L200+'DOE25'!L218+'DOE25'!L236-F15-G15</f>
        <v>1151105.73</v>
      </c>
      <c r="E15" s="244"/>
      <c r="F15" s="256">
        <f>'DOE25'!J200+'DOE25'!J218+'DOE25'!J236</f>
        <v>9394.75</v>
      </c>
      <c r="G15" s="53">
        <f>'DOE25'!K200+'DOE25'!K218+'DOE25'!K236</f>
        <v>80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190472.4</v>
      </c>
      <c r="D22" s="244"/>
      <c r="E22" s="244"/>
      <c r="F22" s="256">
        <f>'DOE25'!L247+'DOE25'!L328</f>
        <v>190472.4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172225</v>
      </c>
      <c r="D25" s="244"/>
      <c r="E25" s="244"/>
      <c r="F25" s="259"/>
      <c r="G25" s="257"/>
      <c r="H25" s="258">
        <f>'DOE25'!L252+'DOE25'!L253+'DOE25'!L333+'DOE25'!L334</f>
        <v>172225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405389.5</v>
      </c>
      <c r="D29" s="20">
        <f>'DOE25'!L350+'DOE25'!L351+'DOE25'!L352-'DOE25'!I359-F29-G29</f>
        <v>397654.97</v>
      </c>
      <c r="E29" s="244"/>
      <c r="F29" s="256">
        <f>'DOE25'!J350+'DOE25'!J351+'DOE25'!J352</f>
        <v>7734.53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1487273.6539999999</v>
      </c>
      <c r="D31" s="20">
        <f>'DOE25'!L282+'DOE25'!L301+'DOE25'!L320+'DOE25'!L325+'DOE25'!L326+'DOE25'!L327-F31-G31</f>
        <v>1343753.5139999997</v>
      </c>
      <c r="E31" s="244"/>
      <c r="F31" s="256">
        <f>'DOE25'!J282+'DOE25'!J301+'DOE25'!J320+'DOE25'!J325+'DOE25'!J326+'DOE25'!J327</f>
        <v>141250.76999999999</v>
      </c>
      <c r="G31" s="53">
        <f>'DOE25'!K282+'DOE25'!K301+'DOE25'!K320+'DOE25'!K325+'DOE25'!K326+'DOE25'!K327</f>
        <v>2269.37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24334502.893999998</v>
      </c>
      <c r="E33" s="247">
        <f>SUM(E5:E31)</f>
        <v>324808.64</v>
      </c>
      <c r="F33" s="247">
        <f>SUM(F5:F31)</f>
        <v>705099.97</v>
      </c>
      <c r="G33" s="247">
        <f>SUM(G5:G31)</f>
        <v>47557.560000000005</v>
      </c>
      <c r="H33" s="247">
        <f>SUM(H5:H31)</f>
        <v>172225</v>
      </c>
    </row>
    <row r="35" spans="2:8" ht="12" thickBot="1" x14ac:dyDescent="0.25">
      <c r="B35" s="254" t="s">
        <v>881</v>
      </c>
      <c r="D35" s="255">
        <f>E33</f>
        <v>324808.64</v>
      </c>
      <c r="E35" s="250"/>
    </row>
    <row r="36" spans="2:8" ht="12" thickTop="1" x14ac:dyDescent="0.2">
      <c r="B36" t="s">
        <v>849</v>
      </c>
      <c r="D36" s="20">
        <f>D33</f>
        <v>24334502.893999998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A473-1E8C-4B01-A5DB-B851048CEEFD}">
  <sheetPr transitionEvaluation="1" codeName="Sheet2">
    <tabColor indexed="10"/>
  </sheetPr>
  <dimension ref="A1:I156"/>
  <sheetViews>
    <sheetView zoomScale="75" workbookViewId="0">
      <pane ySplit="2" topLeftCell="A27" activePane="bottomLeft" state="frozen"/>
      <selection pane="bottomLeft" activeCell="G88" sqref="G88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Fall Mountain Regional School District/SAU 60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1861033.01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3048146.4400000004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38197.040000000001</v>
      </c>
      <c r="D12" s="95">
        <f>'DOE25'!G12</f>
        <v>32163.06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149635.16</v>
      </c>
      <c r="D13" s="95">
        <f>'DOE25'!G13</f>
        <v>17526.82</v>
      </c>
      <c r="E13" s="95">
        <f>'DOE25'!H13</f>
        <v>308836.62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76484.25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231602</v>
      </c>
      <c r="D17" s="95">
        <f>'DOE25'!G17</f>
        <v>1350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2356951.46</v>
      </c>
      <c r="D19" s="41">
        <f>SUM(D9:D18)</f>
        <v>51039.880000000005</v>
      </c>
      <c r="E19" s="41">
        <f>SUM(E9:E18)</f>
        <v>308836.62</v>
      </c>
      <c r="F19" s="41">
        <f>SUM(F9:F18)</f>
        <v>0</v>
      </c>
      <c r="G19" s="41">
        <f>SUM(G9:G18)</f>
        <v>3048146.4400000004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70360.100000000006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390605.3</v>
      </c>
      <c r="D24" s="95">
        <f>'DOE25'!G25</f>
        <v>19279.32</v>
      </c>
      <c r="E24" s="95">
        <f>'DOE25'!H25</f>
        <v>14442.15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1476899.69</v>
      </c>
      <c r="D28" s="95">
        <f>'DOE25'!G29</f>
        <v>31760.560000000001</v>
      </c>
      <c r="E28" s="95">
        <f>'DOE25'!H29</f>
        <v>60213.15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-2442.62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1865062.3699999999</v>
      </c>
      <c r="D32" s="41">
        <f>SUM(D22:D31)</f>
        <v>51039.880000000005</v>
      </c>
      <c r="E32" s="41">
        <f>SUM(E22:E31)</f>
        <v>145015.4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491889.08999999997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163821.22</v>
      </c>
      <c r="F40" s="95">
        <f>'DOE25'!I41</f>
        <v>0</v>
      </c>
      <c r="G40" s="95">
        <f>'DOE25'!J41</f>
        <v>3048146.4400000004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491889.08999999997</v>
      </c>
      <c r="D42" s="41">
        <f>SUM(D34:D41)</f>
        <v>0</v>
      </c>
      <c r="E42" s="41">
        <f>SUM(E34:E41)</f>
        <v>163821.22</v>
      </c>
      <c r="F42" s="41">
        <f>SUM(F34:F41)</f>
        <v>0</v>
      </c>
      <c r="G42" s="41">
        <f>SUM(G34:G41)</f>
        <v>3048146.4400000004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2356951.46</v>
      </c>
      <c r="D43" s="41">
        <f>D42+D32</f>
        <v>51039.880000000005</v>
      </c>
      <c r="E43" s="41">
        <f>E42+E32</f>
        <v>308836.62</v>
      </c>
      <c r="F43" s="41">
        <f>F42+F32</f>
        <v>0</v>
      </c>
      <c r="G43" s="41">
        <f>G42+G32</f>
        <v>3048146.4400000004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12221363.18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132404.72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23418.68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37416.559999999998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431426.69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25447.73</v>
      </c>
      <c r="D53" s="95">
        <f>SUM('DOE25'!G90:G102)</f>
        <v>0</v>
      </c>
      <c r="E53" s="95">
        <f>SUM('DOE25'!H90:H102)</f>
        <v>173501.25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181271.13</v>
      </c>
      <c r="D54" s="130">
        <f>SUM(D49:D53)</f>
        <v>431426.69</v>
      </c>
      <c r="E54" s="130">
        <f>SUM(E49:E53)</f>
        <v>173501.25</v>
      </c>
      <c r="F54" s="130">
        <f>SUM(F49:F53)</f>
        <v>0</v>
      </c>
      <c r="G54" s="130">
        <f>SUM(G49:G53)</f>
        <v>37416.559999999998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12402634.310000001</v>
      </c>
      <c r="D55" s="22">
        <f>D48+D54</f>
        <v>431426.69</v>
      </c>
      <c r="E55" s="22">
        <f>E48+E54</f>
        <v>173501.25</v>
      </c>
      <c r="F55" s="22">
        <f>F48+F54</f>
        <v>0</v>
      </c>
      <c r="G55" s="22">
        <f>G48+G54</f>
        <v>37416.559999999998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6286262.4199999999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2320694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2411844.58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11018801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57548.38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270027.15000000002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288531.58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4834.43</v>
      </c>
      <c r="E69" s="95">
        <f>SUM('DOE25'!H123:H127)</f>
        <v>16950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616107.1100000001</v>
      </c>
      <c r="D70" s="130">
        <f>SUM(D64:D69)</f>
        <v>4834.43</v>
      </c>
      <c r="E70" s="130">
        <f>SUM(E64:E69)</f>
        <v>16950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11634908.109999999</v>
      </c>
      <c r="D73" s="130">
        <f>SUM(D71:D72)+D70+D62</f>
        <v>4834.43</v>
      </c>
      <c r="E73" s="130">
        <f>SUM(E71:E72)+E70+E62</f>
        <v>16950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284799.09999999998</v>
      </c>
      <c r="D80" s="95">
        <f>SUM('DOE25'!G145:G153)</f>
        <v>267943.13</v>
      </c>
      <c r="E80" s="95">
        <f>SUM('DOE25'!H145:H153)</f>
        <v>1446002.08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284799.09999999998</v>
      </c>
      <c r="D83" s="131">
        <f>SUM(D77:D82)</f>
        <v>267943.13</v>
      </c>
      <c r="E83" s="131">
        <f>SUM(E77:E82)</f>
        <v>1446002.08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79495.759999999995</v>
      </c>
      <c r="E88" s="95">
        <f>'DOE25'!H171</f>
        <v>0</v>
      </c>
      <c r="F88" s="95">
        <f>'DOE25'!I171</f>
        <v>0</v>
      </c>
      <c r="G88" s="95">
        <f>'DOE25'!J171</f>
        <v>390346.32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79495.759999999995</v>
      </c>
      <c r="E95" s="86">
        <f>SUM(E85:E94)</f>
        <v>0</v>
      </c>
      <c r="F95" s="86">
        <f>SUM(F85:F94)</f>
        <v>0</v>
      </c>
      <c r="G95" s="86">
        <f>SUM(G85:G94)</f>
        <v>390346.32</v>
      </c>
    </row>
    <row r="96" spans="1:7" ht="12.75" thickTop="1" thickBot="1" x14ac:dyDescent="0.25">
      <c r="A96" s="33" t="s">
        <v>797</v>
      </c>
      <c r="C96" s="86">
        <f>C55+C73+C83+C95</f>
        <v>24322341.520000003</v>
      </c>
      <c r="D96" s="86">
        <f>D55+D73+D83+D95</f>
        <v>783700.01</v>
      </c>
      <c r="E96" s="86">
        <f>E55+E73+E83+E95</f>
        <v>1636453.33</v>
      </c>
      <c r="F96" s="86">
        <f>F55+F73+F83+F95</f>
        <v>0</v>
      </c>
      <c r="G96" s="86">
        <f>G55+G73+G95</f>
        <v>427762.88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9261916.6500000004</v>
      </c>
      <c r="D101" s="24" t="s">
        <v>312</v>
      </c>
      <c r="E101" s="95">
        <f>('DOE25'!L268)+('DOE25'!L287)+('DOE25'!L306)</f>
        <v>652025.97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5064284.0999999996</v>
      </c>
      <c r="D102" s="24" t="s">
        <v>312</v>
      </c>
      <c r="E102" s="95">
        <f>('DOE25'!L269)+('DOE25'!L288)+('DOE25'!L307)</f>
        <v>524253.34399999998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1005078.53</v>
      </c>
      <c r="D103" s="24" t="s">
        <v>312</v>
      </c>
      <c r="E103" s="95">
        <f>('DOE25'!L270)+('DOE25'!L289)+('DOE25'!L308)</f>
        <v>61402.42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358112.60000000003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15689391.879999999</v>
      </c>
      <c r="D107" s="86">
        <f>SUM(D101:D106)</f>
        <v>0</v>
      </c>
      <c r="E107" s="86">
        <f>SUM(E101:E106)</f>
        <v>1237681.7339999999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1130743.3800000001</v>
      </c>
      <c r="D110" s="24" t="s">
        <v>312</v>
      </c>
      <c r="E110" s="95">
        <f>+('DOE25'!L273)+('DOE25'!L292)+('DOE25'!L311)</f>
        <v>588.34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840112.38</v>
      </c>
      <c r="D111" s="24" t="s">
        <v>312</v>
      </c>
      <c r="E111" s="95">
        <f>+('DOE25'!L274)+('DOE25'!L293)+('DOE25'!L312)</f>
        <v>208398.84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528457.80000000005</v>
      </c>
      <c r="D112" s="24" t="s">
        <v>312</v>
      </c>
      <c r="E112" s="95">
        <f>+('DOE25'!L275)+('DOE25'!L294)+('DOE25'!L313)</f>
        <v>3758.7999999999997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1247491.5</v>
      </c>
      <c r="D113" s="24" t="s">
        <v>312</v>
      </c>
      <c r="E113" s="95">
        <f>+('DOE25'!L276)+('DOE25'!L295)+('DOE25'!L314)</f>
        <v>10576.84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287222.61</v>
      </c>
      <c r="D114" s="24" t="s">
        <v>312</v>
      </c>
      <c r="E114" s="95">
        <f>+('DOE25'!L277)+('DOE25'!L296)+('DOE25'!L315)</f>
        <v>22269.1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2422833.48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1160580.48</v>
      </c>
      <c r="D116" s="24" t="s">
        <v>312</v>
      </c>
      <c r="E116" s="95">
        <f>+('DOE25'!L279)+('DOE25'!L298)+('DOE25'!L317)</f>
        <v>4000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783700.01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7617441.6300000008</v>
      </c>
      <c r="D120" s="86">
        <f>SUM(D110:D119)</f>
        <v>783700.01</v>
      </c>
      <c r="E120" s="86">
        <f>SUM(E110:E119)</f>
        <v>249591.91999999998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186898.16</v>
      </c>
      <c r="D122" s="24" t="s">
        <v>312</v>
      </c>
      <c r="E122" s="129">
        <f>'DOE25'!L328</f>
        <v>3574.24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100000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72225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79495.759999999995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382573.29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45189.590000000004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-37416.559999999998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828965.24</v>
      </c>
      <c r="D136" s="141">
        <f>SUM(D122:D135)</f>
        <v>0</v>
      </c>
      <c r="E136" s="141">
        <f>SUM(E122:E135)</f>
        <v>3574.24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24135798.749999996</v>
      </c>
      <c r="D137" s="86">
        <f>(D107+D120+D136)</f>
        <v>783700.01</v>
      </c>
      <c r="E137" s="86">
        <f>(E107+E120+E136)</f>
        <v>1490847.8939999999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19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08/05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08/24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1911965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0.4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1600000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1600000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100000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100000</v>
      </c>
    </row>
    <row r="151" spans="1:7" x14ac:dyDescent="0.2">
      <c r="A151" s="22" t="s">
        <v>35</v>
      </c>
      <c r="B151" s="137">
        <f>'DOE25'!F488</f>
        <v>1500000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1500000</v>
      </c>
    </row>
    <row r="152" spans="1:7" x14ac:dyDescent="0.2">
      <c r="A152" s="22" t="s">
        <v>36</v>
      </c>
      <c r="B152" s="137">
        <f>'DOE25'!F489</f>
        <v>503262.5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503262.5</v>
      </c>
    </row>
    <row r="153" spans="1:7" x14ac:dyDescent="0.2">
      <c r="A153" s="22" t="s">
        <v>37</v>
      </c>
      <c r="B153" s="137">
        <f>'DOE25'!F490</f>
        <v>2003262.5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2003262.5</v>
      </c>
    </row>
    <row r="154" spans="1:7" x14ac:dyDescent="0.2">
      <c r="A154" s="22" t="s">
        <v>38</v>
      </c>
      <c r="B154" s="137">
        <f>'DOE25'!F491</f>
        <v>100000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100000</v>
      </c>
    </row>
    <row r="155" spans="1:7" x14ac:dyDescent="0.2">
      <c r="A155" s="22" t="s">
        <v>39</v>
      </c>
      <c r="B155" s="137">
        <f>'DOE25'!F492</f>
        <v>67225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67225</v>
      </c>
    </row>
    <row r="156" spans="1:7" x14ac:dyDescent="0.2">
      <c r="A156" s="22" t="s">
        <v>269</v>
      </c>
      <c r="B156" s="137">
        <f>'DOE25'!F493</f>
        <v>167225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167225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DC57-BEC3-41B0-A4D2-72F45CBF88C6}">
  <sheetPr codeName="Sheet3">
    <tabColor indexed="43"/>
  </sheetPr>
  <dimension ref="A1:D42"/>
  <sheetViews>
    <sheetView topLeftCell="A2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Fall Mountain Regional School District/SAU 60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12772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13013</v>
      </c>
    </row>
    <row r="7" spans="1:4" x14ac:dyDescent="0.2">
      <c r="B7" t="s">
        <v>736</v>
      </c>
      <c r="C7" s="179">
        <f>IF('DOE25'!I655+'DOE25'!I660=0,0,ROUND('DOE25'!I662,0))</f>
        <v>12855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9913943</v>
      </c>
      <c r="D10" s="182">
        <f>ROUND((C10/$C$28)*100,1)</f>
        <v>39.299999999999997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5588537</v>
      </c>
      <c r="D11" s="182">
        <f>ROUND((C11/$C$28)*100,1)</f>
        <v>22.2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1066481</v>
      </c>
      <c r="D12" s="182">
        <f>ROUND((C12/$C$28)*100,1)</f>
        <v>4.2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358113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1131332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1048511</v>
      </c>
      <c r="D16" s="182">
        <f t="shared" si="0"/>
        <v>4.2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532217</v>
      </c>
      <c r="D17" s="182">
        <f t="shared" si="0"/>
        <v>2.1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1258068</v>
      </c>
      <c r="D18" s="182">
        <f t="shared" si="0"/>
        <v>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309492</v>
      </c>
      <c r="D19" s="182">
        <f t="shared" si="0"/>
        <v>1.2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2422833</v>
      </c>
      <c r="D20" s="182">
        <f t="shared" si="0"/>
        <v>9.6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1164580</v>
      </c>
      <c r="D21" s="182">
        <f t="shared" si="0"/>
        <v>4.5999999999999996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72225</v>
      </c>
      <c r="D25" s="182">
        <f t="shared" si="0"/>
        <v>0.3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352273.31</v>
      </c>
      <c r="D27" s="182">
        <f t="shared" si="0"/>
        <v>1.4</v>
      </c>
    </row>
    <row r="28" spans="1:4" x14ac:dyDescent="0.2">
      <c r="B28" s="187" t="s">
        <v>754</v>
      </c>
      <c r="C28" s="180">
        <f>SUM(C10:C27)</f>
        <v>25218605.309999999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190472</v>
      </c>
    </row>
    <row r="30" spans="1:4" x14ac:dyDescent="0.2">
      <c r="B30" s="187" t="s">
        <v>760</v>
      </c>
      <c r="C30" s="180">
        <f>SUM(C28:C29)</f>
        <v>25409077.309999999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100000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12221363</v>
      </c>
      <c r="D35" s="182">
        <f t="shared" ref="D35:D40" si="1">ROUND((C35/$C$41)*100,1)</f>
        <v>46.5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392189.12000000104</v>
      </c>
      <c r="D36" s="182">
        <f t="shared" si="1"/>
        <v>1.5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8606956</v>
      </c>
      <c r="D37" s="182">
        <f t="shared" si="1"/>
        <v>32.799999999999997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3049736</v>
      </c>
      <c r="D38" s="182">
        <f t="shared" si="1"/>
        <v>11.6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1998744</v>
      </c>
      <c r="D39" s="182">
        <f t="shared" si="1"/>
        <v>7.6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26268988.120000001</v>
      </c>
      <c r="D41" s="184">
        <f>SUM(D35:D40)</f>
        <v>99.999999999999986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E3E1-076E-436F-B775-A9827E830CBB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Fall Mountain Regional School District/SAU 60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3:M73"/>
    <mergeCell ref="C74:M74"/>
    <mergeCell ref="C66:M66"/>
    <mergeCell ref="C67:M67"/>
    <mergeCell ref="C68:M68"/>
    <mergeCell ref="C69:M69"/>
    <mergeCell ref="C20:M20"/>
    <mergeCell ref="C29:M29"/>
    <mergeCell ref="C25:M25"/>
    <mergeCell ref="C26:M26"/>
    <mergeCell ref="C70:M70"/>
    <mergeCell ref="A72:E72"/>
    <mergeCell ref="C27:M27"/>
    <mergeCell ref="C28:M28"/>
    <mergeCell ref="C21:M21"/>
    <mergeCell ref="C22:M2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EC29:EM29"/>
    <mergeCell ref="EP29:E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BC30:BM30"/>
    <mergeCell ref="BP30:BZ30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C42:M42"/>
    <mergeCell ref="P30:Z30"/>
    <mergeCell ref="AC30:AM30"/>
    <mergeCell ref="AP30:AZ30"/>
    <mergeCell ref="C41:M41"/>
    <mergeCell ref="C33:M33"/>
    <mergeCell ref="AP31:AZ31"/>
    <mergeCell ref="HC29:HM29"/>
    <mergeCell ref="HP29:HZ29"/>
    <mergeCell ref="IC29:IM29"/>
    <mergeCell ref="IP29:IV29"/>
    <mergeCell ref="FC29:FM29"/>
    <mergeCell ref="FP29:FZ29"/>
    <mergeCell ref="BP32:BZ32"/>
    <mergeCell ref="BC38:BM38"/>
    <mergeCell ref="P32:Z32"/>
    <mergeCell ref="AC32:AM32"/>
    <mergeCell ref="AP32:AZ32"/>
    <mergeCell ref="P38:Z38"/>
    <mergeCell ref="AC38:AM38"/>
    <mergeCell ref="AP38:AZ38"/>
    <mergeCell ref="C37:M37"/>
    <mergeCell ref="C38:M38"/>
    <mergeCell ref="C39:M39"/>
    <mergeCell ref="C40:M40"/>
    <mergeCell ref="P40:Z40"/>
    <mergeCell ref="AC40:AM40"/>
    <mergeCell ref="FC30:FM30"/>
    <mergeCell ref="CC30:CM30"/>
    <mergeCell ref="CP30:CZ30"/>
    <mergeCell ref="DC30:DM30"/>
    <mergeCell ref="DP30:DZ30"/>
    <mergeCell ref="EC30:EM30"/>
    <mergeCell ref="EP30:EZ30"/>
    <mergeCell ref="IP31:IV31"/>
    <mergeCell ref="BC31:BM31"/>
    <mergeCell ref="BC32:BM32"/>
    <mergeCell ref="BC39:BM39"/>
    <mergeCell ref="BP31:BZ31"/>
    <mergeCell ref="CC31:CM31"/>
    <mergeCell ref="CP31:CZ31"/>
    <mergeCell ref="DC31:DM31"/>
    <mergeCell ref="IC32:IM32"/>
    <mergeCell ref="IP32:IV32"/>
    <mergeCell ref="IC31:IM31"/>
    <mergeCell ref="FP31:FZ31"/>
    <mergeCell ref="GC31:GM31"/>
    <mergeCell ref="IC30:IM30"/>
    <mergeCell ref="IP30:IV30"/>
    <mergeCell ref="FP30:FZ30"/>
    <mergeCell ref="GC30:GM30"/>
    <mergeCell ref="GP30:GZ30"/>
    <mergeCell ref="HC30:HM30"/>
    <mergeCell ref="HP30:HZ30"/>
    <mergeCell ref="EC31:EM31"/>
    <mergeCell ref="EP31:EZ31"/>
    <mergeCell ref="FC31:FM31"/>
    <mergeCell ref="FC32:FM32"/>
    <mergeCell ref="GP32:GZ32"/>
    <mergeCell ref="HC32:HM32"/>
    <mergeCell ref="CC32:CM32"/>
    <mergeCell ref="GP31:GZ31"/>
    <mergeCell ref="HC31:HM31"/>
    <mergeCell ref="HP31:HZ31"/>
    <mergeCell ref="CP32:CZ32"/>
    <mergeCell ref="HP32:HZ32"/>
    <mergeCell ref="DC32:DM32"/>
    <mergeCell ref="DP32:DZ32"/>
    <mergeCell ref="EC32:EM32"/>
    <mergeCell ref="DP31:DZ31"/>
    <mergeCell ref="CP38:CZ38"/>
    <mergeCell ref="DC38:DM38"/>
    <mergeCell ref="DP38:DZ38"/>
    <mergeCell ref="GC38:GM38"/>
    <mergeCell ref="EP32:EZ32"/>
    <mergeCell ref="FP32:FZ32"/>
    <mergeCell ref="GC32:GM32"/>
    <mergeCell ref="HP39:HZ39"/>
    <mergeCell ref="GC39:GM39"/>
    <mergeCell ref="GP39:GZ39"/>
    <mergeCell ref="GP38:GZ38"/>
    <mergeCell ref="BP38:BZ38"/>
    <mergeCell ref="CC38:CM38"/>
    <mergeCell ref="EC38:EM38"/>
    <mergeCell ref="EP38:EZ38"/>
    <mergeCell ref="FC38:FM38"/>
    <mergeCell ref="FP38:FZ38"/>
    <mergeCell ref="HC38:HM38"/>
    <mergeCell ref="HP38:HZ38"/>
    <mergeCell ref="IC38:IM38"/>
    <mergeCell ref="IP38:IV38"/>
    <mergeCell ref="IP39:IV39"/>
    <mergeCell ref="EP39:EZ39"/>
    <mergeCell ref="FC39:FM39"/>
    <mergeCell ref="FP39:FZ39"/>
    <mergeCell ref="IC39:IM39"/>
    <mergeCell ref="HC39:HM39"/>
    <mergeCell ref="DC39:DM39"/>
    <mergeCell ref="DP39:DZ39"/>
    <mergeCell ref="EC39:EM39"/>
    <mergeCell ref="P39:Z39"/>
    <mergeCell ref="AC39:AM39"/>
    <mergeCell ref="AP39:AZ39"/>
    <mergeCell ref="CC39:CM39"/>
    <mergeCell ref="CP39:CZ39"/>
    <mergeCell ref="BP39:BZ39"/>
    <mergeCell ref="C44:M44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DP40:DZ4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52:M52"/>
    <mergeCell ref="C50:M50"/>
    <mergeCell ref="C47:M47"/>
    <mergeCell ref="C48:M48"/>
    <mergeCell ref="C49:M49"/>
    <mergeCell ref="C51:M51"/>
    <mergeCell ref="C43:M43"/>
    <mergeCell ref="AP40:AZ40"/>
    <mergeCell ref="C61:M61"/>
    <mergeCell ref="C53:M53"/>
    <mergeCell ref="C54:M54"/>
    <mergeCell ref="C55:M55"/>
    <mergeCell ref="C56:M56"/>
    <mergeCell ref="C57:M57"/>
    <mergeCell ref="C59:M59"/>
    <mergeCell ref="C60:M6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2010-09-07T13:17:52Z</cp:lastPrinted>
  <dcterms:created xsi:type="dcterms:W3CDTF">1997-12-04T19:04:30Z</dcterms:created>
  <dcterms:modified xsi:type="dcterms:W3CDTF">2025-01-09T20:04:02Z</dcterms:modified>
</cp:coreProperties>
</file>