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529BEA1-DABF-485D-A153-C221633272AF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DC85ED8-8BCB-40D1-BAD8-9EA49E7AB21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F572" i="1"/>
  <c r="C19" i="12"/>
  <c r="B19" i="12"/>
  <c r="C10" i="12"/>
  <c r="B10" i="12"/>
  <c r="B13" i="12" s="1"/>
  <c r="G513" i="1"/>
  <c r="G511" i="1"/>
  <c r="L511" i="1" s="1"/>
  <c r="F513" i="1"/>
  <c r="F511" i="1"/>
  <c r="G225" i="1"/>
  <c r="G189" i="1"/>
  <c r="L189" i="1" s="1"/>
  <c r="F42" i="1"/>
  <c r="F29" i="1"/>
  <c r="F38" i="1"/>
  <c r="J583" i="1"/>
  <c r="J582" i="1"/>
  <c r="J588" i="1" s="1"/>
  <c r="H641" i="1" s="1"/>
  <c r="H582" i="1"/>
  <c r="H588" i="1" s="1"/>
  <c r="H639" i="1" s="1"/>
  <c r="H594" i="1"/>
  <c r="H307" i="1"/>
  <c r="L307" i="1" s="1"/>
  <c r="F449" i="1"/>
  <c r="I449" i="1" s="1"/>
  <c r="J41" i="1" s="1"/>
  <c r="G40" i="2" s="1"/>
  <c r="G449" i="1"/>
  <c r="H565" i="1"/>
  <c r="F434" i="1"/>
  <c r="F438" i="1" s="1"/>
  <c r="G629" i="1" s="1"/>
  <c r="G434" i="1"/>
  <c r="H381" i="1"/>
  <c r="F25" i="1"/>
  <c r="J581" i="1"/>
  <c r="H533" i="1"/>
  <c r="H531" i="1"/>
  <c r="H534" i="1" s="1"/>
  <c r="H581" i="1"/>
  <c r="K523" i="1"/>
  <c r="K524" i="1" s="1"/>
  <c r="K535" i="1" s="1"/>
  <c r="H518" i="1"/>
  <c r="H519" i="1" s="1"/>
  <c r="H513" i="1"/>
  <c r="H516" i="1"/>
  <c r="H511" i="1"/>
  <c r="H514" i="1" s="1"/>
  <c r="F492" i="1"/>
  <c r="F489" i="1"/>
  <c r="F488" i="1"/>
  <c r="F485" i="1"/>
  <c r="I462" i="1"/>
  <c r="H626" i="1" s="1"/>
  <c r="G462" i="1"/>
  <c r="H625" i="1" s="1"/>
  <c r="H462" i="1"/>
  <c r="H458" i="1"/>
  <c r="H460" i="1" s="1"/>
  <c r="H466" i="1" s="1"/>
  <c r="H614" i="1" s="1"/>
  <c r="J614" i="1" s="1"/>
  <c r="G458" i="1"/>
  <c r="G460" i="1" s="1"/>
  <c r="G466" i="1" s="1"/>
  <c r="H613" i="1" s="1"/>
  <c r="J613" i="1" s="1"/>
  <c r="H360" i="1"/>
  <c r="H359" i="1"/>
  <c r="F360" i="1"/>
  <c r="I360" i="1" s="1"/>
  <c r="F359" i="1"/>
  <c r="H352" i="1"/>
  <c r="H350" i="1"/>
  <c r="G153" i="1"/>
  <c r="K336" i="1"/>
  <c r="K343" i="1" s="1"/>
  <c r="H325" i="1"/>
  <c r="L325" i="1" s="1"/>
  <c r="E106" i="2" s="1"/>
  <c r="H312" i="1"/>
  <c r="H311" i="1"/>
  <c r="H306" i="1"/>
  <c r="L306" i="1" s="1"/>
  <c r="H274" i="1"/>
  <c r="H273" i="1"/>
  <c r="H269" i="1"/>
  <c r="H282" i="1" s="1"/>
  <c r="H232" i="1"/>
  <c r="H237" i="1"/>
  <c r="H236" i="1"/>
  <c r="H235" i="1"/>
  <c r="H234" i="1"/>
  <c r="L234" i="1" s="1"/>
  <c r="H233" i="1"/>
  <c r="L233" i="1" s="1"/>
  <c r="C18" i="10" s="1"/>
  <c r="H231" i="1"/>
  <c r="H230" i="1"/>
  <c r="H228" i="1"/>
  <c r="L228" i="1" s="1"/>
  <c r="H226" i="1"/>
  <c r="H225" i="1"/>
  <c r="H196" i="1"/>
  <c r="L196" i="1" s="1"/>
  <c r="H200" i="1"/>
  <c r="G41" i="1"/>
  <c r="H201" i="1"/>
  <c r="L201" i="1" s="1"/>
  <c r="H199" i="1"/>
  <c r="L199" i="1" s="1"/>
  <c r="H198" i="1"/>
  <c r="H197" i="1"/>
  <c r="H195" i="1"/>
  <c r="H194" i="1"/>
  <c r="L194" i="1" s="1"/>
  <c r="H190" i="1"/>
  <c r="L190" i="1" s="1"/>
  <c r="H189" i="1"/>
  <c r="H94" i="1"/>
  <c r="F75" i="1"/>
  <c r="F86" i="1" s="1"/>
  <c r="C50" i="2" s="1"/>
  <c r="C54" i="2" s="1"/>
  <c r="F102" i="1"/>
  <c r="F60" i="1"/>
  <c r="F30" i="1"/>
  <c r="F14" i="1"/>
  <c r="F13" i="1"/>
  <c r="C13" i="2" s="1"/>
  <c r="F9" i="1"/>
  <c r="C9" i="2" s="1"/>
  <c r="C19" i="2" s="1"/>
  <c r="C60" i="2"/>
  <c r="B2" i="13"/>
  <c r="F8" i="13"/>
  <c r="G8" i="13"/>
  <c r="L214" i="1"/>
  <c r="L232" i="1"/>
  <c r="D39" i="13"/>
  <c r="F13" i="13"/>
  <c r="G13" i="13"/>
  <c r="L198" i="1"/>
  <c r="C19" i="10" s="1"/>
  <c r="L216" i="1"/>
  <c r="F16" i="13"/>
  <c r="G16" i="13"/>
  <c r="L219" i="1"/>
  <c r="L237" i="1"/>
  <c r="F5" i="13"/>
  <c r="G5" i="13"/>
  <c r="L191" i="1"/>
  <c r="L192" i="1"/>
  <c r="L207" i="1"/>
  <c r="L221" i="1" s="1"/>
  <c r="L208" i="1"/>
  <c r="L209" i="1"/>
  <c r="L210" i="1"/>
  <c r="C13" i="10" s="1"/>
  <c r="L225" i="1"/>
  <c r="L226" i="1"/>
  <c r="L227" i="1"/>
  <c r="F6" i="13"/>
  <c r="G6" i="13"/>
  <c r="L212" i="1"/>
  <c r="L230" i="1"/>
  <c r="F7" i="13"/>
  <c r="G7" i="13"/>
  <c r="L195" i="1"/>
  <c r="C16" i="10" s="1"/>
  <c r="L213" i="1"/>
  <c r="L231" i="1"/>
  <c r="F12" i="13"/>
  <c r="G12" i="13"/>
  <c r="L197" i="1"/>
  <c r="L215" i="1"/>
  <c r="F14" i="13"/>
  <c r="G14" i="13"/>
  <c r="L217" i="1"/>
  <c r="L235" i="1"/>
  <c r="F15" i="13"/>
  <c r="G15" i="13"/>
  <c r="L200" i="1"/>
  <c r="L218" i="1"/>
  <c r="L236" i="1"/>
  <c r="F17" i="13"/>
  <c r="G17" i="13"/>
  <c r="L243" i="1"/>
  <c r="F18" i="13"/>
  <c r="G18" i="13"/>
  <c r="L244" i="1"/>
  <c r="F19" i="13"/>
  <c r="G19" i="13"/>
  <c r="L245" i="1"/>
  <c r="D19" i="13"/>
  <c r="C19" i="13"/>
  <c r="F29" i="13"/>
  <c r="G29" i="13"/>
  <c r="L350" i="1"/>
  <c r="G651" i="1" s="1"/>
  <c r="L351" i="1"/>
  <c r="L352" i="1"/>
  <c r="I359" i="1"/>
  <c r="J282" i="1"/>
  <c r="J301" i="1"/>
  <c r="J330" i="1" s="1"/>
  <c r="J320" i="1"/>
  <c r="K282" i="1"/>
  <c r="G31" i="13" s="1"/>
  <c r="K301" i="1"/>
  <c r="K320" i="1"/>
  <c r="L268" i="1"/>
  <c r="L270" i="1"/>
  <c r="L271" i="1"/>
  <c r="E104" i="2" s="1"/>
  <c r="L273" i="1"/>
  <c r="L274" i="1"/>
  <c r="L275" i="1"/>
  <c r="L276" i="1"/>
  <c r="E113" i="2" s="1"/>
  <c r="L277" i="1"/>
  <c r="E114" i="2" s="1"/>
  <c r="L278" i="1"/>
  <c r="L279" i="1"/>
  <c r="F652" i="1" s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G652" i="1" s="1"/>
  <c r="L299" i="1"/>
  <c r="L308" i="1"/>
  <c r="L309" i="1"/>
  <c r="L311" i="1"/>
  <c r="E110" i="2" s="1"/>
  <c r="L312" i="1"/>
  <c r="E111" i="2" s="1"/>
  <c r="L313" i="1"/>
  <c r="L314" i="1"/>
  <c r="L315" i="1"/>
  <c r="L316" i="1"/>
  <c r="L317" i="1"/>
  <c r="L318" i="1"/>
  <c r="E117" i="2" s="1"/>
  <c r="L326" i="1"/>
  <c r="L327" i="1"/>
  <c r="L252" i="1"/>
  <c r="H25" i="13" s="1"/>
  <c r="L253" i="1"/>
  <c r="C25" i="10" s="1"/>
  <c r="L333" i="1"/>
  <c r="L334" i="1"/>
  <c r="E124" i="2" s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C27" i="12"/>
  <c r="A31" i="12"/>
  <c r="B31" i="12"/>
  <c r="C31" i="12"/>
  <c r="B9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51" i="2"/>
  <c r="G53" i="2"/>
  <c r="G54" i="2"/>
  <c r="F2" i="11"/>
  <c r="L603" i="1"/>
  <c r="H653" i="1"/>
  <c r="L602" i="1"/>
  <c r="G653" i="1"/>
  <c r="L601" i="1"/>
  <c r="F653" i="1" s="1"/>
  <c r="I653" i="1" s="1"/>
  <c r="C40" i="10"/>
  <c r="F52" i="1"/>
  <c r="C48" i="2" s="1"/>
  <c r="G52" i="1"/>
  <c r="H52" i="1"/>
  <c r="E48" i="2"/>
  <c r="I52" i="1"/>
  <c r="F48" i="2" s="1"/>
  <c r="F71" i="1"/>
  <c r="F103" i="1"/>
  <c r="G103" i="1"/>
  <c r="G104" i="1"/>
  <c r="H71" i="1"/>
  <c r="H86" i="1"/>
  <c r="H103" i="1"/>
  <c r="H104" i="1"/>
  <c r="I103" i="1"/>
  <c r="I104" i="1"/>
  <c r="J103" i="1"/>
  <c r="J104" i="1"/>
  <c r="C37" i="10"/>
  <c r="F113" i="1"/>
  <c r="F128" i="1"/>
  <c r="F132" i="1" s="1"/>
  <c r="G113" i="1"/>
  <c r="G128" i="1"/>
  <c r="G132" i="1" s="1"/>
  <c r="H113" i="1"/>
  <c r="H128" i="1"/>
  <c r="H132" i="1"/>
  <c r="I113" i="1"/>
  <c r="I128" i="1"/>
  <c r="I132" i="1" s="1"/>
  <c r="J113" i="1"/>
  <c r="J128" i="1"/>
  <c r="J132" i="1"/>
  <c r="J185" i="1" s="1"/>
  <c r="F139" i="1"/>
  <c r="F154" i="1"/>
  <c r="F161" i="1"/>
  <c r="G139" i="1"/>
  <c r="G154" i="1"/>
  <c r="G161" i="1"/>
  <c r="H139" i="1"/>
  <c r="H161" i="1" s="1"/>
  <c r="H154" i="1"/>
  <c r="I139" i="1"/>
  <c r="I161" i="1" s="1"/>
  <c r="I154" i="1"/>
  <c r="C21" i="10"/>
  <c r="L242" i="1"/>
  <c r="C23" i="10" s="1"/>
  <c r="L324" i="1"/>
  <c r="L246" i="1"/>
  <c r="C116" i="2" s="1"/>
  <c r="L260" i="1"/>
  <c r="L261" i="1"/>
  <c r="C26" i="10" s="1"/>
  <c r="L341" i="1"/>
  <c r="E134" i="2" s="1"/>
  <c r="L342" i="1"/>
  <c r="E135" i="2" s="1"/>
  <c r="I655" i="1"/>
  <c r="I660" i="1"/>
  <c r="I659" i="1"/>
  <c r="C5" i="10"/>
  <c r="C42" i="10"/>
  <c r="L366" i="1"/>
  <c r="L374" i="1" s="1"/>
  <c r="G626" i="1" s="1"/>
  <c r="L367" i="1"/>
  <c r="F126" i="2"/>
  <c r="F120" i="2"/>
  <c r="L368" i="1"/>
  <c r="L369" i="1"/>
  <c r="L370" i="1"/>
  <c r="L371" i="1"/>
  <c r="L372" i="1"/>
  <c r="C29" i="10"/>
  <c r="B2" i="10"/>
  <c r="L337" i="1"/>
  <c r="E127" i="2" s="1"/>
  <c r="L338" i="1"/>
  <c r="L339" i="1"/>
  <c r="L512" i="1"/>
  <c r="F540" i="1" s="1"/>
  <c r="L513" i="1"/>
  <c r="F541" i="1" s="1"/>
  <c r="L516" i="1"/>
  <c r="G539" i="1"/>
  <c r="L517" i="1"/>
  <c r="G540" i="1" s="1"/>
  <c r="L521" i="1"/>
  <c r="H539" i="1"/>
  <c r="L522" i="1"/>
  <c r="H540" i="1"/>
  <c r="L523" i="1"/>
  <c r="H541" i="1" s="1"/>
  <c r="H542" i="1" s="1"/>
  <c r="L526" i="1"/>
  <c r="I539" i="1"/>
  <c r="L527" i="1"/>
  <c r="I540" i="1" s="1"/>
  <c r="L528" i="1"/>
  <c r="I541" i="1" s="1"/>
  <c r="L531" i="1"/>
  <c r="L534" i="1" s="1"/>
  <c r="J539" i="1"/>
  <c r="L532" i="1"/>
  <c r="J540" i="1"/>
  <c r="L533" i="1"/>
  <c r="J541" i="1" s="1"/>
  <c r="E123" i="2"/>
  <c r="K262" i="1"/>
  <c r="J262" i="1"/>
  <c r="I262" i="1"/>
  <c r="H262" i="1"/>
  <c r="G262" i="1"/>
  <c r="F262" i="1"/>
  <c r="L262" i="1" s="1"/>
  <c r="C123" i="2"/>
  <c r="A1" i="2"/>
  <c r="A2" i="2"/>
  <c r="D9" i="2"/>
  <c r="D19" i="2" s="1"/>
  <c r="E9" i="2"/>
  <c r="F9" i="2"/>
  <c r="I431" i="1"/>
  <c r="J9" i="1" s="1"/>
  <c r="C10" i="2"/>
  <c r="D10" i="2"/>
  <c r="E10" i="2"/>
  <c r="F10" i="2"/>
  <c r="F19" i="2" s="1"/>
  <c r="I432" i="1"/>
  <c r="J10" i="1" s="1"/>
  <c r="G10" i="2" s="1"/>
  <c r="C11" i="2"/>
  <c r="C12" i="2"/>
  <c r="D12" i="2"/>
  <c r="E12" i="2"/>
  <c r="F12" i="2"/>
  <c r="I433" i="1"/>
  <c r="J12" i="1"/>
  <c r="D13" i="2"/>
  <c r="E13" i="2"/>
  <c r="E19" i="2" s="1"/>
  <c r="F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C32" i="2" s="1"/>
  <c r="D22" i="2"/>
  <c r="E22" i="2"/>
  <c r="E32" i="2" s="1"/>
  <c r="F22" i="2"/>
  <c r="F32" i="2" s="1"/>
  <c r="I440" i="1"/>
  <c r="J23" i="1" s="1"/>
  <c r="C23" i="2"/>
  <c r="D23" i="2"/>
  <c r="E23" i="2"/>
  <c r="F23" i="2"/>
  <c r="I441" i="1"/>
  <c r="J24" i="1"/>
  <c r="G23" i="2"/>
  <c r="C24" i="2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C29" i="2"/>
  <c r="C30" i="2"/>
  <c r="C31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/>
  <c r="G31" i="2"/>
  <c r="C34" i="2"/>
  <c r="D34" i="2"/>
  <c r="D42" i="2" s="1"/>
  <c r="D43" i="2" s="1"/>
  <c r="E34" i="2"/>
  <c r="E42" i="2" s="1"/>
  <c r="E43" i="2" s="1"/>
  <c r="F34" i="2"/>
  <c r="C35" i="2"/>
  <c r="D35" i="2"/>
  <c r="E35" i="2"/>
  <c r="F35" i="2"/>
  <c r="F42" i="2" s="1"/>
  <c r="F43" i="2" s="1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C42" i="2" s="1"/>
  <c r="D38" i="2"/>
  <c r="E38" i="2"/>
  <c r="F38" i="2"/>
  <c r="I448" i="1"/>
  <c r="I450" i="1" s="1"/>
  <c r="C40" i="2"/>
  <c r="D40" i="2"/>
  <c r="E40" i="2"/>
  <c r="F40" i="2"/>
  <c r="C41" i="2"/>
  <c r="D41" i="2"/>
  <c r="E41" i="2"/>
  <c r="F41" i="2"/>
  <c r="D48" i="2"/>
  <c r="C49" i="2"/>
  <c r="E49" i="2"/>
  <c r="E50" i="2"/>
  <c r="C51" i="2"/>
  <c r="D51" i="2"/>
  <c r="D52" i="2"/>
  <c r="D53" i="2"/>
  <c r="D54" i="2" s="1"/>
  <c r="E51" i="2"/>
  <c r="F51" i="2"/>
  <c r="F54" i="2" s="1"/>
  <c r="F53" i="2"/>
  <c r="C53" i="2"/>
  <c r="E53" i="2"/>
  <c r="E54" i="2"/>
  <c r="C58" i="2"/>
  <c r="C59" i="2"/>
  <c r="C61" i="2"/>
  <c r="D61" i="2"/>
  <c r="D62" i="2" s="1"/>
  <c r="E61" i="2"/>
  <c r="E62" i="2" s="1"/>
  <c r="F61" i="2"/>
  <c r="G61" i="2"/>
  <c r="G62" i="2" s="1"/>
  <c r="F62" i="2"/>
  <c r="C64" i="2"/>
  <c r="C70" i="2" s="1"/>
  <c r="C73" i="2" s="1"/>
  <c r="F64" i="2"/>
  <c r="C65" i="2"/>
  <c r="F65" i="2"/>
  <c r="C66" i="2"/>
  <c r="C67" i="2"/>
  <c r="C68" i="2"/>
  <c r="E68" i="2"/>
  <c r="F68" i="2"/>
  <c r="F70" i="2" s="1"/>
  <c r="F73" i="2" s="1"/>
  <c r="C69" i="2"/>
  <c r="D69" i="2"/>
  <c r="D70" i="2"/>
  <c r="E69" i="2"/>
  <c r="F69" i="2"/>
  <c r="G69" i="2"/>
  <c r="E70" i="2"/>
  <c r="G70" i="2"/>
  <c r="C71" i="2"/>
  <c r="D71" i="2"/>
  <c r="E71" i="2"/>
  <c r="C72" i="2"/>
  <c r="E72" i="2"/>
  <c r="C77" i="2"/>
  <c r="D77" i="2"/>
  <c r="D83" i="2" s="1"/>
  <c r="E77" i="2"/>
  <c r="C79" i="2"/>
  <c r="E79" i="2"/>
  <c r="F79" i="2"/>
  <c r="C80" i="2"/>
  <c r="D80" i="2"/>
  <c r="D81" i="2"/>
  <c r="D88" i="2"/>
  <c r="D95" i="2" s="1"/>
  <c r="D89" i="2"/>
  <c r="D90" i="2"/>
  <c r="D91" i="2"/>
  <c r="D92" i="2"/>
  <c r="D93" i="2"/>
  <c r="D94" i="2"/>
  <c r="E80" i="2"/>
  <c r="F80" i="2"/>
  <c r="C81" i="2"/>
  <c r="E81" i="2"/>
  <c r="F81" i="2"/>
  <c r="C82" i="2"/>
  <c r="C85" i="2"/>
  <c r="C95" i="2" s="1"/>
  <c r="F85" i="2"/>
  <c r="F95" i="2" s="1"/>
  <c r="C86" i="2"/>
  <c r="F86" i="2"/>
  <c r="E88" i="2"/>
  <c r="E95" i="2" s="1"/>
  <c r="F88" i="2"/>
  <c r="G88" i="2"/>
  <c r="C89" i="2"/>
  <c r="C90" i="2"/>
  <c r="C91" i="2"/>
  <c r="C92" i="2"/>
  <c r="C93" i="2"/>
  <c r="C94" i="2"/>
  <c r="E89" i="2"/>
  <c r="F89" i="2"/>
  <c r="G89" i="2"/>
  <c r="E90" i="2"/>
  <c r="G90" i="2"/>
  <c r="E91" i="2"/>
  <c r="F91" i="2"/>
  <c r="E92" i="2"/>
  <c r="F92" i="2"/>
  <c r="E93" i="2"/>
  <c r="F93" i="2"/>
  <c r="E94" i="2"/>
  <c r="F94" i="2"/>
  <c r="G95" i="2"/>
  <c r="C103" i="2"/>
  <c r="C105" i="2"/>
  <c r="C106" i="2"/>
  <c r="D107" i="2"/>
  <c r="F107" i="2"/>
  <c r="G107" i="2"/>
  <c r="E112" i="2"/>
  <c r="E115" i="2"/>
  <c r="G120" i="2"/>
  <c r="C122" i="2"/>
  <c r="E122" i="2"/>
  <c r="D126" i="2"/>
  <c r="D136" i="2" s="1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F153" i="2"/>
  <c r="G490" i="1"/>
  <c r="C153" i="2" s="1"/>
  <c r="H490" i="1"/>
  <c r="D153" i="2" s="1"/>
  <c r="I490" i="1"/>
  <c r="E153" i="2" s="1"/>
  <c r="J490" i="1"/>
  <c r="B154" i="2"/>
  <c r="C154" i="2"/>
  <c r="G154" i="2" s="1"/>
  <c r="D154" i="2"/>
  <c r="E154" i="2"/>
  <c r="F154" i="2"/>
  <c r="B155" i="2"/>
  <c r="C155" i="2"/>
  <c r="D155" i="2"/>
  <c r="E155" i="2"/>
  <c r="F155" i="2"/>
  <c r="F493" i="1"/>
  <c r="B156" i="2" s="1"/>
  <c r="D156" i="2"/>
  <c r="G493" i="1"/>
  <c r="C156" i="2" s="1"/>
  <c r="H493" i="1"/>
  <c r="I493" i="1"/>
  <c r="E156" i="2" s="1"/>
  <c r="J493" i="1"/>
  <c r="F156" i="2" s="1"/>
  <c r="F19" i="1"/>
  <c r="G607" i="1" s="1"/>
  <c r="G19" i="1"/>
  <c r="G608" i="1" s="1"/>
  <c r="J608" i="1" s="1"/>
  <c r="H19" i="1"/>
  <c r="I19" i="1"/>
  <c r="G610" i="1" s="1"/>
  <c r="F33" i="1"/>
  <c r="G33" i="1"/>
  <c r="H33" i="1"/>
  <c r="H44" i="1"/>
  <c r="H609" i="1"/>
  <c r="I33" i="1"/>
  <c r="F43" i="1"/>
  <c r="G43" i="1"/>
  <c r="H43" i="1"/>
  <c r="I43" i="1"/>
  <c r="I44" i="1" s="1"/>
  <c r="H610" i="1" s="1"/>
  <c r="F169" i="1"/>
  <c r="I169" i="1"/>
  <c r="F175" i="1"/>
  <c r="F184" i="1" s="1"/>
  <c r="G175" i="1"/>
  <c r="G184" i="1" s="1"/>
  <c r="H175" i="1"/>
  <c r="H184" i="1" s="1"/>
  <c r="I175" i="1"/>
  <c r="J175" i="1"/>
  <c r="F180" i="1"/>
  <c r="G180" i="1"/>
  <c r="H180" i="1"/>
  <c r="I180" i="1"/>
  <c r="I184" i="1" s="1"/>
  <c r="J184" i="1"/>
  <c r="F203" i="1"/>
  <c r="F249" i="1" s="1"/>
  <c r="F263" i="1" s="1"/>
  <c r="I203" i="1"/>
  <c r="I249" i="1" s="1"/>
  <c r="I263" i="1" s="1"/>
  <c r="J203" i="1"/>
  <c r="K203" i="1"/>
  <c r="F221" i="1"/>
  <c r="G221" i="1"/>
  <c r="H221" i="1"/>
  <c r="I221" i="1"/>
  <c r="J221" i="1"/>
  <c r="K221" i="1"/>
  <c r="K249" i="1" s="1"/>
  <c r="K263" i="1" s="1"/>
  <c r="F239" i="1"/>
  <c r="G239" i="1"/>
  <c r="I239" i="1"/>
  <c r="J239" i="1"/>
  <c r="K239" i="1"/>
  <c r="F248" i="1"/>
  <c r="G248" i="1"/>
  <c r="H248" i="1"/>
  <c r="I248" i="1"/>
  <c r="J248" i="1"/>
  <c r="K248" i="1"/>
  <c r="L248" i="1" s="1"/>
  <c r="F282" i="1"/>
  <c r="G282" i="1"/>
  <c r="I282" i="1"/>
  <c r="F301" i="1"/>
  <c r="F330" i="1" s="1"/>
  <c r="F344" i="1" s="1"/>
  <c r="G301" i="1"/>
  <c r="G330" i="1" s="1"/>
  <c r="G344" i="1" s="1"/>
  <c r="H301" i="1"/>
  <c r="I301" i="1"/>
  <c r="F320" i="1"/>
  <c r="G320" i="1"/>
  <c r="I320" i="1"/>
  <c r="F329" i="1"/>
  <c r="G329" i="1"/>
  <c r="I329" i="1"/>
  <c r="J329" i="1"/>
  <c r="K329" i="1"/>
  <c r="K330" i="1"/>
  <c r="F354" i="1"/>
  <c r="G354" i="1"/>
  <c r="H354" i="1"/>
  <c r="I354" i="1"/>
  <c r="G624" i="1" s="1"/>
  <c r="J354" i="1"/>
  <c r="K354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F400" i="1"/>
  <c r="H633" i="1" s="1"/>
  <c r="J633" i="1" s="1"/>
  <c r="G400" i="1"/>
  <c r="H635" i="1" s="1"/>
  <c r="J635" i="1" s="1"/>
  <c r="L405" i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I426" i="1" s="1"/>
  <c r="J425" i="1"/>
  <c r="J426" i="1" s="1"/>
  <c r="L425" i="1"/>
  <c r="G426" i="1"/>
  <c r="G438" i="1"/>
  <c r="G630" i="1"/>
  <c r="H438" i="1"/>
  <c r="F444" i="1"/>
  <c r="G444" i="1"/>
  <c r="H444" i="1"/>
  <c r="I444" i="1"/>
  <c r="I451" i="1" s="1"/>
  <c r="H632" i="1" s="1"/>
  <c r="G450" i="1"/>
  <c r="H450" i="1"/>
  <c r="H451" i="1" s="1"/>
  <c r="H631" i="1" s="1"/>
  <c r="G451" i="1"/>
  <c r="H630" i="1" s="1"/>
  <c r="F460" i="1"/>
  <c r="F466" i="1" s="1"/>
  <c r="H612" i="1" s="1"/>
  <c r="I460" i="1"/>
  <c r="J460" i="1"/>
  <c r="F464" i="1"/>
  <c r="G464" i="1"/>
  <c r="H464" i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I514" i="1"/>
  <c r="I535" i="1" s="1"/>
  <c r="J514" i="1"/>
  <c r="J535" i="1" s="1"/>
  <c r="K514" i="1"/>
  <c r="F519" i="1"/>
  <c r="G519" i="1"/>
  <c r="I519" i="1"/>
  <c r="J519" i="1"/>
  <c r="K519" i="1"/>
  <c r="F524" i="1"/>
  <c r="G524" i="1"/>
  <c r="H524" i="1"/>
  <c r="I524" i="1"/>
  <c r="J524" i="1"/>
  <c r="L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49" i="1"/>
  <c r="L550" i="1"/>
  <c r="L561" i="1" s="1"/>
  <c r="F550" i="1"/>
  <c r="G550" i="1"/>
  <c r="G561" i="1" s="1"/>
  <c r="H550" i="1"/>
  <c r="H561" i="1" s="1"/>
  <c r="I550" i="1"/>
  <c r="J550" i="1"/>
  <c r="J561" i="1" s="1"/>
  <c r="K550" i="1"/>
  <c r="L552" i="1"/>
  <c r="L553" i="1"/>
  <c r="L554" i="1"/>
  <c r="L555" i="1"/>
  <c r="F555" i="1"/>
  <c r="F561" i="1"/>
  <c r="G555" i="1"/>
  <c r="H555" i="1"/>
  <c r="I555" i="1"/>
  <c r="I561" i="1" s="1"/>
  <c r="J555" i="1"/>
  <c r="K555" i="1"/>
  <c r="L557" i="1"/>
  <c r="L558" i="1"/>
  <c r="L559" i="1"/>
  <c r="F560" i="1"/>
  <c r="G560" i="1"/>
  <c r="H560" i="1"/>
  <c r="I560" i="1"/>
  <c r="J560" i="1"/>
  <c r="K560" i="1"/>
  <c r="L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I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L604" i="1"/>
  <c r="G609" i="1"/>
  <c r="J609" i="1" s="1"/>
  <c r="G612" i="1"/>
  <c r="J612" i="1" s="1"/>
  <c r="G613" i="1"/>
  <c r="G614" i="1"/>
  <c r="H617" i="1"/>
  <c r="H618" i="1"/>
  <c r="H619" i="1"/>
  <c r="H620" i="1"/>
  <c r="H621" i="1"/>
  <c r="H622" i="1"/>
  <c r="H623" i="1"/>
  <c r="H627" i="1"/>
  <c r="H628" i="1"/>
  <c r="G631" i="1"/>
  <c r="J631" i="1" s="1"/>
  <c r="G633" i="1"/>
  <c r="G634" i="1"/>
  <c r="G635" i="1"/>
  <c r="G639" i="1"/>
  <c r="G640" i="1"/>
  <c r="J640" i="1" s="1"/>
  <c r="H640" i="1"/>
  <c r="G641" i="1"/>
  <c r="G642" i="1"/>
  <c r="H642" i="1"/>
  <c r="G643" i="1"/>
  <c r="H643" i="1"/>
  <c r="J643" i="1"/>
  <c r="G644" i="1"/>
  <c r="H644" i="1"/>
  <c r="J644" i="1"/>
  <c r="G645" i="1"/>
  <c r="J645" i="1" s="1"/>
  <c r="H645" i="1"/>
  <c r="J642" i="1"/>
  <c r="G155" i="2"/>
  <c r="E55" i="2"/>
  <c r="A40" i="12"/>
  <c r="D15" i="13"/>
  <c r="C15" i="13" s="1"/>
  <c r="C83" i="2"/>
  <c r="E83" i="2"/>
  <c r="C62" i="2"/>
  <c r="H637" i="1"/>
  <c r="E105" i="2"/>
  <c r="G535" i="1"/>
  <c r="L354" i="1"/>
  <c r="G625" i="1" s="1"/>
  <c r="C27" i="10"/>
  <c r="D29" i="13"/>
  <c r="C29" i="13" s="1"/>
  <c r="H652" i="1"/>
  <c r="F31" i="13"/>
  <c r="I330" i="1"/>
  <c r="I344" i="1" s="1"/>
  <c r="J249" i="1"/>
  <c r="J263" i="1"/>
  <c r="G44" i="1"/>
  <c r="H608" i="1"/>
  <c r="A22" i="12"/>
  <c r="J466" i="1"/>
  <c r="H616" i="1" s="1"/>
  <c r="G12" i="2"/>
  <c r="F44" i="1"/>
  <c r="H607" i="1" s="1"/>
  <c r="C17" i="10" l="1"/>
  <c r="E8" i="13"/>
  <c r="C112" i="2"/>
  <c r="J625" i="1"/>
  <c r="D55" i="2"/>
  <c r="G33" i="13"/>
  <c r="J639" i="1"/>
  <c r="C43" i="2"/>
  <c r="G22" i="2"/>
  <c r="G32" i="2" s="1"/>
  <c r="J33" i="1"/>
  <c r="K540" i="1"/>
  <c r="C38" i="10"/>
  <c r="G156" i="2"/>
  <c r="F137" i="2"/>
  <c r="H535" i="1"/>
  <c r="J610" i="1"/>
  <c r="G37" i="2"/>
  <c r="J43" i="1"/>
  <c r="I542" i="1"/>
  <c r="C130" i="2"/>
  <c r="C133" i="2" s="1"/>
  <c r="L400" i="1"/>
  <c r="C24" i="10"/>
  <c r="C113" i="2"/>
  <c r="C102" i="2"/>
  <c r="C11" i="10"/>
  <c r="L239" i="1"/>
  <c r="H650" i="1" s="1"/>
  <c r="H654" i="1" s="1"/>
  <c r="L320" i="1"/>
  <c r="E101" i="2"/>
  <c r="E73" i="2"/>
  <c r="E96" i="2" s="1"/>
  <c r="C101" i="2"/>
  <c r="C10" i="10"/>
  <c r="D5" i="13"/>
  <c r="L203" i="1"/>
  <c r="G185" i="1"/>
  <c r="G618" i="1" s="1"/>
  <c r="J618" i="1" s="1"/>
  <c r="I361" i="1"/>
  <c r="H624" i="1" s="1"/>
  <c r="J624" i="1" s="1"/>
  <c r="K344" i="1"/>
  <c r="G153" i="2"/>
  <c r="D73" i="2"/>
  <c r="J626" i="1"/>
  <c r="G636" i="1"/>
  <c r="G621" i="1"/>
  <c r="J621" i="1" s="1"/>
  <c r="D12" i="13"/>
  <c r="C12" i="13" s="1"/>
  <c r="D6" i="13"/>
  <c r="C6" i="13" s="1"/>
  <c r="C15" i="10"/>
  <c r="C110" i="2"/>
  <c r="C120" i="2" s="1"/>
  <c r="L514" i="1"/>
  <c r="F539" i="1"/>
  <c r="F55" i="2"/>
  <c r="F96" i="2" s="1"/>
  <c r="E120" i="2"/>
  <c r="J607" i="1"/>
  <c r="G9" i="2"/>
  <c r="G19" i="2" s="1"/>
  <c r="J19" i="1"/>
  <c r="G611" i="1" s="1"/>
  <c r="A13" i="12"/>
  <c r="I185" i="1"/>
  <c r="G620" i="1" s="1"/>
  <c r="J620" i="1" s="1"/>
  <c r="C25" i="13"/>
  <c r="H33" i="13"/>
  <c r="E13" i="13"/>
  <c r="C13" i="13" s="1"/>
  <c r="C114" i="2"/>
  <c r="C20" i="10"/>
  <c r="D14" i="13"/>
  <c r="C14" i="13" s="1"/>
  <c r="C115" i="2"/>
  <c r="G42" i="2"/>
  <c r="G43" i="2" s="1"/>
  <c r="H185" i="1"/>
  <c r="G619" i="1" s="1"/>
  <c r="J619" i="1" s="1"/>
  <c r="J630" i="1"/>
  <c r="G650" i="1"/>
  <c r="G654" i="1" s="1"/>
  <c r="C39" i="10"/>
  <c r="C55" i="2"/>
  <c r="C96" i="2" s="1"/>
  <c r="I652" i="1"/>
  <c r="E16" i="13"/>
  <c r="C16" i="13" s="1"/>
  <c r="C117" i="2"/>
  <c r="J641" i="1"/>
  <c r="G137" i="2"/>
  <c r="G73" i="2"/>
  <c r="G96" i="2" s="1"/>
  <c r="J542" i="1"/>
  <c r="J344" i="1"/>
  <c r="H638" i="1"/>
  <c r="J638" i="1" s="1"/>
  <c r="C104" i="2"/>
  <c r="F33" i="13"/>
  <c r="I464" i="1"/>
  <c r="I466" i="1" s="1"/>
  <c r="H615" i="1" s="1"/>
  <c r="H320" i="1"/>
  <c r="H330" i="1" s="1"/>
  <c r="H344" i="1" s="1"/>
  <c r="H239" i="1"/>
  <c r="H203" i="1"/>
  <c r="H249" i="1" s="1"/>
  <c r="H263" i="1" s="1"/>
  <c r="I434" i="1"/>
  <c r="J13" i="1" s="1"/>
  <c r="G13" i="2" s="1"/>
  <c r="D18" i="13"/>
  <c r="C18" i="13" s="1"/>
  <c r="I438" i="1"/>
  <c r="G632" i="1" s="1"/>
  <c r="J632" i="1" s="1"/>
  <c r="G203" i="1"/>
  <c r="G249" i="1" s="1"/>
  <c r="G263" i="1" s="1"/>
  <c r="J40" i="1"/>
  <c r="G39" i="2" s="1"/>
  <c r="L336" i="1"/>
  <c r="E126" i="2" s="1"/>
  <c r="E136" i="2" s="1"/>
  <c r="F122" i="2"/>
  <c r="F136" i="2" s="1"/>
  <c r="L269" i="1"/>
  <c r="C111" i="2"/>
  <c r="K490" i="1"/>
  <c r="D17" i="13"/>
  <c r="C17" i="13" s="1"/>
  <c r="D7" i="13"/>
  <c r="C7" i="13" s="1"/>
  <c r="H651" i="1"/>
  <c r="F104" i="1"/>
  <c r="F185" i="1" s="1"/>
  <c r="G617" i="1" s="1"/>
  <c r="J617" i="1" s="1"/>
  <c r="F361" i="1"/>
  <c r="C124" i="2"/>
  <c r="C136" i="2" s="1"/>
  <c r="C32" i="10"/>
  <c r="F77" i="2"/>
  <c r="F83" i="2" s="1"/>
  <c r="C35" i="10"/>
  <c r="C9" i="12"/>
  <c r="F450" i="1"/>
  <c r="F451" i="1" s="1"/>
  <c r="H629" i="1" s="1"/>
  <c r="J629" i="1" s="1"/>
  <c r="E116" i="2"/>
  <c r="C12" i="10"/>
  <c r="G615" i="1"/>
  <c r="J615" i="1" s="1"/>
  <c r="H329" i="1"/>
  <c r="L329" i="1" s="1"/>
  <c r="L518" i="1"/>
  <c r="F651" i="1"/>
  <c r="I651" i="1" s="1"/>
  <c r="D119" i="2"/>
  <c r="D120" i="2" s="1"/>
  <c r="D137" i="2" s="1"/>
  <c r="G662" i="1" l="1"/>
  <c r="G657" i="1"/>
  <c r="L343" i="1"/>
  <c r="J44" i="1"/>
  <c r="H611" i="1" s="1"/>
  <c r="J611" i="1" s="1"/>
  <c r="G616" i="1"/>
  <c r="J616" i="1" s="1"/>
  <c r="G541" i="1"/>
  <c r="L519" i="1"/>
  <c r="K539" i="1"/>
  <c r="F542" i="1"/>
  <c r="L535" i="1"/>
  <c r="D96" i="2"/>
  <c r="C5" i="13"/>
  <c r="C28" i="10"/>
  <c r="D17" i="10" s="1"/>
  <c r="D10" i="10"/>
  <c r="C8" i="13"/>
  <c r="E33" i="13"/>
  <c r="D35" i="13" s="1"/>
  <c r="H657" i="1"/>
  <c r="H662" i="1"/>
  <c r="C6" i="10" s="1"/>
  <c r="D12" i="10"/>
  <c r="L249" i="1"/>
  <c r="L263" i="1" s="1"/>
  <c r="G622" i="1" s="1"/>
  <c r="J622" i="1" s="1"/>
  <c r="E102" i="2"/>
  <c r="E107" i="2" s="1"/>
  <c r="E137" i="2" s="1"/>
  <c r="L282" i="1"/>
  <c r="C107" i="2"/>
  <c r="C137" i="2" s="1"/>
  <c r="D24" i="10"/>
  <c r="C41" i="10"/>
  <c r="C36" i="10"/>
  <c r="G627" i="1"/>
  <c r="J627" i="1" s="1"/>
  <c r="H636" i="1"/>
  <c r="J636" i="1" s="1"/>
  <c r="D11" i="10" l="1"/>
  <c r="D37" i="10"/>
  <c r="D40" i="10"/>
  <c r="D38" i="10"/>
  <c r="K541" i="1"/>
  <c r="K542" i="1" s="1"/>
  <c r="G542" i="1"/>
  <c r="D35" i="10"/>
  <c r="C30" i="10"/>
  <c r="D22" i="10"/>
  <c r="D25" i="10"/>
  <c r="D18" i="10"/>
  <c r="D27" i="10"/>
  <c r="D19" i="10"/>
  <c r="D21" i="10"/>
  <c r="D16" i="10"/>
  <c r="D26" i="10"/>
  <c r="D23" i="10"/>
  <c r="D13" i="10"/>
  <c r="D28" i="10" s="1"/>
  <c r="D31" i="13"/>
  <c r="L330" i="1"/>
  <c r="L344" i="1" s="1"/>
  <c r="G623" i="1" s="1"/>
  <c r="D39" i="10"/>
  <c r="F650" i="1"/>
  <c r="D36" i="10"/>
  <c r="D15" i="10"/>
  <c r="D20" i="10"/>
  <c r="F654" i="1" l="1"/>
  <c r="I650" i="1"/>
  <c r="I654" i="1" s="1"/>
  <c r="C31" i="13"/>
  <c r="D33" i="13"/>
  <c r="D36" i="13" s="1"/>
  <c r="D41" i="10"/>
  <c r="J623" i="1"/>
  <c r="H646" i="1"/>
  <c r="I662" i="1" l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4B08EF1-925C-4476-8AF3-F0BEACFB6C0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C552BD1-DFF2-476C-A3FD-8431EFC4ABC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E6F8DC0-EF88-41E0-9456-E9583D10A29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210C73F-565C-4BC2-B040-2648E9D34A7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3C199F9-E2E3-448C-A07B-77BF6F861EE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32D443B-375C-464C-AAC0-FB706D4573D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C3229AC-6C7B-465A-ACE5-4737BEE343E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4745CC0-A240-496F-BE04-103393E6133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F417485-9589-46CB-9FEC-7707B2D1FE3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BB87D95-D073-4933-8170-143331E5F0D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CDC354A-C436-4778-BFD1-B238F7F75DE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7C62465-E3D1-4C34-87A8-50BC325BDBB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<sst xmlns="http://schemas.openxmlformats.org/spreadsheetml/2006/main" count="3862" uniqueCount="899">
  <si>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</si>
  <si>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</si>
  <si>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</si>
  <si>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</si>
  <si>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</si>
  <si>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</si>
  <si>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</si>
  <si>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</si>
  <si>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</si>
  <si>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</si>
  <si>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</si>
  <si>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</si>
  <si>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</si>
  <si>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</si>
  <si>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</si>
  <si>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</si>
  <si>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</si>
  <si>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</si>
  <si>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</si>
  <si>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</si>
  <si>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</si>
  <si>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</si>
  <si>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</si>
  <si>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</si>
  <si>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</si>
  <si>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</si>
  <si>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</si>
  <si>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</si>
  <si>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</si>
  <si>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</si>
  <si>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</si>
  <si>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</si>
  <si>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</si>
  <si>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</si>
  <si>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</si>
  <si>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</si>
  <si>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</si>
  <si>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</si>
  <si>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</si>
  <si>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</si>
  <si>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</si>
  <si>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</si>
  <si>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</si>
  <si>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</si>
  <si>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</si>
  <si>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</si>
  <si>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</si>
  <si>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</si>
  <si>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</si>
  <si>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</si>
  <si>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</si>
  <si>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</si>
  <si>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</si>
  <si>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</si>
  <si>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</si>
  <si>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</si>
  <si>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</si>
  <si>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</si>
  <si>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</si>
  <si>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</si>
  <si>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</si>
  <si>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</si>
  <si>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</si>
  <si>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</si>
  <si>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</si>
  <si>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</si>
  <si>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</si>
  <si>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</si>
  <si>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</si>
  <si>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</si>
  <si>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</si>
  <si>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</si>
  <si>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</si>
  <si>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</si>
  <si>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</si>
  <si>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</si>
  <si>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</si>
  <si>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</si>
  <si>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</si>
  <si>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</si>
  <si>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</si>
  <si>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</si>
  <si>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</si>
  <si>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</si>
  <si>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</si>
  <si>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</si>
  <si>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</si>
  <si>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</si>
  <si>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</si>
  <si>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</si>
  <si>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</si>
  <si>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</si>
  <si>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</si>
  <si>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</si>
  <si>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</si>
  <si>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</si>
  <si>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</si>
  <si>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</si>
  <si>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</si>
  <si>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</si>
  <si>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</si>
  <si>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</si>
  <si>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</si>
  <si>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</si>
  <si>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</si>
  <si>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</si>
  <si>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</si>
  <si>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</si>
  <si>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</si>
  <si>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</si>
  <si>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</si>
  <si>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</si>
  <si>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</si>
  <si>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</si>
  <si>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</si>
  <si>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</si>
  <si>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</si>
  <si>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</si>
  <si>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</si>
  <si>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</si>
  <si>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</si>
  <si>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</si>
  <si>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</si>
  <si>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</si>
  <si>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</si>
  <si>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</si>
  <si>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</si>
  <si>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</si>
  <si>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</si>
  <si>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</si>
  <si>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</si>
  <si>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</si>
  <si>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</si>
  <si>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</si>
  <si>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</si>
  <si>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</si>
  <si>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</si>
  <si>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</si>
  <si>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</si>
  <si>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</si>
  <si>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</si>
  <si>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</si>
  <si>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</si>
  <si>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</si>
  <si>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</si>
  <si>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</si>
  <si>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</si>
  <si>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</si>
  <si>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</si>
  <si>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</si>
  <si>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</si>
  <si>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</si>
  <si>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</si>
  <si>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</si>
  <si>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</si>
  <si>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</si>
  <si>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</si>
  <si>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</si>
  <si>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</si>
  <si>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</si>
  <si>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</si>
  <si>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</si>
  <si>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</si>
  <si>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</si>
  <si>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</si>
  <si>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</si>
  <si>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</si>
  <si>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</si>
  <si>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</si>
  <si>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</si>
  <si>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</si>
  <si>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</si>
  <si>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</si>
  <si>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</si>
  <si>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</si>
  <si>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</si>
  <si>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</si>
  <si>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</si>
  <si>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</si>
  <si>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</si>
  <si>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</si>
  <si>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</si>
  <si>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</si>
  <si>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</si>
  <si>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</si>
  <si>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</si>
  <si>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</si>
  <si>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</si>
  <si>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</si>
  <si>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</si>
  <si>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</si>
  <si>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</si>
  <si>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</si>
  <si>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</si>
  <si>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</si>
  <si>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</si>
  <si>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</si>
  <si>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</si>
  <si>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</si>
  <si>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</si>
  <si>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</si>
  <si>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</si>
  <si>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</si>
  <si>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</si>
  <si>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</si>
  <si>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</si>
  <si>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</si>
  <si>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</si>
  <si>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</si>
  <si>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</si>
  <si>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</si>
  <si>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</si>
  <si>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</si>
  <si>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</si>
  <si>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</si>
  <si>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</si>
  <si>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</si>
  <si>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</si>
  <si>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</si>
  <si>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</si>
  <si>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</si>
  <si>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</si>
  <si>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</si>
  <si>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</si>
  <si>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</si>
  <si>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</si>
  <si>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</si>
  <si>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</si>
  <si>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</si>
  <si>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</si>
  <si>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</si>
  <si>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</si>
  <si>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</si>
  <si>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</si>
  <si>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</si>
  <si>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</si>
  <si>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</si>
  <si>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</si>
  <si>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</si>
  <si>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</si>
  <si>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</si>
  <si>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</si>
  <si>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</si>
  <si>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</si>
  <si>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</si>
  <si>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</si>
  <si>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</si>
  <si>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</si>
  <si>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</si>
  <si>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</si>
  <si>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</si>
  <si>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</si>
  <si>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</si>
  <si>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</si>
  <si>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</si>
  <si>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</si>
  <si>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</si>
  <si>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</si>
  <si>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</si>
  <si>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</si>
  <si>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</si>
  <si>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</si>
  <si>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</si>
  <si>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</si>
  <si>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</si>
  <si>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</si>
  <si>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</si>
  <si>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</si>
  <si>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</si>
  <si>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</si>
  <si>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</si>
  <si>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</si>
  <si>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</si>
  <si>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</si>
  <si>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</si>
  <si>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</si>
  <si>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</si>
  <si>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</si>
  <si>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</si>
  <si>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</si>
  <si>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</si>
  <si>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</si>
  <si>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</si>
  <si>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</si>
  <si>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</si>
  <si>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</si>
  <si>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</si>
  <si>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</si>
  <si>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</si>
  <si>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</si>
  <si>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</si>
  <si>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</si>
  <si>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</si>
  <si>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</si>
  <si>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</si>
  <si>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</si>
  <si>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</si>
  <si>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</si>
  <si>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</si>
  <si>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</si>
  <si>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</si>
  <si>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</si>
  <si>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</si>
  <si>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</si>
  <si>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</si>
  <si>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</si>
  <si>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</si>
  <si>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</si>
  <si>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</si>
  <si>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</si>
  <si>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</si>
  <si>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</si>
  <si>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</si>
  <si>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</si>
  <si>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</si>
  <si>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</si>
  <si>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</si>
  <si>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</si>
  <si>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</si>
  <si>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</si>
  <si>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</si>
  <si>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</si>
  <si>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</si>
  <si>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</si>
  <si>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</si>
  <si>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</si>
  <si>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</si>
  <si>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</si>
  <si>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</si>
  <si>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</si>
  <si>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</si>
  <si>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</si>
  <si>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</si>
  <si>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</si>
  <si>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</si>
  <si>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</si>
  <si>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</si>
  <si>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</si>
  <si>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</si>
  <si>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</si>
  <si>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</si>
  <si>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</si>
  <si>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</si>
  <si>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</si>
  <si>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</si>
  <si>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</si>
  <si>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</si>
  <si>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</si>
  <si>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</si>
  <si>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</si>
  <si>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</si>
  <si>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</si>
  <si>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</si>
  <si>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</si>
  <si>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</si>
  <si>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</si>
  <si>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</si>
  <si>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</si>
  <si>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</si>
  <si>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</si>
  <si>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</si>
  <si>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</si>
  <si>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</si>
  <si>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</si>
  <si>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</si>
  <si>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</si>
  <si>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</si>
  <si>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</si>
  <si>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</si>
  <si>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</si>
  <si>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</si>
  <si>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</si>
  <si>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</si>
  <si>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</si>
  <si>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</si>
  <si>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</si>
  <si>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</si>
  <si>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</si>
  <si>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</si>
  <si>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</si>
  <si>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</si>
  <si>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</si>
  <si>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</si>
  <si>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</si>
  <si>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</si>
  <si>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</si>
  <si>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</si>
  <si>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</si>
  <si>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</si>
  <si>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</si>
  <si>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</si>
  <si>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</si>
  <si>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</si>
  <si>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</si>
  <si>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</si>
  <si>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</si>
  <si>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</si>
  <si>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</si>
  <si>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</si>
  <si>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</si>
  <si>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</si>
  <si>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</si>
  <si>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</si>
  <si>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</si>
  <si>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</si>
  <si>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</si>
  <si>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</si>
  <si>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</si>
  <si>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</si>
  <si>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</si>
  <si>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</si>
  <si>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</si>
  <si>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</si>
  <si>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</si>
  <si>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</si>
  <si>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</si>
  <si>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</si>
  <si>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</si>
  <si>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</si>
  <si>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</si>
  <si>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</si>
  <si>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</si>
  <si>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</si>
  <si>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</si>
  <si>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</si>
  <si>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</si>
  <si>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</si>
  <si>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</si>
  <si>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</si>
  <si>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</si>
  <si>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</si>
  <si>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</si>
  <si>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</si>
  <si>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</si>
  <si>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</si>
  <si>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</si>
  <si>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</si>
  <si>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</si>
  <si>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</si>
  <si>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</si>
  <si>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</si>
  <si>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</si>
  <si>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</si>
  <si>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</si>
  <si>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</si>
  <si>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</si>
  <si>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</si>
  <si>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</si>
  <si>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</si>
  <si>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</si>
  <si>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</si>
  <si>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</si>
  <si>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</si>
  <si>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</si>
  <si>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</si>
  <si>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</si>
  <si>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</si>
  <si>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</si>
  <si>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</si>
  <si>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</si>
  <si>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</si>
  <si>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</si>
  <si>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</si>
  <si>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</si>
  <si>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</si>
  <si>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</si>
  <si>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</si>
  <si>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</si>
  <si>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</si>
  <si>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</si>
  <si>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</si>
  <si>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</si>
  <si>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</si>
  <si>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</si>
  <si>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</si>
  <si>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</si>
  <si>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</si>
  <si>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</si>
  <si>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</si>
  <si>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</si>
  <si>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</si>
  <si>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</si>
  <si>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</si>
  <si>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</si>
  <si>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</si>
  <si>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</si>
  <si>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</si>
  <si>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</si>
  <si>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</si>
  <si>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</si>
  <si>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</si>
  <si>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</si>
  <si>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</si>
  <si>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</si>
  <si>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</si>
  <si>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</si>
  <si>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</si>
  <si>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</si>
  <si>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</si>
  <si>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</si>
  <si>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</si>
  <si>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</si>
  <si>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</si>
  <si>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</si>
  <si>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</si>
  <si>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</si>
  <si>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</si>
  <si>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</si>
  <si>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</si>
  <si>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</si>
  <si>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</si>
  <si>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</si>
  <si>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</si>
  <si>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</si>
  <si>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</si>
  <si>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</si>
  <si>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</si>
  <si>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</si>
  <si>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</si>
  <si>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</si>
  <si>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</si>
  <si>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</si>
  <si>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</si>
  <si>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</si>
  <si>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</si>
  <si>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</si>
  <si>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</si>
  <si>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</si>
  <si>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</si>
  <si>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</si>
  <si>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</si>
  <si>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</si>
  <si>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</si>
  <si>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</si>
  <si>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</si>
  <si>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</si>
  <si>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</si>
  <si>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</si>
  <si>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</si>
  <si>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</si>
  <si>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</si>
  <si>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</si>
  <si>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</si>
  <si>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</si>
  <si>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</si>
  <si>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</si>
  <si>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</si>
  <si>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</si>
  <si>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</si>
  <si>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</si>
  <si>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</si>
  <si>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</si>
  <si>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</si>
  <si>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</si>
  <si>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</si>
  <si>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</si>
  <si>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</si>
  <si>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</si>
  <si>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</si>
  <si>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</si>
  <si>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</si>
  <si>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</si>
  <si>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</si>
  <si>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</si>
  <si>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</si>
  <si>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</si>
  <si>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</si>
  <si>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</si>
  <si>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</si>
  <si>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</si>
  <si>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</si>
  <si>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</si>
  <si>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</si>
  <si>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</si>
  <si>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</si>
  <si>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</si>
  <si>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</si>
  <si>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</si>
  <si>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</si>
  <si>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</si>
  <si>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</si>
  <si>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</si>
  <si>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</si>
  <si>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</si>
  <si>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</si>
  <si>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</si>
  <si>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</si>
  <si>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</si>
  <si>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</si>
  <si>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</si>
  <si>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</si>
  <si>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</si>
  <si>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</si>
  <si>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</si>
  <si>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</si>
  <si>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</si>
  <si>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</si>
  <si>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</si>
  <si>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</si>
  <si>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</si>
  <si>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</si>
  <si>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</si>
  <si>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</si>
  <si>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</si>
  <si>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</si>
  <si>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</si>
  <si>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</si>
  <si>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</si>
  <si>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</si>
  <si>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</si>
  <si>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</si>
  <si>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</si>
  <si>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</si>
  <si>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</si>
  <si>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</si>
  <si>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</si>
  <si>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</si>
  <si>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</si>
  <si>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</si>
  <si>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</si>
  <si>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</si>
  <si>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</si>
  <si>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</si>
  <si>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</si>
  <si>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</si>
  <si>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</si>
  <si>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</si>
  <si>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</si>
  <si>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</si>
  <si>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</si>
  <si>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</si>
  <si>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</si>
  <si>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</si>
  <si>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</si>
  <si>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</si>
  <si>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</si>
  <si>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</si>
  <si>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</si>
  <si>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</si>
  <si>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</si>
  <si>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</si>
  <si>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</si>
  <si>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</si>
  <si>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</si>
  <si>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</si>
  <si>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</si>
  <si>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</si>
  <si>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</si>
  <si>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</si>
  <si>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</si>
  <si>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</si>
  <si>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</si>
  <si>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</si>
  <si>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</si>
  <si>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</si>
  <si>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</si>
  <si>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</si>
  <si>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</si>
  <si>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</si>
  <si>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</si>
  <si>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</si>
  <si>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</si>
  <si>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</si>
  <si>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</si>
  <si>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</si>
  <si>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</si>
  <si>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</si>
  <si>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</si>
  <si>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</si>
  <si>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</si>
  <si>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</si>
  <si>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</si>
  <si>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</si>
  <si>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</si>
  <si>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</si>
  <si>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</si>
  <si>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</si>
  <si>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</si>
  <si>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</si>
  <si>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</si>
  <si>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</si>
  <si>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</si>
  <si>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</si>
  <si>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</si>
  <si>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</si>
  <si>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</si>
  <si>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</si>
  <si>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</si>
  <si>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</si>
  <si>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</si>
  <si>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</si>
  <si>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</si>
  <si>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</si>
  <si>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</si>
  <si>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</si>
  <si>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</si>
  <si>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</si>
  <si>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</si>
  <si>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</si>
  <si>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</si>
  <si>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</si>
  <si>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</si>
  <si>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</si>
  <si>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</si>
  <si>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</si>
  <si>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</si>
  <si>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</si>
  <si>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</si>
  <si>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</si>
  <si>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</si>
  <si>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</si>
  <si>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</si>
  <si>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</si>
  <si>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</si>
  <si>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</si>
  <si>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</si>
  <si>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</si>
  <si>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</si>
  <si>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</si>
  <si>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</si>
  <si>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</si>
  <si>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</si>
  <si>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</si>
  <si>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</si>
  <si>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</si>
  <si>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</si>
  <si>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</si>
  <si>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</si>
  <si>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</si>
  <si>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</si>
  <si>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</si>
  <si>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</si>
  <si>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</si>
  <si>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</si>
  <si>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</si>
  <si>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</si>
  <si>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</si>
  <si>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</si>
  <si>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</si>
  <si>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</si>
  <si>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</si>
  <si>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</si>
  <si>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</si>
  <si>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</si>
  <si>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</si>
  <si>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</si>
  <si>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</si>
  <si>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</si>
  <si>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</si>
  <si>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</si>
  <si>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</si>
  <si>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</si>
  <si>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</si>
  <si>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</si>
  <si>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</si>
  <si>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</si>
  <si>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</si>
  <si>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</si>
  <si>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</si>
  <si>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</si>
  <si>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</si>
  <si>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</si>
  <si>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</si>
  <si>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</si>
  <si>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</si>
  <si>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</si>
  <si>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</si>
  <si>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</si>
  <si>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</si>
  <si>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</si>
  <si>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</si>
  <si>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</si>
  <si>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</si>
  <si>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</si>
  <si>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</si>
  <si>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</si>
  <si>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</si>
  <si>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</si>
  <si>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</si>
  <si>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</si>
  <si>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</si>
  <si>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</si>
  <si>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</si>
  <si>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</si>
  <si>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</si>
  <si>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</si>
  <si>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</si>
  <si>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</si>
  <si>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</si>
  <si>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</si>
  <si>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</si>
  <si>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</si>
  <si>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</si>
  <si>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</si>
  <si>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</si>
  <si>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</si>
  <si>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</si>
  <si>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</si>
  <si>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</si>
  <si>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</si>
  <si>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</si>
  <si>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</si>
  <si>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</si>
  <si>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</si>
  <si>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</si>
  <si>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</si>
  <si>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</si>
  <si>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</si>
  <si>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</si>
  <si>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</si>
  <si>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</si>
  <si>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</si>
  <si>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</si>
  <si>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</si>
  <si>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</si>
  <si>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</si>
  <si>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</si>
  <si>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</si>
  <si>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</si>
  <si>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</si>
  <si>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</si>
  <si>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</si>
  <si>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</si>
  <si>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</si>
  <si>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</si>
  <si>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</si>
  <si>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</si>
  <si>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</si>
  <si>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</si>
  <si>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</si>
  <si>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</si>
  <si>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</si>
  <si>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</si>
  <si>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</si>
  <si>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</si>
  <si>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</si>
  <si>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</si>
  <si>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</si>
  <si>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</si>
  <si>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</si>
  <si>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</si>
  <si>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</si>
  <si>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</si>
  <si>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</si>
  <si>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</si>
  <si>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</si>
  <si>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</si>
  <si>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</si>
  <si>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</si>
  <si>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</si>
  <si>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</si>
  <si>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</si>
  <si>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</si>
  <si>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</si>
  <si>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</si>
  <si>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</si>
  <si>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</si>
  <si>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</si>
  <si>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</si>
  <si>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</si>
  <si>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</si>
  <si>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</si>
  <si>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</si>
  <si>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</si>
  <si>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</si>
  <si>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</si>
  <si>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</si>
  <si>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</si>
  <si>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</si>
  <si>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</si>
  <si>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</si>
  <si>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</si>
  <si>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</si>
  <si>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</si>
  <si>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</si>
  <si>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</si>
  <si>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</si>
  <si>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</si>
  <si>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</si>
  <si>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</si>
  <si>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</si>
  <si>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</si>
  <si>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</si>
  <si>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</si>
  <si>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</si>
  <si>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</si>
  <si>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</si>
  <si>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</si>
  <si>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</si>
  <si>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</si>
  <si>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</si>
  <si>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</si>
  <si>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</si>
  <si>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</si>
  <si>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FARMINGTON SCHOOL DISTRICT</t>
  </si>
  <si>
    <t>08/02</t>
  </si>
  <si>
    <t>08/11</t>
  </si>
  <si>
    <t>Food Service EOY Audit Adjustment $1.35</t>
  </si>
  <si>
    <t>Change in General Fund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</si>
</sst>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B290-1666-45E1-BFE5-3F1043C3940F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175</v>
      </c>
      <c r="C2" s="21">
        <v>175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410928.43+250</f>
        <v>411178.43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139842.63</v>
      </c>
      <c r="G12" s="18"/>
      <c r="H12" s="18"/>
      <c r="I12" s="18"/>
      <c r="J12" s="67">
        <f>SUM(I433)</f>
        <v>150000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75930.5+645164.36</f>
        <v>721094.86</v>
      </c>
      <c r="G13" s="18">
        <v>24431.03</v>
      </c>
      <c r="H13" s="18">
        <v>253375.95</v>
      </c>
      <c r="I13" s="18"/>
      <c r="J13" s="67">
        <f>SUM(I434)</f>
        <v>1466515.3800000001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34929.95+4663.53</f>
        <v>39593.479999999996</v>
      </c>
      <c r="G14" s="18">
        <v>577.72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1311709.3999999999</v>
      </c>
      <c r="G19" s="41">
        <f>SUM(G9:G18)</f>
        <v>25008.75</v>
      </c>
      <c r="H19" s="41">
        <f>SUM(H9:H18)</f>
        <v>253375.95</v>
      </c>
      <c r="I19" s="41">
        <f>SUM(I9:I18)</f>
        <v>0</v>
      </c>
      <c r="J19" s="41">
        <f>SUM(J9:J18)</f>
        <v>1616515.3800000001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20719.16</v>
      </c>
      <c r="H23" s="18">
        <v>203979.96</v>
      </c>
      <c r="I23" s="18"/>
      <c r="J23" s="67">
        <f>SUM(I440)</f>
        <v>75930.5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76407.12+20652.05</f>
        <v>97059.17</v>
      </c>
      <c r="G25" s="18">
        <v>1127.81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22035+616974.33</f>
        <v>639009.32999999996</v>
      </c>
      <c r="G29" s="18"/>
      <c r="H29" s="18">
        <v>44957.58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6234.41+92.92-78.6</f>
        <v>6248.73</v>
      </c>
      <c r="G30" s="18"/>
      <c r="H30" s="18">
        <v>4438.41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3079.99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742317.23</v>
      </c>
      <c r="G33" s="41">
        <f>SUM(G23:G32)</f>
        <v>24926.959999999999</v>
      </c>
      <c r="H33" s="41">
        <f>SUM(H23:H32)</f>
        <v>253375.94999999998</v>
      </c>
      <c r="I33" s="41">
        <f>SUM(I23:I32)</f>
        <v>0</v>
      </c>
      <c r="J33" s="41">
        <f>SUM(J23:J32)</f>
        <v>75930.5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f>240385.87+7500</f>
        <v>247885.87</v>
      </c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6000</v>
      </c>
      <c r="G41" s="18">
        <f>361.82-280.03</f>
        <v>81.79000000000002</v>
      </c>
      <c r="H41" s="18"/>
      <c r="I41" s="18"/>
      <c r="J41" s="13">
        <f>SUM(I449)</f>
        <v>1540584.88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-89684.31+355190.61</f>
        <v>265506.3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569392.16999999993</v>
      </c>
      <c r="G43" s="41">
        <f>SUM(G35:G42)</f>
        <v>81.79000000000002</v>
      </c>
      <c r="H43" s="41">
        <f>SUM(H35:H42)</f>
        <v>0</v>
      </c>
      <c r="I43" s="41">
        <f>SUM(I35:I42)</f>
        <v>0</v>
      </c>
      <c r="J43" s="41">
        <f>SUM(J35:J42)</f>
        <v>1540584.88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1311709.3999999999</v>
      </c>
      <c r="G44" s="41">
        <f>G43+G33</f>
        <v>25008.75</v>
      </c>
      <c r="H44" s="41">
        <f>H43+H33</f>
        <v>253375.94999999998</v>
      </c>
      <c r="I44" s="41">
        <f>I43+I33</f>
        <v>0</v>
      </c>
      <c r="J44" s="41">
        <f>J43+J33</f>
        <v>1616515.38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3837710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3837710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732.72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180+12223.8+75787.6+1647774.17+828352.2-7912.68</f>
        <v>2556405.0899999994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44355.1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2601492.9099999997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5194.82+39.36</f>
        <v>5234.1799999999994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15968.46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21202.639999999999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2244.85</v>
      </c>
      <c r="G88" s="18"/>
      <c r="H88" s="18"/>
      <c r="I88" s="18">
        <v>271.10000000000002</v>
      </c>
      <c r="J88" s="18">
        <v>20972.799999999999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213014.71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3320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214.56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200+3810.69</f>
        <v>4010.69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54+19629.6-13686.14</f>
        <v>5997.4599999999991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11776.869999999999</v>
      </c>
      <c r="G103" s="41">
        <f>SUM(G88:G102)</f>
        <v>213014.71</v>
      </c>
      <c r="H103" s="41">
        <f>SUM(H88:H102)</f>
        <v>4010.69</v>
      </c>
      <c r="I103" s="41">
        <f>SUM(I88:I102)</f>
        <v>271.10000000000002</v>
      </c>
      <c r="J103" s="41">
        <f>SUM(J88:J102)</f>
        <v>20972.799999999999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6472182.4199999999</v>
      </c>
      <c r="G104" s="41">
        <f>G52+G103</f>
        <v>213014.71</v>
      </c>
      <c r="H104" s="41">
        <f>H52+H71+H86+H103</f>
        <v>4010.69</v>
      </c>
      <c r="I104" s="41">
        <f>I52+I103</f>
        <v>271.10000000000002</v>
      </c>
      <c r="J104" s="41">
        <f>J52+J103</f>
        <v>20972.799999999999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4942117.99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1111201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1896137.01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7949456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373817.04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143547.24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6590.84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6980.39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534155.12</v>
      </c>
      <c r="G128" s="41">
        <f>SUM(G115:G127)</f>
        <v>6980.39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8483611.1199999992</v>
      </c>
      <c r="G132" s="41">
        <f>G113+SUM(G128:G129)</f>
        <v>6980.39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913807.73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116315.02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284627.44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631033.69999999995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167921.68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28591.07+3895</f>
        <v>32486.07</v>
      </c>
      <c r="H153" s="18">
        <v>198450.87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167921.68</v>
      </c>
      <c r="G154" s="41">
        <f>SUM(G142:G153)</f>
        <v>317113.51</v>
      </c>
      <c r="H154" s="41">
        <f>SUM(H142:H153)</f>
        <v>1859607.3199999998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167921.68</v>
      </c>
      <c r="G161" s="41">
        <f>G139+G154+SUM(G155:G160)</f>
        <v>317113.51</v>
      </c>
      <c r="H161" s="41">
        <f>H139+H154+SUM(H155:H160)</f>
        <v>1859607.3199999998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13228.93</v>
      </c>
      <c r="H171" s="18"/>
      <c r="I171" s="18"/>
      <c r="J171" s="18">
        <v>150000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63069.4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102807.43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165876.82999999999</v>
      </c>
      <c r="G175" s="41">
        <f>SUM(G171:G174)</f>
        <v>13228.93</v>
      </c>
      <c r="H175" s="41">
        <f>SUM(H171:H174)</f>
        <v>0</v>
      </c>
      <c r="I175" s="41">
        <f>SUM(I171:I174)</f>
        <v>0</v>
      </c>
      <c r="J175" s="41">
        <f>SUM(J171:J174)</f>
        <v>150000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165876.82999999999</v>
      </c>
      <c r="G184" s="41">
        <f>G175+SUM(G180:G183)</f>
        <v>13228.93</v>
      </c>
      <c r="H184" s="41">
        <f>+H175+SUM(H180:H183)</f>
        <v>0</v>
      </c>
      <c r="I184" s="41">
        <f>I169+I175+SUM(I180:I183)</f>
        <v>0</v>
      </c>
      <c r="J184" s="41">
        <f>J175</f>
        <v>150000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15289592.049999999</v>
      </c>
      <c r="G185" s="47">
        <f>G104+G132+G161+G184</f>
        <v>550337.54</v>
      </c>
      <c r="H185" s="47">
        <f>H104+H132+H161+H184</f>
        <v>1863618.0099999998</v>
      </c>
      <c r="I185" s="47">
        <f>I104+I132+I161+I184</f>
        <v>271.10000000000002</v>
      </c>
      <c r="J185" s="47">
        <f>J104+J132+J184</f>
        <v>170972.79999999999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2327924.06</v>
      </c>
      <c r="G189" s="18">
        <f>706788.35+30.44</f>
        <v>706818.78999999992</v>
      </c>
      <c r="H189" s="18">
        <f>42074.04+254.43</f>
        <v>42328.47</v>
      </c>
      <c r="I189" s="18">
        <v>116211.54</v>
      </c>
      <c r="J189" s="18">
        <v>570.04</v>
      </c>
      <c r="K189" s="18"/>
      <c r="L189" s="19">
        <f>SUM(F189:K189)</f>
        <v>3193852.9000000004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1469095.24</v>
      </c>
      <c r="G190" s="18">
        <v>275684.39</v>
      </c>
      <c r="H190" s="18">
        <f>91446.6+2359.66+610717.67</f>
        <v>704523.93</v>
      </c>
      <c r="I190" s="18">
        <v>5694.85</v>
      </c>
      <c r="J190" s="18"/>
      <c r="K190" s="18">
        <v>5289.52</v>
      </c>
      <c r="L190" s="19">
        <f>SUM(F190:K190)</f>
        <v>2460287.9300000002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120740.72</v>
      </c>
      <c r="G192" s="18">
        <v>24477.52</v>
      </c>
      <c r="H192" s="18">
        <v>3819</v>
      </c>
      <c r="I192" s="18">
        <v>8836.07</v>
      </c>
      <c r="J192" s="18"/>
      <c r="K192" s="18">
        <v>10875</v>
      </c>
      <c r="L192" s="19">
        <f>SUM(F192:K192)</f>
        <v>168748.31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477382.54</v>
      </c>
      <c r="G194" s="18">
        <v>153295.65</v>
      </c>
      <c r="H194" s="18">
        <f>71103.57+134.96+235.32</f>
        <v>71473.85000000002</v>
      </c>
      <c r="I194" s="18">
        <v>5454</v>
      </c>
      <c r="J194" s="18">
        <v>750.99</v>
      </c>
      <c r="K194" s="18">
        <v>747.39</v>
      </c>
      <c r="L194" s="19">
        <f t="shared" ref="L194:L200" si="0">SUM(F194:K194)</f>
        <v>709104.41999999993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187910.44</v>
      </c>
      <c r="G195" s="18">
        <v>70484.98</v>
      </c>
      <c r="H195" s="18">
        <f>13958.03+1157.17+2040.88</f>
        <v>17156.080000000002</v>
      </c>
      <c r="I195" s="18">
        <v>22535.02</v>
      </c>
      <c r="J195" s="18"/>
      <c r="K195" s="18">
        <v>952.08</v>
      </c>
      <c r="L195" s="19">
        <f t="shared" si="0"/>
        <v>299038.60000000003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12282.11</v>
      </c>
      <c r="G196" s="18">
        <v>1013.72</v>
      </c>
      <c r="H196" s="18">
        <f>577812.19+3161.95-0.03</f>
        <v>580974.10999999987</v>
      </c>
      <c r="I196" s="18"/>
      <c r="J196" s="18"/>
      <c r="K196" s="18">
        <v>3509.28</v>
      </c>
      <c r="L196" s="19">
        <f t="shared" si="0"/>
        <v>597779.21999999986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338133.52</v>
      </c>
      <c r="G197" s="18">
        <v>88351.32</v>
      </c>
      <c r="H197" s="18">
        <f>1422+7421.24+21105.63</f>
        <v>29948.870000000003</v>
      </c>
      <c r="I197" s="18">
        <v>4271.3900000000003</v>
      </c>
      <c r="J197" s="18">
        <v>8863.2099999999991</v>
      </c>
      <c r="K197" s="18">
        <v>934</v>
      </c>
      <c r="L197" s="19">
        <f t="shared" si="0"/>
        <v>470502.31000000006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f>358.48+1059.3</f>
        <v>1417.78</v>
      </c>
      <c r="I198" s="18">
        <v>1645.75</v>
      </c>
      <c r="J198" s="18">
        <v>1311.92</v>
      </c>
      <c r="K198" s="18"/>
      <c r="L198" s="19">
        <f t="shared" si="0"/>
        <v>4375.45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288749.65000000002</v>
      </c>
      <c r="G199" s="18">
        <v>114638.66</v>
      </c>
      <c r="H199" s="18">
        <f>33302.96+87594.58+27451.1</f>
        <v>148348.64000000001</v>
      </c>
      <c r="I199" s="18">
        <v>306496.82</v>
      </c>
      <c r="J199" s="18">
        <v>10858.68</v>
      </c>
      <c r="K199" s="18">
        <v>62.23</v>
      </c>
      <c r="L199" s="19">
        <f t="shared" si="0"/>
        <v>869154.68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131379.47</v>
      </c>
      <c r="G200" s="18">
        <v>43985.58</v>
      </c>
      <c r="H200" s="18">
        <f>216.44+65906.37+34345.82</f>
        <v>100468.63</v>
      </c>
      <c r="I200" s="18">
        <v>23400.9</v>
      </c>
      <c r="J200" s="18">
        <v>3519.78</v>
      </c>
      <c r="K200" s="18">
        <v>875.99</v>
      </c>
      <c r="L200" s="19">
        <f t="shared" si="0"/>
        <v>303630.35000000003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82593.75</v>
      </c>
      <c r="G201" s="18">
        <v>44951.14</v>
      </c>
      <c r="H201" s="18">
        <f>4199.51+22923.77+6216.72</f>
        <v>33340</v>
      </c>
      <c r="I201" s="18">
        <v>22358.74</v>
      </c>
      <c r="J201" s="18">
        <v>15338.17</v>
      </c>
      <c r="K201" s="18"/>
      <c r="L201" s="19">
        <f>SUM(F201:K201)</f>
        <v>198581.80000000002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5436191.5000000009</v>
      </c>
      <c r="G203" s="41">
        <f t="shared" si="1"/>
        <v>1523701.7499999998</v>
      </c>
      <c r="H203" s="41">
        <f t="shared" si="1"/>
        <v>1733799.3599999999</v>
      </c>
      <c r="I203" s="41">
        <f t="shared" si="1"/>
        <v>516905.08</v>
      </c>
      <c r="J203" s="41">
        <f t="shared" si="1"/>
        <v>41212.79</v>
      </c>
      <c r="K203" s="41">
        <f t="shared" si="1"/>
        <v>23245.49</v>
      </c>
      <c r="L203" s="41">
        <f t="shared" si="1"/>
        <v>9275055.9700000007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1176886.95</v>
      </c>
      <c r="G225" s="18">
        <f>346548.76+14.56</f>
        <v>346563.32</v>
      </c>
      <c r="H225" s="18">
        <f>38190.03+9750.6</f>
        <v>47940.63</v>
      </c>
      <c r="I225" s="18">
        <v>54321.82</v>
      </c>
      <c r="J225" s="18">
        <v>4359.1099999999997</v>
      </c>
      <c r="K225" s="18"/>
      <c r="L225" s="19">
        <f>SUM(F225:K225)</f>
        <v>1630071.83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562811.87</v>
      </c>
      <c r="G226" s="18">
        <v>139413.14000000001</v>
      </c>
      <c r="H226" s="18">
        <f>53867.43+461.24+364437.86</f>
        <v>418766.52999999997</v>
      </c>
      <c r="I226" s="18">
        <v>1183.74</v>
      </c>
      <c r="J226" s="18"/>
      <c r="K226" s="18">
        <v>2530.88</v>
      </c>
      <c r="L226" s="19">
        <f>SUM(F226:K226)</f>
        <v>1124706.1599999999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23497.7</v>
      </c>
      <c r="I227" s="18"/>
      <c r="J227" s="18"/>
      <c r="K227" s="18"/>
      <c r="L227" s="19">
        <f>SUM(F227:K227)</f>
        <v>23497.7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42739</v>
      </c>
      <c r="G228" s="18">
        <v>4782.74</v>
      </c>
      <c r="H228" s="18">
        <f>28103+1134.68</f>
        <v>29237.68</v>
      </c>
      <c r="I228" s="18">
        <v>10054.700000000001</v>
      </c>
      <c r="J228" s="18">
        <v>650</v>
      </c>
      <c r="K228" s="18">
        <v>6796</v>
      </c>
      <c r="L228" s="19">
        <f>SUM(F228:K228)</f>
        <v>94260.12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254204.79</v>
      </c>
      <c r="G230" s="18">
        <v>63811.13</v>
      </c>
      <c r="H230" s="18">
        <f>34360.02+64.57+112.59</f>
        <v>34537.179999999993</v>
      </c>
      <c r="I230" s="18">
        <v>2966.89</v>
      </c>
      <c r="J230" s="18">
        <v>359.33</v>
      </c>
      <c r="K230" s="18">
        <v>357.61</v>
      </c>
      <c r="L230" s="19">
        <f t="shared" ref="L230:L236" si="4">SUM(F230:K230)</f>
        <v>356236.93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36511.1</v>
      </c>
      <c r="G231" s="18">
        <v>10559.39</v>
      </c>
      <c r="H231" s="18">
        <f>6866.01+1067.89+2065.44</f>
        <v>9999.34</v>
      </c>
      <c r="I231" s="18">
        <v>7707.78</v>
      </c>
      <c r="J231" s="18"/>
      <c r="K231" s="18">
        <v>378.92</v>
      </c>
      <c r="L231" s="19">
        <f t="shared" si="4"/>
        <v>65156.53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5876.64</v>
      </c>
      <c r="G232" s="18">
        <v>485.03</v>
      </c>
      <c r="H232" s="18">
        <f>276466.63+1512.9+0.03</f>
        <v>277979.56000000006</v>
      </c>
      <c r="I232" s="18"/>
      <c r="J232" s="18"/>
      <c r="K232" s="18">
        <v>1679.09</v>
      </c>
      <c r="L232" s="19">
        <f t="shared" si="4"/>
        <v>286020.32000000007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201748.68</v>
      </c>
      <c r="G233" s="18">
        <v>73758.22</v>
      </c>
      <c r="H233" s="18">
        <f>522+1888.03+10886.45</f>
        <v>13296.48</v>
      </c>
      <c r="I233" s="18">
        <v>3147.71</v>
      </c>
      <c r="J233" s="18">
        <v>1219.23</v>
      </c>
      <c r="K233" s="18">
        <v>4058.72</v>
      </c>
      <c r="L233" s="19">
        <f t="shared" si="4"/>
        <v>297229.03999999998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f>171.52+506.84</f>
        <v>678.36</v>
      </c>
      <c r="I234" s="18">
        <v>787.44</v>
      </c>
      <c r="J234" s="18">
        <v>627.72</v>
      </c>
      <c r="K234" s="18"/>
      <c r="L234" s="19">
        <f t="shared" si="4"/>
        <v>2093.5200000000004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149154.21</v>
      </c>
      <c r="G235" s="18">
        <v>65997.66</v>
      </c>
      <c r="H235" s="18">
        <f>15934.51+62739.38+13134.56</f>
        <v>91808.45</v>
      </c>
      <c r="I235" s="18">
        <v>159993.89000000001</v>
      </c>
      <c r="J235" s="18">
        <v>746.24</v>
      </c>
      <c r="K235" s="18">
        <v>29.77</v>
      </c>
      <c r="L235" s="19">
        <f t="shared" si="4"/>
        <v>467730.22000000003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100507.3</v>
      </c>
      <c r="G236" s="18">
        <v>27882.880000000001</v>
      </c>
      <c r="H236" s="18">
        <f>103.56+31534.31+16433.49</f>
        <v>48071.360000000001</v>
      </c>
      <c r="I236" s="18">
        <v>24949.279999999999</v>
      </c>
      <c r="J236" s="18">
        <v>1684.12</v>
      </c>
      <c r="K236" s="18">
        <v>419.13</v>
      </c>
      <c r="L236" s="19">
        <f t="shared" si="4"/>
        <v>203514.07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39518.75</v>
      </c>
      <c r="G237" s="18">
        <v>21507.84</v>
      </c>
      <c r="H237" s="18">
        <f>2009.34+10968.37+2974.52</f>
        <v>15952.230000000001</v>
      </c>
      <c r="I237" s="18">
        <v>10698.02</v>
      </c>
      <c r="J237" s="18">
        <v>7338.88</v>
      </c>
      <c r="K237" s="18"/>
      <c r="L237" s="19">
        <f>SUM(F237:K237)</f>
        <v>95015.72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2569959.2899999996</v>
      </c>
      <c r="G239" s="41">
        <f t="shared" si="5"/>
        <v>754761.35</v>
      </c>
      <c r="H239" s="41">
        <f t="shared" si="5"/>
        <v>1011765.4999999999</v>
      </c>
      <c r="I239" s="41">
        <f t="shared" si="5"/>
        <v>275811.27</v>
      </c>
      <c r="J239" s="41">
        <f t="shared" si="5"/>
        <v>16984.63</v>
      </c>
      <c r="K239" s="41">
        <f t="shared" si="5"/>
        <v>16250.12</v>
      </c>
      <c r="L239" s="41">
        <f t="shared" si="5"/>
        <v>4645532.1600000011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8006150.790000001</v>
      </c>
      <c r="G249" s="41">
        <f t="shared" si="8"/>
        <v>2278463.0999999996</v>
      </c>
      <c r="H249" s="41">
        <f t="shared" si="8"/>
        <v>2745564.86</v>
      </c>
      <c r="I249" s="41">
        <f t="shared" si="8"/>
        <v>792716.35000000009</v>
      </c>
      <c r="J249" s="41">
        <f t="shared" si="8"/>
        <v>58197.42</v>
      </c>
      <c r="K249" s="41">
        <f t="shared" si="8"/>
        <v>39495.61</v>
      </c>
      <c r="L249" s="41">
        <f t="shared" si="8"/>
        <v>13920588.130000003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765000</v>
      </c>
      <c r="L252" s="19">
        <f>SUM(F252:K252)</f>
        <v>765000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85584.38</v>
      </c>
      <c r="L253" s="19">
        <f>SUM(F253:K253)</f>
        <v>85584.38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13228.93</v>
      </c>
      <c r="L255" s="19">
        <f>SUM(F255:K255)</f>
        <v>13228.93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150000</v>
      </c>
      <c r="L258" s="19">
        <f t="shared" si="9"/>
        <v>150000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1013813.31</v>
      </c>
      <c r="L262" s="41">
        <f t="shared" si="9"/>
        <v>1013813.31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8006150.790000001</v>
      </c>
      <c r="G263" s="42">
        <f t="shared" si="11"/>
        <v>2278463.0999999996</v>
      </c>
      <c r="H263" s="42">
        <f t="shared" si="11"/>
        <v>2745564.86</v>
      </c>
      <c r="I263" s="42">
        <f t="shared" si="11"/>
        <v>792716.35000000009</v>
      </c>
      <c r="J263" s="42">
        <f t="shared" si="11"/>
        <v>58197.42</v>
      </c>
      <c r="K263" s="42">
        <f t="shared" si="11"/>
        <v>1053308.9200000002</v>
      </c>
      <c r="L263" s="42">
        <f t="shared" si="11"/>
        <v>14934401.440000003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14824.52</v>
      </c>
      <c r="G268" s="18">
        <v>3693.59</v>
      </c>
      <c r="H268" s="18"/>
      <c r="I268" s="18">
        <v>16251.69</v>
      </c>
      <c r="J268" s="18">
        <v>22779.05</v>
      </c>
      <c r="K268" s="18"/>
      <c r="L268" s="19">
        <f>SUM(F268:K268)</f>
        <v>57548.850000000006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442904.04</v>
      </c>
      <c r="G269" s="18">
        <v>95396.95</v>
      </c>
      <c r="H269" s="18">
        <f>57342.04+638.68</f>
        <v>57980.72</v>
      </c>
      <c r="I269" s="18">
        <v>94558.27</v>
      </c>
      <c r="J269" s="18">
        <v>146464.98000000001</v>
      </c>
      <c r="K269" s="18"/>
      <c r="L269" s="19">
        <f>SUM(F269:K269)</f>
        <v>837304.96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48578.41</v>
      </c>
      <c r="G273" s="18">
        <v>11563.57</v>
      </c>
      <c r="H273" s="18">
        <f>3049.39+395.99</f>
        <v>3445.38</v>
      </c>
      <c r="I273" s="18">
        <v>1396.43</v>
      </c>
      <c r="J273" s="18"/>
      <c r="K273" s="18">
        <v>833.25</v>
      </c>
      <c r="L273" s="19">
        <f t="shared" ref="L273:L279" si="12">SUM(F273:K273)</f>
        <v>65817.040000000008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67619.789999999994</v>
      </c>
      <c r="G274" s="18">
        <v>10123.32</v>
      </c>
      <c r="H274" s="18">
        <f>107915.47+8016.42</f>
        <v>115931.89</v>
      </c>
      <c r="I274" s="18">
        <v>24823.79</v>
      </c>
      <c r="J274" s="18"/>
      <c r="K274" s="18">
        <v>450</v>
      </c>
      <c r="L274" s="19">
        <f t="shared" si="12"/>
        <v>218948.79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54224.02</v>
      </c>
      <c r="G275" s="18">
        <v>12899.98</v>
      </c>
      <c r="H275" s="18"/>
      <c r="I275" s="18"/>
      <c r="J275" s="18"/>
      <c r="K275" s="18">
        <v>572.67999999999995</v>
      </c>
      <c r="L275" s="19">
        <f t="shared" si="12"/>
        <v>67696.679999999993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v>37113.33</v>
      </c>
      <c r="K279" s="18"/>
      <c r="L279" s="19">
        <f t="shared" si="12"/>
        <v>37113.33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6763.74</v>
      </c>
      <c r="I280" s="18"/>
      <c r="J280" s="18">
        <v>26761.69</v>
      </c>
      <c r="K280" s="18"/>
      <c r="L280" s="19">
        <f>SUM(F280:K280)</f>
        <v>33525.43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628150.78</v>
      </c>
      <c r="G282" s="42">
        <f t="shared" si="13"/>
        <v>133677.41</v>
      </c>
      <c r="H282" s="42">
        <f t="shared" si="13"/>
        <v>184121.72999999998</v>
      </c>
      <c r="I282" s="42">
        <f t="shared" si="13"/>
        <v>137030.18</v>
      </c>
      <c r="J282" s="42">
        <f t="shared" si="13"/>
        <v>233119.05</v>
      </c>
      <c r="K282" s="42">
        <f t="shared" si="13"/>
        <v>1855.9299999999998</v>
      </c>
      <c r="L282" s="41">
        <f t="shared" si="13"/>
        <v>1317955.0799999998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2567.39</v>
      </c>
      <c r="G306" s="18">
        <v>412.23</v>
      </c>
      <c r="H306" s="18">
        <f>300</f>
        <v>300</v>
      </c>
      <c r="I306" s="18"/>
      <c r="J306" s="18">
        <v>8090.49</v>
      </c>
      <c r="K306" s="18"/>
      <c r="L306" s="19">
        <f>SUM(F306:K306)</f>
        <v>11370.11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57201.4</v>
      </c>
      <c r="G307" s="18">
        <v>5309.03</v>
      </c>
      <c r="H307" s="18">
        <f>51494.61+285-0.01</f>
        <v>51779.6</v>
      </c>
      <c r="I307" s="18">
        <v>9259.74</v>
      </c>
      <c r="J307" s="18">
        <v>50287.35</v>
      </c>
      <c r="K307" s="18"/>
      <c r="L307" s="19">
        <f>SUM(F307:K307)</f>
        <v>173837.12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25497.13</v>
      </c>
      <c r="G311" s="18">
        <v>5838.07</v>
      </c>
      <c r="H311" s="18">
        <f>3027.61+307.75</f>
        <v>3335.36</v>
      </c>
      <c r="I311" s="18">
        <v>1045.02</v>
      </c>
      <c r="J311" s="18"/>
      <c r="K311" s="18"/>
      <c r="L311" s="19">
        <f t="shared" ref="L311:L317" si="16">SUM(F311:K311)</f>
        <v>35715.579999999994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2448.71</v>
      </c>
      <c r="G312" s="18">
        <v>299.88</v>
      </c>
      <c r="H312" s="18">
        <f>3450.69+806.4</f>
        <v>4257.09</v>
      </c>
      <c r="I312" s="18">
        <v>800.03</v>
      </c>
      <c r="J312" s="18"/>
      <c r="K312" s="18"/>
      <c r="L312" s="19">
        <f t="shared" si="16"/>
        <v>7805.71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28604.93</v>
      </c>
      <c r="G313" s="18">
        <v>3594.08</v>
      </c>
      <c r="H313" s="18"/>
      <c r="I313" s="18"/>
      <c r="J313" s="18"/>
      <c r="K313" s="18">
        <v>274.01</v>
      </c>
      <c r="L313" s="19">
        <f t="shared" si="16"/>
        <v>32473.02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>
        <v>17757.669999999998</v>
      </c>
      <c r="K317" s="18"/>
      <c r="L317" s="19">
        <f t="shared" si="16"/>
        <v>17757.669999999998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v>3236.26</v>
      </c>
      <c r="I318" s="18"/>
      <c r="J318" s="18">
        <v>12804.71</v>
      </c>
      <c r="K318" s="18"/>
      <c r="L318" s="19">
        <f>SUM(F318:K318)</f>
        <v>16040.97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116319.56</v>
      </c>
      <c r="G320" s="42">
        <f t="shared" si="17"/>
        <v>15453.289999999999</v>
      </c>
      <c r="H320" s="42">
        <f t="shared" si="17"/>
        <v>62908.310000000005</v>
      </c>
      <c r="I320" s="42">
        <f t="shared" si="17"/>
        <v>11104.79</v>
      </c>
      <c r="J320" s="42">
        <f t="shared" si="17"/>
        <v>88940.22</v>
      </c>
      <c r="K320" s="42">
        <f t="shared" si="17"/>
        <v>274.01</v>
      </c>
      <c r="L320" s="41">
        <f t="shared" si="17"/>
        <v>295000.17999999993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114396.72</v>
      </c>
      <c r="G325" s="18">
        <v>26495.5</v>
      </c>
      <c r="H325" s="18">
        <f>14144.15+27867.38+3069.69</f>
        <v>45081.22</v>
      </c>
      <c r="I325" s="18"/>
      <c r="J325" s="18"/>
      <c r="K325" s="18">
        <v>2466.6</v>
      </c>
      <c r="L325" s="19">
        <f t="shared" si="18"/>
        <v>188440.04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114396.72</v>
      </c>
      <c r="G329" s="41">
        <f t="shared" si="19"/>
        <v>26495.5</v>
      </c>
      <c r="H329" s="41">
        <f t="shared" si="19"/>
        <v>45081.22</v>
      </c>
      <c r="I329" s="41">
        <f t="shared" si="19"/>
        <v>0</v>
      </c>
      <c r="J329" s="41">
        <f t="shared" si="19"/>
        <v>0</v>
      </c>
      <c r="K329" s="41">
        <f t="shared" si="19"/>
        <v>2466.6</v>
      </c>
      <c r="L329" s="41">
        <f t="shared" si="18"/>
        <v>188440.04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858867.06</v>
      </c>
      <c r="G330" s="41">
        <f t="shared" si="20"/>
        <v>175626.2</v>
      </c>
      <c r="H330" s="41">
        <f t="shared" si="20"/>
        <v>292111.26</v>
      </c>
      <c r="I330" s="41">
        <f t="shared" si="20"/>
        <v>148134.97</v>
      </c>
      <c r="J330" s="41">
        <f t="shared" si="20"/>
        <v>322059.27</v>
      </c>
      <c r="K330" s="41">
        <f t="shared" si="20"/>
        <v>4596.5399999999991</v>
      </c>
      <c r="L330" s="41">
        <f t="shared" si="20"/>
        <v>1801395.2999999998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28767.12+33455.59</f>
        <v>62222.709999999992</v>
      </c>
      <c r="L336" s="19">
        <f t="shared" ref="L336:L342" si="21">SUM(F336:K336)</f>
        <v>62222.709999999992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62222.709999999992</v>
      </c>
      <c r="L343" s="41">
        <f>SUM(L333:L342)</f>
        <v>62222.709999999992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858867.06</v>
      </c>
      <c r="G344" s="41">
        <f>G330</f>
        <v>175626.2</v>
      </c>
      <c r="H344" s="41">
        <f>H330</f>
        <v>292111.26</v>
      </c>
      <c r="I344" s="41">
        <f>I330</f>
        <v>148134.97</v>
      </c>
      <c r="J344" s="41">
        <f>J330</f>
        <v>322059.27</v>
      </c>
      <c r="K344" s="47">
        <f>K330+K343</f>
        <v>66819.249999999985</v>
      </c>
      <c r="L344" s="41">
        <f>L330+L343</f>
        <v>1863618.0099999998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138579.65</v>
      </c>
      <c r="G350" s="18">
        <v>33811.5</v>
      </c>
      <c r="H350" s="18">
        <f>792.03+9411.68+72.17</f>
        <v>10275.880000000001</v>
      </c>
      <c r="I350" s="18">
        <v>191211.55</v>
      </c>
      <c r="J350" s="18">
        <v>5320</v>
      </c>
      <c r="K350" s="18">
        <v>69.16</v>
      </c>
      <c r="L350" s="13">
        <f>SUM(F350:K350)</f>
        <v>379267.73999999993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66719.350000000006</v>
      </c>
      <c r="G352" s="18">
        <v>13251.13</v>
      </c>
      <c r="H352" s="18">
        <f>378.97+4789.51+34.53</f>
        <v>5203.01</v>
      </c>
      <c r="I352" s="18">
        <v>86143.25</v>
      </c>
      <c r="J352" s="18"/>
      <c r="K352" s="18">
        <v>33.090000000000003</v>
      </c>
      <c r="L352" s="19">
        <f>SUM(F352:K352)</f>
        <v>171349.83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205299</v>
      </c>
      <c r="G354" s="47">
        <f t="shared" si="22"/>
        <v>47062.63</v>
      </c>
      <c r="H354" s="47">
        <f t="shared" si="22"/>
        <v>15478.890000000001</v>
      </c>
      <c r="I354" s="47">
        <f t="shared" si="22"/>
        <v>277354.8</v>
      </c>
      <c r="J354" s="47">
        <f t="shared" si="22"/>
        <v>5320</v>
      </c>
      <c r="K354" s="47">
        <f t="shared" si="22"/>
        <v>102.25</v>
      </c>
      <c r="L354" s="47">
        <f t="shared" si="22"/>
        <v>550617.56999999995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146439.7+22926.63</f>
        <v>169366.33000000002</v>
      </c>
      <c r="G359" s="18"/>
      <c r="H359" s="18">
        <f>68384.19+8994.02</f>
        <v>77378.210000000006</v>
      </c>
      <c r="I359" s="56">
        <f>SUM(F359:H359)</f>
        <v>246744.54000000004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321.16+20653.57+870.49</f>
        <v>21845.22</v>
      </c>
      <c r="G360" s="63"/>
      <c r="H360" s="63">
        <f>153.66+8194.87+416.51</f>
        <v>8765.0400000000009</v>
      </c>
      <c r="I360" s="56">
        <f>SUM(F360:H360)</f>
        <v>30610.260000000002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191211.55000000002</v>
      </c>
      <c r="G361" s="47">
        <f>SUM(G359:G360)</f>
        <v>0</v>
      </c>
      <c r="H361" s="47">
        <f>SUM(H359:H360)</f>
        <v>86143.25</v>
      </c>
      <c r="I361" s="47">
        <f>SUM(I359:I360)</f>
        <v>277354.80000000005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102807.43</v>
      </c>
      <c r="L373" s="13">
        <f t="shared" si="23"/>
        <v>102807.43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102807.43</v>
      </c>
      <c r="L374" s="47">
        <f t="shared" si="24"/>
        <v>102807.43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100000</v>
      </c>
      <c r="H381" s="18">
        <f>2664.54+2817.24+9870.36</f>
        <v>15352.14</v>
      </c>
      <c r="I381" s="18"/>
      <c r="J381" s="24" t="s">
        <v>312</v>
      </c>
      <c r="K381" s="24" t="s">
        <v>312</v>
      </c>
      <c r="L381" s="56">
        <f t="shared" si="25"/>
        <v>115352.14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97.7</v>
      </c>
      <c r="I382" s="18"/>
      <c r="J382" s="24" t="s">
        <v>312</v>
      </c>
      <c r="K382" s="24" t="s">
        <v>312</v>
      </c>
      <c r="L382" s="56">
        <f t="shared" si="25"/>
        <v>97.7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2434.33</v>
      </c>
      <c r="I383" s="18"/>
      <c r="J383" s="24" t="s">
        <v>312</v>
      </c>
      <c r="K383" s="24" t="s">
        <v>312</v>
      </c>
      <c r="L383" s="56">
        <f t="shared" si="25"/>
        <v>2434.33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17884.169999999998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117884.17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445.76</v>
      </c>
      <c r="I387" s="18"/>
      <c r="J387" s="24" t="s">
        <v>312</v>
      </c>
      <c r="K387" s="24" t="s">
        <v>312</v>
      </c>
      <c r="L387" s="56">
        <f t="shared" ref="L387:L392" si="26">SUM(F387:K387)</f>
        <v>445.76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1091.22</v>
      </c>
      <c r="I388" s="18"/>
      <c r="J388" s="24" t="s">
        <v>312</v>
      </c>
      <c r="K388" s="24" t="s">
        <v>312</v>
      </c>
      <c r="L388" s="56">
        <f t="shared" si="26"/>
        <v>1091.22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50000</v>
      </c>
      <c r="H391" s="18">
        <v>1259.58</v>
      </c>
      <c r="I391" s="18"/>
      <c r="J391" s="24" t="s">
        <v>312</v>
      </c>
      <c r="K391" s="24" t="s">
        <v>312</v>
      </c>
      <c r="L391" s="56">
        <f t="shared" si="26"/>
        <v>51259.58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292.07</v>
      </c>
      <c r="I392" s="18"/>
      <c r="J392" s="24" t="s">
        <v>312</v>
      </c>
      <c r="K392" s="24" t="s">
        <v>312</v>
      </c>
      <c r="L392" s="56">
        <f t="shared" si="26"/>
        <v>292.07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3088.63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53088.630000000005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150000</v>
      </c>
      <c r="H400" s="47">
        <f>H385+H393+H399</f>
        <v>20972.799999999999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170972.79999999999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100000</v>
      </c>
      <c r="G433" s="18">
        <v>50000</v>
      </c>
      <c r="H433" s="18"/>
      <c r="I433" s="56">
        <f t="shared" si="33"/>
        <v>150000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19321.87+72183.22+161046.02+152053.83+6464.54+221141.91+652977.15</f>
        <v>1285188.54</v>
      </c>
      <c r="G434" s="18">
        <f>53126.76+128200.08</f>
        <v>181326.84</v>
      </c>
      <c r="H434" s="18"/>
      <c r="I434" s="56">
        <f t="shared" si="33"/>
        <v>1466515.3800000001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1385188.54</v>
      </c>
      <c r="G438" s="13">
        <f>SUM(G431:G437)</f>
        <v>231326.84</v>
      </c>
      <c r="H438" s="13">
        <f>SUM(H431:H437)</f>
        <v>0</v>
      </c>
      <c r="I438" s="13">
        <f>SUM(I431:I437)</f>
        <v>1616515.3800000001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75930.5</v>
      </c>
      <c r="H440" s="18"/>
      <c r="I440" s="56">
        <f>SUM(F440:H440)</f>
        <v>75930.5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75930.5</v>
      </c>
      <c r="H444" s="72">
        <f>SUM(H440:H443)</f>
        <v>0</v>
      </c>
      <c r="I444" s="72">
        <f>SUM(I440:I443)</f>
        <v>75930.5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1540584.88-G449</f>
        <v>1385188.5399999998</v>
      </c>
      <c r="G449" s="18">
        <f>102269.58+53126.76</f>
        <v>155396.34</v>
      </c>
      <c r="H449" s="18"/>
      <c r="I449" s="56">
        <f>SUM(F449:H449)</f>
        <v>1540584.88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1385188.5399999998</v>
      </c>
      <c r="G450" s="83">
        <f>SUM(G446:G449)</f>
        <v>155396.34</v>
      </c>
      <c r="H450" s="83">
        <f>SUM(H446:H449)</f>
        <v>0</v>
      </c>
      <c r="I450" s="83">
        <f>SUM(I446:I449)</f>
        <v>1540584.88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1385188.5399999998</v>
      </c>
      <c r="G451" s="42">
        <f>G444+G450</f>
        <v>231326.84</v>
      </c>
      <c r="H451" s="42">
        <f>H444+H450</f>
        <v>0</v>
      </c>
      <c r="I451" s="42">
        <f>I444+I450</f>
        <v>1616515.38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236197.34</v>
      </c>
      <c r="G455" s="18">
        <v>363.17</v>
      </c>
      <c r="H455" s="18">
        <v>0</v>
      </c>
      <c r="I455" s="18">
        <v>102536.33</v>
      </c>
      <c r="J455" s="18">
        <v>1369612.08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15289592.050000001</v>
      </c>
      <c r="G458" s="18">
        <f>517851.47+32486.07</f>
        <v>550337.53999999992</v>
      </c>
      <c r="H458" s="18">
        <f>1358145.64+505472.37</f>
        <v>1863618.0099999998</v>
      </c>
      <c r="I458" s="18">
        <v>271.10000000000002</v>
      </c>
      <c r="J458" s="18">
        <v>170972.79999999999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15289592.050000001</v>
      </c>
      <c r="G460" s="53">
        <f>SUM(G458:G459)</f>
        <v>550337.53999999992</v>
      </c>
      <c r="H460" s="53">
        <f>SUM(H458:H459)</f>
        <v>1863618.0099999998</v>
      </c>
      <c r="I460" s="53">
        <f>SUM(I458:I459)</f>
        <v>271.10000000000002</v>
      </c>
      <c r="J460" s="53">
        <f>SUM(J458:J459)</f>
        <v>170972.79999999999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14934401.439999999</v>
      </c>
      <c r="G462" s="18">
        <f>32486.07+518131.5</f>
        <v>550617.56999999995</v>
      </c>
      <c r="H462" s="18">
        <f>1358145.64+505472.37</f>
        <v>1863618.0099999998</v>
      </c>
      <c r="I462" s="18">
        <f>19973.44-145471.77+228305.76</f>
        <v>102807.43000000002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21995.78</v>
      </c>
      <c r="G463" s="18">
        <v>1.35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14956397.219999999</v>
      </c>
      <c r="G464" s="53">
        <f>SUM(G462:G463)</f>
        <v>550618.91999999993</v>
      </c>
      <c r="H464" s="53">
        <f>SUM(H462:H463)</f>
        <v>1863618.0099999998</v>
      </c>
      <c r="I464" s="53">
        <f>SUM(I462:I463)</f>
        <v>102807.43000000002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569392.17000000179</v>
      </c>
      <c r="G466" s="53">
        <f>(G455+G460)- G464</f>
        <v>81.790000000037253</v>
      </c>
      <c r="H466" s="53">
        <f>(H455+H460)- H464</f>
        <v>0</v>
      </c>
      <c r="I466" s="53">
        <f>(I455+I460)- I464</f>
        <v>0</v>
      </c>
      <c r="J466" s="53">
        <f>(J455+J460)- J464</f>
        <v>1540584.8800000001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8" t="s">
        <v>898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897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7650000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>
        <v>4.375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3060000-765000</f>
        <v>2295000</v>
      </c>
      <c r="G485" s="18"/>
      <c r="H485" s="18"/>
      <c r="I485" s="18"/>
      <c r="J485" s="18"/>
      <c r="K485" s="53">
        <f>SUM(F485:J485)</f>
        <v>2295000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765000</v>
      </c>
      <c r="G487" s="18"/>
      <c r="H487" s="18"/>
      <c r="I487" s="18"/>
      <c r="J487" s="18"/>
      <c r="K487" s="53">
        <f t="shared" si="34"/>
        <v>765000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1530000</v>
      </c>
      <c r="G488" s="205"/>
      <c r="H488" s="205"/>
      <c r="I488" s="205"/>
      <c r="J488" s="205"/>
      <c r="K488" s="206">
        <f t="shared" si="34"/>
        <v>1530000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34425+17212.5+17212.5</f>
        <v>68850</v>
      </c>
      <c r="G489" s="18"/>
      <c r="H489" s="18"/>
      <c r="I489" s="18"/>
      <c r="J489" s="18"/>
      <c r="K489" s="53">
        <f t="shared" si="34"/>
        <v>68850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1598850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1598850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765000</v>
      </c>
      <c r="G491" s="205"/>
      <c r="H491" s="205"/>
      <c r="I491" s="205"/>
      <c r="J491" s="205"/>
      <c r="K491" s="206">
        <f t="shared" si="34"/>
        <v>765000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34425+17212.5</f>
        <v>51637.5</v>
      </c>
      <c r="G492" s="18"/>
      <c r="H492" s="18"/>
      <c r="I492" s="18"/>
      <c r="J492" s="18"/>
      <c r="K492" s="53">
        <f t="shared" si="34"/>
        <v>51637.5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816637.5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816637.5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1554452.89+115.46</f>
        <v>1554568.3499999999</v>
      </c>
      <c r="G511" s="18">
        <f>299185.56+18.09</f>
        <v>299203.65000000002</v>
      </c>
      <c r="H511" s="18">
        <f>99521.39+2359.66+610717.67</f>
        <v>712598.72000000009</v>
      </c>
      <c r="I511" s="18">
        <v>6760.36</v>
      </c>
      <c r="J511" s="18">
        <v>96708.37</v>
      </c>
      <c r="K511" s="18">
        <v>5289.52</v>
      </c>
      <c r="L511" s="88">
        <f>SUM(F511:K511)</f>
        <v>2675128.9700000002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565350.02+55.24</f>
        <v>565405.26</v>
      </c>
      <c r="G513" s="18">
        <f>130250.85+8.66</f>
        <v>130259.51000000001</v>
      </c>
      <c r="H513" s="18">
        <f>105362.04+145.6+364437.86</f>
        <v>469945.5</v>
      </c>
      <c r="I513" s="18">
        <v>9482.1299999999992</v>
      </c>
      <c r="J513" s="18">
        <v>50287.35</v>
      </c>
      <c r="K513" s="18">
        <v>2530.88</v>
      </c>
      <c r="L513" s="88">
        <f>SUM(F513:K513)</f>
        <v>1227910.6299999999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2119973.61</v>
      </c>
      <c r="G514" s="108">
        <f t="shared" ref="G514:L514" si="35">SUM(G511:G513)</f>
        <v>429463.16000000003</v>
      </c>
      <c r="H514" s="108">
        <f t="shared" si="35"/>
        <v>1182544.2200000002</v>
      </c>
      <c r="I514" s="108">
        <f t="shared" si="35"/>
        <v>16242.489999999998</v>
      </c>
      <c r="J514" s="108">
        <f t="shared" si="35"/>
        <v>146995.72</v>
      </c>
      <c r="K514" s="108">
        <f t="shared" si="35"/>
        <v>7820.4000000000005</v>
      </c>
      <c r="L514" s="89">
        <f t="shared" si="35"/>
        <v>3903039.6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263187.03999999998</v>
      </c>
      <c r="G516" s="18">
        <v>75357.119999999995</v>
      </c>
      <c r="H516" s="18">
        <f>72357.97+134.96+235.32</f>
        <v>72728.250000000015</v>
      </c>
      <c r="I516" s="18">
        <v>3889.62</v>
      </c>
      <c r="J516" s="18">
        <v>750.99</v>
      </c>
      <c r="K516" s="18">
        <v>747.39</v>
      </c>
      <c r="L516" s="88">
        <f>SUM(F516:K516)</f>
        <v>416660.41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125927.48</v>
      </c>
      <c r="G518" s="18">
        <v>36056.230000000003</v>
      </c>
      <c r="H518" s="18">
        <f>34621.22+64.57+112.59</f>
        <v>34798.379999999997</v>
      </c>
      <c r="I518" s="18">
        <v>1861.07</v>
      </c>
      <c r="J518" s="18">
        <v>359.33</v>
      </c>
      <c r="K518" s="18">
        <v>357.61</v>
      </c>
      <c r="L518" s="88">
        <f>SUM(F518:K518)</f>
        <v>199360.09999999998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389114.51999999996</v>
      </c>
      <c r="G519" s="89">
        <f t="shared" ref="G519:L519" si="36">SUM(G516:G518)</f>
        <v>111413.35</v>
      </c>
      <c r="H519" s="89">
        <f t="shared" si="36"/>
        <v>107526.63</v>
      </c>
      <c r="I519" s="89">
        <f t="shared" si="36"/>
        <v>5750.69</v>
      </c>
      <c r="J519" s="89">
        <f t="shared" si="36"/>
        <v>1110.32</v>
      </c>
      <c r="K519" s="89">
        <f t="shared" si="36"/>
        <v>1105</v>
      </c>
      <c r="L519" s="89">
        <f t="shared" si="36"/>
        <v>616020.51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90852.800000000003</v>
      </c>
      <c r="G521" s="18">
        <v>30601.98</v>
      </c>
      <c r="H521" s="18">
        <v>16132.79</v>
      </c>
      <c r="I521" s="18">
        <v>291.75</v>
      </c>
      <c r="J521" s="18"/>
      <c r="K521" s="18">
        <v>14644.26</v>
      </c>
      <c r="L521" s="88">
        <f>SUM(F521:K521)</f>
        <v>152523.58000000002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58388.76</v>
      </c>
      <c r="G523" s="18">
        <v>16516.59</v>
      </c>
      <c r="H523" s="18">
        <v>1259.72</v>
      </c>
      <c r="I523" s="18">
        <v>139.6</v>
      </c>
      <c r="J523" s="18"/>
      <c r="K523" s="18">
        <f>217.77+6470.82</f>
        <v>6688.59</v>
      </c>
      <c r="L523" s="88">
        <f>SUM(F523:K523)</f>
        <v>82993.260000000009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149241.56</v>
      </c>
      <c r="G524" s="89">
        <f t="shared" ref="G524:L524" si="37">SUM(G521:G523)</f>
        <v>47118.57</v>
      </c>
      <c r="H524" s="89">
        <f t="shared" si="37"/>
        <v>17392.510000000002</v>
      </c>
      <c r="I524" s="89">
        <f t="shared" si="37"/>
        <v>431.35</v>
      </c>
      <c r="J524" s="89">
        <f t="shared" si="37"/>
        <v>0</v>
      </c>
      <c r="K524" s="89">
        <f t="shared" si="37"/>
        <v>21332.85</v>
      </c>
      <c r="L524" s="89">
        <f t="shared" si="37"/>
        <v>235516.84000000003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207.5</v>
      </c>
      <c r="I526" s="18"/>
      <c r="J526" s="18"/>
      <c r="K526" s="18"/>
      <c r="L526" s="88">
        <f>SUM(F526:K526)</f>
        <v>207.5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99.29</v>
      </c>
      <c r="I528" s="18"/>
      <c r="J528" s="18"/>
      <c r="K528" s="18"/>
      <c r="L528" s="88">
        <f>SUM(F528:K528)</f>
        <v>99.29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306.79000000000002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306.79000000000002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45509.58</v>
      </c>
      <c r="G531" s="18">
        <v>12352.15</v>
      </c>
      <c r="H531" s="18">
        <f>9310.57+29689.44+6119.55</f>
        <v>45119.56</v>
      </c>
      <c r="I531" s="18">
        <v>3247.33</v>
      </c>
      <c r="J531" s="18">
        <v>37113.33</v>
      </c>
      <c r="K531" s="18"/>
      <c r="L531" s="88">
        <f>SUM(F531:K531)</f>
        <v>143341.95000000001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21775.040000000001</v>
      </c>
      <c r="G533" s="18">
        <v>5910.15</v>
      </c>
      <c r="H533" s="18">
        <f>4454.84+14205.55+15737.56</f>
        <v>34397.949999999997</v>
      </c>
      <c r="I533" s="18">
        <v>1553.76</v>
      </c>
      <c r="J533" s="18">
        <v>17757.669999999998</v>
      </c>
      <c r="K533" s="18"/>
      <c r="L533" s="88">
        <f>SUM(F533:K533)</f>
        <v>81394.570000000007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67284.62</v>
      </c>
      <c r="G534" s="194">
        <f t="shared" ref="G534:L534" si="39">SUM(G531:G533)</f>
        <v>18262.3</v>
      </c>
      <c r="H534" s="194">
        <f t="shared" si="39"/>
        <v>79517.509999999995</v>
      </c>
      <c r="I534" s="194">
        <f t="shared" si="39"/>
        <v>4801.09</v>
      </c>
      <c r="J534" s="194">
        <f t="shared" si="39"/>
        <v>54871</v>
      </c>
      <c r="K534" s="194">
        <f t="shared" si="39"/>
        <v>0</v>
      </c>
      <c r="L534" s="194">
        <f t="shared" si="39"/>
        <v>224736.52000000002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2725614.31</v>
      </c>
      <c r="G535" s="89">
        <f t="shared" ref="G535:L535" si="40">G514+G519+G524+G529+G534</f>
        <v>606257.38</v>
      </c>
      <c r="H535" s="89">
        <f t="shared" si="40"/>
        <v>1387287.6600000001</v>
      </c>
      <c r="I535" s="89">
        <f t="shared" si="40"/>
        <v>27225.619999999995</v>
      </c>
      <c r="J535" s="89">
        <f t="shared" si="40"/>
        <v>202977.04</v>
      </c>
      <c r="K535" s="89">
        <f t="shared" si="40"/>
        <v>30258.25</v>
      </c>
      <c r="L535" s="89">
        <f t="shared" si="40"/>
        <v>4979620.26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2675128.9700000002</v>
      </c>
      <c r="G539" s="87">
        <f>L516</f>
        <v>416660.41</v>
      </c>
      <c r="H539" s="87">
        <f>L521</f>
        <v>152523.58000000002</v>
      </c>
      <c r="I539" s="87">
        <f>L526</f>
        <v>207.5</v>
      </c>
      <c r="J539" s="87">
        <f>L531</f>
        <v>143341.95000000001</v>
      </c>
      <c r="K539" s="87">
        <f>SUM(F539:J539)</f>
        <v>3387862.4100000006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1227910.6299999999</v>
      </c>
      <c r="G541" s="87">
        <f>L518</f>
        <v>199360.09999999998</v>
      </c>
      <c r="H541" s="87">
        <f>L523</f>
        <v>82993.260000000009</v>
      </c>
      <c r="I541" s="87">
        <f>L528</f>
        <v>99.29</v>
      </c>
      <c r="J541" s="87">
        <f>L533</f>
        <v>81394.570000000007</v>
      </c>
      <c r="K541" s="87">
        <f>SUM(F541:J541)</f>
        <v>1591757.85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3903039.6</v>
      </c>
      <c r="G542" s="89">
        <f t="shared" si="41"/>
        <v>616020.51</v>
      </c>
      <c r="H542" s="89">
        <f t="shared" si="41"/>
        <v>235516.84000000003</v>
      </c>
      <c r="I542" s="89">
        <f t="shared" si="41"/>
        <v>306.79000000000002</v>
      </c>
      <c r="J542" s="89">
        <f t="shared" si="41"/>
        <v>224736.52000000002</v>
      </c>
      <c r="K542" s="89">
        <f t="shared" si="41"/>
        <v>4979620.2600000007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>
        <v>992.69</v>
      </c>
      <c r="J547" s="18"/>
      <c r="K547" s="18"/>
      <c r="L547" s="88">
        <f>SUM(F547:K547)</f>
        <v>992.69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928</v>
      </c>
      <c r="G549" s="18">
        <v>158.25</v>
      </c>
      <c r="H549" s="18">
        <v>285</v>
      </c>
      <c r="I549" s="18">
        <v>474.98</v>
      </c>
      <c r="J549" s="18"/>
      <c r="K549" s="18"/>
      <c r="L549" s="88">
        <f>SUM(F549:K549)</f>
        <v>1846.23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928</v>
      </c>
      <c r="G550" s="108">
        <f t="shared" si="42"/>
        <v>158.25</v>
      </c>
      <c r="H550" s="108">
        <f t="shared" si="42"/>
        <v>285</v>
      </c>
      <c r="I550" s="108">
        <f t="shared" si="42"/>
        <v>1467.67</v>
      </c>
      <c r="J550" s="108">
        <f t="shared" si="42"/>
        <v>0</v>
      </c>
      <c r="K550" s="108">
        <f t="shared" si="42"/>
        <v>0</v>
      </c>
      <c r="L550" s="89">
        <f t="shared" si="42"/>
        <v>2838.92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53680</v>
      </c>
      <c r="G554" s="18">
        <v>14304.42</v>
      </c>
      <c r="H554" s="18"/>
      <c r="I554" s="18"/>
      <c r="J554" s="18"/>
      <c r="K554" s="18"/>
      <c r="L554" s="88">
        <f>SUM(F554:K554)</f>
        <v>67984.42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53680</v>
      </c>
      <c r="G555" s="89">
        <f t="shared" si="43"/>
        <v>14304.42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67984.42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54608</v>
      </c>
      <c r="G561" s="89">
        <f t="shared" ref="G561:L561" si="45">G550+G555+G560</f>
        <v>14462.67</v>
      </c>
      <c r="H561" s="89">
        <f t="shared" si="45"/>
        <v>285</v>
      </c>
      <c r="I561" s="89">
        <f t="shared" si="45"/>
        <v>1467.67</v>
      </c>
      <c r="J561" s="89">
        <f t="shared" si="45"/>
        <v>0</v>
      </c>
      <c r="K561" s="89">
        <f t="shared" si="45"/>
        <v>0</v>
      </c>
      <c r="L561" s="89">
        <f t="shared" si="45"/>
        <v>70823.34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9750.6+90</f>
        <v>9840.6</v>
      </c>
      <c r="I565" s="87">
        <f>SUM(F565:H565)</f>
        <v>9840.6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10645.17</v>
      </c>
      <c r="G569" s="18"/>
      <c r="H569" s="18">
        <v>35796.21</v>
      </c>
      <c r="I569" s="87">
        <f t="shared" si="46"/>
        <v>46441.38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3728.48+183170.3+226359.22+195604.59-F573</f>
        <v>608862.59</v>
      </c>
      <c r="G572" s="18"/>
      <c r="H572" s="18">
        <f>361733.06-H573+1783.97+22911</f>
        <v>386428.02999999997</v>
      </c>
      <c r="I572" s="87">
        <f t="shared" si="46"/>
        <v>995290.61999999988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23251.78</v>
      </c>
      <c r="I574" s="87">
        <f t="shared" si="46"/>
        <v>23251.78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168675.56+20752.9</f>
        <v>189428.46</v>
      </c>
      <c r="I581" s="18"/>
      <c r="J581" s="18">
        <f>80706.44+8069.77</f>
        <v>88776.21</v>
      </c>
      <c r="K581" s="104">
        <f t="shared" ref="K581:K587" si="47">SUM(H581:J581)</f>
        <v>278204.67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127911.84+15737.56-37113.32</f>
        <v>106536.07999999999</v>
      </c>
      <c r="I582" s="18"/>
      <c r="J582" s="18">
        <f>61202.16+6119.55-17757.67</f>
        <v>49564.040000000008</v>
      </c>
      <c r="K582" s="104">
        <f t="shared" si="47"/>
        <v>156100.12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32706.77+3270.31</f>
        <v>35977.08</v>
      </c>
      <c r="K583" s="104">
        <f t="shared" si="47"/>
        <v>35977.08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3787.09</v>
      </c>
      <c r="I584" s="18"/>
      <c r="J584" s="18">
        <v>13634.86</v>
      </c>
      <c r="K584" s="104">
        <f t="shared" si="47"/>
        <v>17421.95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3878.72</v>
      </c>
      <c r="I585" s="18"/>
      <c r="J585" s="18">
        <v>936.35</v>
      </c>
      <c r="K585" s="104">
        <f t="shared" si="47"/>
        <v>4815.07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14625.53</v>
      </c>
      <c r="K587" s="104">
        <f t="shared" si="47"/>
        <v>14625.53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303630.34999999998</v>
      </c>
      <c r="I588" s="108">
        <f>SUM(I581:I587)</f>
        <v>0</v>
      </c>
      <c r="J588" s="108">
        <f>SUM(J581:J587)</f>
        <v>203514.07</v>
      </c>
      <c r="K588" s="108">
        <f>SUM(K581:K587)</f>
        <v>507144.42000000004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279651.86-5320</f>
        <v>274331.86</v>
      </c>
      <c r="I594" s="18"/>
      <c r="J594" s="18">
        <v>105924.83</v>
      </c>
      <c r="K594" s="104">
        <f>SUM(H594:J594)</f>
        <v>380256.69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274331.86</v>
      </c>
      <c r="I595" s="108">
        <f>SUM(I592:I594)</f>
        <v>0</v>
      </c>
      <c r="J595" s="108">
        <f>SUM(J592:J594)</f>
        <v>105924.83</v>
      </c>
      <c r="K595" s="108">
        <f>SUM(K592:K594)</f>
        <v>380256.69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2640</v>
      </c>
      <c r="G603" s="18">
        <v>399.7</v>
      </c>
      <c r="H603" s="18"/>
      <c r="I603" s="18"/>
      <c r="J603" s="18"/>
      <c r="K603" s="18"/>
      <c r="L603" s="88">
        <f>SUM(F603:K603)</f>
        <v>3039.7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2640</v>
      </c>
      <c r="G604" s="108">
        <f t="shared" si="48"/>
        <v>399.7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3039.7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1311709.3999999999</v>
      </c>
      <c r="H607" s="109">
        <f>SUM(F44)</f>
        <v>1311709.3999999999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25008.75</v>
      </c>
      <c r="H608" s="109">
        <f>SUM(G44)</f>
        <v>25008.75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253375.95</v>
      </c>
      <c r="H609" s="109">
        <f>SUM(H44)</f>
        <v>253375.94999999998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1616515.3800000001</v>
      </c>
      <c r="H611" s="109">
        <f>SUM(J44)</f>
        <v>1616515.38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569392.16999999993</v>
      </c>
      <c r="H612" s="109">
        <f>F466</f>
        <v>569392.17000000179</v>
      </c>
      <c r="I612" s="121" t="s">
        <v>106</v>
      </c>
      <c r="J612" s="109">
        <f t="shared" ref="J612:J645" si="49">G612-H612</f>
        <v>-1.862645149230957E-9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81.79000000000002</v>
      </c>
      <c r="H613" s="109">
        <f>G466</f>
        <v>81.790000000037253</v>
      </c>
      <c r="I613" s="121" t="s">
        <v>108</v>
      </c>
      <c r="J613" s="109">
        <f t="shared" si="49"/>
        <v>-3.723243935382925E-11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1540584.88</v>
      </c>
      <c r="H616" s="109">
        <f>J466</f>
        <v>1540584.8800000001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15289592.049999999</v>
      </c>
      <c r="H617" s="104">
        <f>SUM(F458)</f>
        <v>15289592.050000001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550337.54</v>
      </c>
      <c r="H618" s="104">
        <f>SUM(G458)</f>
        <v>550337.53999999992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1863618.0099999998</v>
      </c>
      <c r="H619" s="104">
        <f>SUM(H458)</f>
        <v>1863618.0099999998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271.10000000000002</v>
      </c>
      <c r="H620" s="104">
        <f>SUM(I458)</f>
        <v>271.10000000000002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170972.79999999999</v>
      </c>
      <c r="H621" s="104">
        <f>SUM(J458)</f>
        <v>170972.79999999999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14934401.440000003</v>
      </c>
      <c r="H622" s="104">
        <f>SUM(F462)</f>
        <v>14934401.439999999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1863618.0099999998</v>
      </c>
      <c r="H623" s="104">
        <f>SUM(H462)</f>
        <v>1863618.0099999998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277354.8</v>
      </c>
      <c r="H624" s="104">
        <f>I361</f>
        <v>277354.80000000005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550617.56999999995</v>
      </c>
      <c r="H625" s="104">
        <f>SUM(G462)</f>
        <v>550617.56999999995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102807.43</v>
      </c>
      <c r="H626" s="104">
        <f>SUM(I462)</f>
        <v>102807.43000000002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170972.79999999999</v>
      </c>
      <c r="H627" s="164">
        <f>SUM(J458)</f>
        <v>170972.79999999999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1385188.54</v>
      </c>
      <c r="H629" s="104">
        <f>SUM(F451)</f>
        <v>1385188.5399999998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231326.84</v>
      </c>
      <c r="H630" s="104">
        <f>SUM(G451)</f>
        <v>231326.84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1616515.3800000001</v>
      </c>
      <c r="H632" s="104">
        <f>SUM(I451)</f>
        <v>1616515.38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20972.799999999999</v>
      </c>
      <c r="H634" s="104">
        <f>H400</f>
        <v>20972.799999999999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150000</v>
      </c>
      <c r="H635" s="104">
        <f>G400</f>
        <v>150000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170972.79999999999</v>
      </c>
      <c r="H636" s="104">
        <f>L400</f>
        <v>170972.79999999999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507144.42000000004</v>
      </c>
      <c r="H637" s="104">
        <f>L200+L218+L236</f>
        <v>507144.42000000004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380256.69</v>
      </c>
      <c r="H638" s="104">
        <f>(J249+J330)-(J247+J328)</f>
        <v>380256.69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303630.35000000003</v>
      </c>
      <c r="H639" s="104">
        <f>H588</f>
        <v>303630.34999999998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203514.07</v>
      </c>
      <c r="H641" s="104">
        <f>J588</f>
        <v>203514.07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13228.93</v>
      </c>
      <c r="H642" s="104">
        <f>K255+K337</f>
        <v>13228.93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150000</v>
      </c>
      <c r="H645" s="104">
        <f>K258+K339</f>
        <v>150000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10972278.790000001</v>
      </c>
      <c r="G650" s="19">
        <f>(L221+L301+L351)</f>
        <v>0</v>
      </c>
      <c r="H650" s="19">
        <f>(L239+L320+L352)</f>
        <v>5111882.1700000009</v>
      </c>
      <c r="I650" s="19">
        <f>SUM(F650:H650)</f>
        <v>16084160.960000001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146725.44439229462</v>
      </c>
      <c r="G651" s="19">
        <f>(L351/IF(SUM(L350:L352)=0,1,SUM(L350:L352))*(SUM(G89:G102)))</f>
        <v>0</v>
      </c>
      <c r="H651" s="19">
        <f>(L352/IF(SUM(L350:L352)=0,1,SUM(L350:L352))*(SUM(G89:G102)))</f>
        <v>66289.265607705369</v>
      </c>
      <c r="I651" s="19">
        <f>SUM(F651:H651)</f>
        <v>213014.71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300110.57000000007</v>
      </c>
      <c r="G652" s="19">
        <f>(L218+L298)-(J218+J298)</f>
        <v>0</v>
      </c>
      <c r="H652" s="19">
        <f>(L236+L317)-(J236+J317)</f>
        <v>201829.94999999998</v>
      </c>
      <c r="I652" s="19">
        <f>SUM(F652:H652)</f>
        <v>501940.52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893839.62</v>
      </c>
      <c r="G653" s="200">
        <f>SUM(G565:G577)+SUM(I592:I594)+L602</f>
        <v>0</v>
      </c>
      <c r="H653" s="200">
        <f>SUM(H565:H577)+SUM(J592:J594)+L603</f>
        <v>564281.14999999991</v>
      </c>
      <c r="I653" s="19">
        <f>SUM(F653:H653)</f>
        <v>1458120.77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9631603.1556077059</v>
      </c>
      <c r="G654" s="19">
        <f>G650-SUM(G651:G653)</f>
        <v>0</v>
      </c>
      <c r="H654" s="19">
        <f>H650-SUM(H651:H653)</f>
        <v>4279481.8043922959</v>
      </c>
      <c r="I654" s="19">
        <f>I650-SUM(I651:I653)</f>
        <v>13911084.960000001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919.95</v>
      </c>
      <c r="G655" s="249"/>
      <c r="H655" s="249">
        <v>432.64</v>
      </c>
      <c r="I655" s="19">
        <f>SUM(F655:H655)</f>
        <v>1352.5900000000001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10469.700000000001</v>
      </c>
      <c r="G657" s="19" t="e">
        <f>ROUND(G654/G655,2)</f>
        <v>#DIV/0!</v>
      </c>
      <c r="H657" s="19">
        <f>ROUND(H654/H655,2)</f>
        <v>9891.5499999999993</v>
      </c>
      <c r="I657" s="19">
        <f>ROUND(I654/I655,2)</f>
        <v>10284.780000000001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-11.2</v>
      </c>
      <c r="I660" s="19">
        <f>SUM(F660:H660)</f>
        <v>-11.2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10469.700000000001</v>
      </c>
      <c r="G662" s="19" t="e">
        <f>ROUND((G654+G659)/(G655+G660),2)</f>
        <v>#DIV/0!</v>
      </c>
      <c r="H662" s="19">
        <f>ROUND((H654+H659)/(H655+H660),2)</f>
        <v>10154.43</v>
      </c>
      <c r="I662" s="19">
        <f>ROUND((I654+I659)/(I655+I660),2)</f>
        <v>10370.65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2E7D-8F0C-4F2D-9FA4-AE434CBE80AB}">
  <sheetPr>
    <tabColor indexed="20"/>
  </sheetPr>
  <dimension ref="A1:C52"/>
  <sheetViews>
    <sheetView topLeftCell="A13"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FARMINGTON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3522202.92</v>
      </c>
      <c r="C9" s="230">
        <f>'DOE25'!G189+'DOE25'!G207+'DOE25'!G225+'DOE25'!G268+'DOE25'!G287+'DOE25'!G306</f>
        <v>1057487.93</v>
      </c>
    </row>
    <row r="10" spans="1:3" x14ac:dyDescent="0.2">
      <c r="A10" t="s">
        <v>813</v>
      </c>
      <c r="B10" s="241">
        <f>3396075.97+3984.62</f>
        <v>3400060.5900000003</v>
      </c>
      <c r="C10" s="241">
        <f>1025936.68+304.83+319.57</f>
        <v>1026561.08</v>
      </c>
    </row>
    <row r="11" spans="1:3" x14ac:dyDescent="0.2">
      <c r="A11" t="s">
        <v>814</v>
      </c>
      <c r="B11" s="241">
        <v>30556.39</v>
      </c>
      <c r="C11" s="241">
        <v>10167.950000000001</v>
      </c>
    </row>
    <row r="12" spans="1:3" x14ac:dyDescent="0.2">
      <c r="A12" t="s">
        <v>815</v>
      </c>
      <c r="B12" s="241">
        <v>91585.94</v>
      </c>
      <c r="C12" s="241">
        <v>20758.900000000001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3522202.9200000004</v>
      </c>
      <c r="C13" s="232">
        <f>SUM(C10:C12)</f>
        <v>1057487.93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2532012.5499999998</v>
      </c>
      <c r="C18" s="230">
        <f>'DOE25'!G190+'DOE25'!G208+'DOE25'!G226+'DOE25'!G269+'DOE25'!G288+'DOE25'!G307</f>
        <v>515803.51000000007</v>
      </c>
    </row>
    <row r="19" spans="1:3" x14ac:dyDescent="0.2">
      <c r="A19" t="s">
        <v>813</v>
      </c>
      <c r="B19" s="241">
        <f>1081091.89+170.7</f>
        <v>1081262.5899999999</v>
      </c>
      <c r="C19" s="241">
        <f>262348.78+13.06+13.69</f>
        <v>262375.53000000003</v>
      </c>
    </row>
    <row r="20" spans="1:3" x14ac:dyDescent="0.2">
      <c r="A20" t="s">
        <v>814</v>
      </c>
      <c r="B20" s="241">
        <v>1325865.6100000001</v>
      </c>
      <c r="C20" s="241">
        <v>233319.67999999999</v>
      </c>
    </row>
    <row r="21" spans="1:3" x14ac:dyDescent="0.2">
      <c r="A21" t="s">
        <v>815</v>
      </c>
      <c r="B21" s="241">
        <v>124884.35</v>
      </c>
      <c r="C21" s="241">
        <v>20108.3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2532012.5500000003</v>
      </c>
      <c r="C22" s="232">
        <f>SUM(C19:C21)</f>
        <v>515803.51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163479.72</v>
      </c>
      <c r="C36" s="236">
        <f>'DOE25'!G192+'DOE25'!G210+'DOE25'!G228+'DOE25'!G271+'DOE25'!G290+'DOE25'!G309</f>
        <v>29260.260000000002</v>
      </c>
    </row>
    <row r="37" spans="1:3" x14ac:dyDescent="0.2">
      <c r="A37" t="s">
        <v>813</v>
      </c>
      <c r="B37" s="241">
        <v>163479.72</v>
      </c>
      <c r="C37" s="241">
        <v>29260.26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163479.72</v>
      </c>
      <c r="C40" s="232">
        <f>SUM(C37:C39)</f>
        <v>29260.26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8877-6C24-418E-82FE-267CA18D7BD8}">
  <sheetPr>
    <tabColor indexed="11"/>
  </sheetPr>
  <dimension ref="A1:I51"/>
  <sheetViews>
    <sheetView workbookViewId="0">
      <pane ySplit="4" topLeftCell="A5" activePane="bottomLeft" state="frozen"/>
      <selection activeCell="C41" sqref="C41"/>
      <selection pane="bottomLeft" activeCell="C41" sqref="C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FARMINGTON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8695424.9499999993</v>
      </c>
      <c r="D5" s="20">
        <f>SUM('DOE25'!L189:L192)+SUM('DOE25'!L207:L210)+SUM('DOE25'!L225:L228)-F5-G5</f>
        <v>8664354.3999999985</v>
      </c>
      <c r="E5" s="244"/>
      <c r="F5" s="256">
        <f>SUM('DOE25'!J189:J192)+SUM('DOE25'!J207:J210)+SUM('DOE25'!J225:J228)</f>
        <v>5579.15</v>
      </c>
      <c r="G5" s="53">
        <f>SUM('DOE25'!K189:K192)+SUM('DOE25'!K207:K210)+SUM('DOE25'!K225:K228)</f>
        <v>25491.4</v>
      </c>
      <c r="H5" s="260"/>
    </row>
    <row r="6" spans="1:9" x14ac:dyDescent="0.2">
      <c r="A6" s="32">
        <v>2100</v>
      </c>
      <c r="B6" t="s">
        <v>835</v>
      </c>
      <c r="C6" s="246">
        <f t="shared" si="0"/>
        <v>1065341.3499999999</v>
      </c>
      <c r="D6" s="20">
        <f>'DOE25'!L194+'DOE25'!L212+'DOE25'!L230-F6-G6</f>
        <v>1063126.0299999998</v>
      </c>
      <c r="E6" s="244"/>
      <c r="F6" s="256">
        <f>'DOE25'!J194+'DOE25'!J212+'DOE25'!J230</f>
        <v>1110.32</v>
      </c>
      <c r="G6" s="53">
        <f>'DOE25'!K194+'DOE25'!K212+'DOE25'!K230</f>
        <v>1105</v>
      </c>
      <c r="H6" s="260"/>
    </row>
    <row r="7" spans="1:9" x14ac:dyDescent="0.2">
      <c r="A7" s="32">
        <v>2200</v>
      </c>
      <c r="B7" t="s">
        <v>868</v>
      </c>
      <c r="C7" s="246">
        <f t="shared" si="0"/>
        <v>364195.13</v>
      </c>
      <c r="D7" s="20">
        <f>'DOE25'!L195+'DOE25'!L213+'DOE25'!L231-F7-G7</f>
        <v>362864.13</v>
      </c>
      <c r="E7" s="244"/>
      <c r="F7" s="256">
        <f>'DOE25'!J195+'DOE25'!J213+'DOE25'!J231</f>
        <v>0</v>
      </c>
      <c r="G7" s="53">
        <f>'DOE25'!K195+'DOE25'!K213+'DOE25'!K231</f>
        <v>1331</v>
      </c>
      <c r="H7" s="260"/>
    </row>
    <row r="8" spans="1:9" x14ac:dyDescent="0.2">
      <c r="A8" s="32">
        <v>2300</v>
      </c>
      <c r="B8" t="s">
        <v>836</v>
      </c>
      <c r="C8" s="246">
        <f t="shared" si="0"/>
        <v>527767.23</v>
      </c>
      <c r="D8" s="244"/>
      <c r="E8" s="20">
        <f>'DOE25'!L196+'DOE25'!L214+'DOE25'!L232-F8-G8-D9-D11</f>
        <v>522578.86</v>
      </c>
      <c r="F8" s="256">
        <f>'DOE25'!J196+'DOE25'!J214+'DOE25'!J232</f>
        <v>0</v>
      </c>
      <c r="G8" s="53">
        <f>'DOE25'!K196+'DOE25'!K214+'DOE25'!K232</f>
        <v>5188.37</v>
      </c>
      <c r="H8" s="260"/>
    </row>
    <row r="9" spans="1:9" x14ac:dyDescent="0.2">
      <c r="A9" s="32">
        <v>2310</v>
      </c>
      <c r="B9" t="s">
        <v>852</v>
      </c>
      <c r="C9" s="246">
        <f t="shared" si="0"/>
        <v>91019.45</v>
      </c>
      <c r="D9" s="245">
        <v>91019.45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20750</v>
      </c>
      <c r="D10" s="244"/>
      <c r="E10" s="245">
        <v>20750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265012.86</v>
      </c>
      <c r="D11" s="245">
        <v>265012.86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767731.35000000009</v>
      </c>
      <c r="D12" s="20">
        <f>'DOE25'!L197+'DOE25'!L215+'DOE25'!L233-F12-G12</f>
        <v>752656.19000000018</v>
      </c>
      <c r="E12" s="244"/>
      <c r="F12" s="256">
        <f>'DOE25'!J197+'DOE25'!J215+'DOE25'!J233</f>
        <v>10082.439999999999</v>
      </c>
      <c r="G12" s="53">
        <f>'DOE25'!K197+'DOE25'!K215+'DOE25'!K233</f>
        <v>4992.7199999999993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6468.97</v>
      </c>
      <c r="D13" s="244"/>
      <c r="E13" s="20">
        <f>'DOE25'!L198+'DOE25'!L216+'DOE25'!L234-F13-G13</f>
        <v>4529.33</v>
      </c>
      <c r="F13" s="256">
        <f>'DOE25'!J198+'DOE25'!J216+'DOE25'!J234</f>
        <v>1939.64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1336884.9000000001</v>
      </c>
      <c r="D14" s="20">
        <f>'DOE25'!L199+'DOE25'!L217+'DOE25'!L235-F14-G14</f>
        <v>1325187.9800000002</v>
      </c>
      <c r="E14" s="244"/>
      <c r="F14" s="256">
        <f>'DOE25'!J199+'DOE25'!J217+'DOE25'!J235</f>
        <v>11604.92</v>
      </c>
      <c r="G14" s="53">
        <f>'DOE25'!K199+'DOE25'!K217+'DOE25'!K235</f>
        <v>92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507144.42000000004</v>
      </c>
      <c r="D15" s="20">
        <f>'DOE25'!L200+'DOE25'!L218+'DOE25'!L236-F15-G15</f>
        <v>500645.4</v>
      </c>
      <c r="E15" s="244"/>
      <c r="F15" s="256">
        <f>'DOE25'!J200+'DOE25'!J218+'DOE25'!J236</f>
        <v>5203.8999999999996</v>
      </c>
      <c r="G15" s="53">
        <f>'DOE25'!K200+'DOE25'!K218+'DOE25'!K236</f>
        <v>1295.1199999999999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293597.52</v>
      </c>
      <c r="D16" s="244"/>
      <c r="E16" s="20">
        <f>'DOE25'!L201+'DOE25'!L219+'DOE25'!L237-F16-G16</f>
        <v>270920.47000000003</v>
      </c>
      <c r="F16" s="256">
        <f>'DOE25'!J201+'DOE25'!J219+'DOE25'!J237</f>
        <v>22677.05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850584.38</v>
      </c>
      <c r="D25" s="244"/>
      <c r="E25" s="244"/>
      <c r="F25" s="259"/>
      <c r="G25" s="257"/>
      <c r="H25" s="258">
        <f>'DOE25'!L252+'DOE25'!L253+'DOE25'!L333+'DOE25'!L334</f>
        <v>850584.38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303873.02999999991</v>
      </c>
      <c r="D29" s="20">
        <f>'DOE25'!L350+'DOE25'!L351+'DOE25'!L352-'DOE25'!I359-F29-G29</f>
        <v>298450.77999999991</v>
      </c>
      <c r="E29" s="244"/>
      <c r="F29" s="256">
        <f>'DOE25'!J350+'DOE25'!J351+'DOE25'!J352</f>
        <v>5320</v>
      </c>
      <c r="G29" s="53">
        <f>'DOE25'!K350+'DOE25'!K351+'DOE25'!K352</f>
        <v>102.25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1801395.2999999998</v>
      </c>
      <c r="D31" s="20">
        <f>'DOE25'!L282+'DOE25'!L301+'DOE25'!L320+'DOE25'!L325+'DOE25'!L326+'DOE25'!L327-F31-G31</f>
        <v>1474739.4899999998</v>
      </c>
      <c r="E31" s="244"/>
      <c r="F31" s="256">
        <f>'DOE25'!J282+'DOE25'!J301+'DOE25'!J320+'DOE25'!J325+'DOE25'!J326+'DOE25'!J327</f>
        <v>322059.27</v>
      </c>
      <c r="G31" s="53">
        <f>'DOE25'!K282+'DOE25'!K301+'DOE25'!K320+'DOE25'!K325+'DOE25'!K326+'DOE25'!K327</f>
        <v>4596.5399999999991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14798056.709999997</v>
      </c>
      <c r="E33" s="247">
        <f>SUM(E5:E31)</f>
        <v>818778.65999999992</v>
      </c>
      <c r="F33" s="247">
        <f>SUM(F5:F31)</f>
        <v>385576.69</v>
      </c>
      <c r="G33" s="247">
        <f>SUM(G5:G31)</f>
        <v>44194.400000000009</v>
      </c>
      <c r="H33" s="247">
        <f>SUM(H5:H31)</f>
        <v>850584.38</v>
      </c>
    </row>
    <row r="35" spans="2:8" ht="12" thickBot="1" x14ac:dyDescent="0.25">
      <c r="B35" s="254" t="s">
        <v>881</v>
      </c>
      <c r="D35" s="255">
        <f>E33</f>
        <v>818778.65999999992</v>
      </c>
      <c r="E35" s="250"/>
    </row>
    <row r="36" spans="2:8" ht="12" thickTop="1" x14ac:dyDescent="0.2">
      <c r="B36" t="s">
        <v>849</v>
      </c>
      <c r="D36" s="20">
        <f>D33</f>
        <v>14798056.709999997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192-6B2A-4EC1-9668-146B70AA7C9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activeCell="C41" sqref="C41"/>
      <selection pane="bottomLeft" activeCell="C41" sqref="C4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411178.43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139842.63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150000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721094.86</v>
      </c>
      <c r="D13" s="95">
        <f>'DOE25'!G13</f>
        <v>24431.03</v>
      </c>
      <c r="E13" s="95">
        <f>'DOE25'!H13</f>
        <v>253375.95</v>
      </c>
      <c r="F13" s="95">
        <f>'DOE25'!I13</f>
        <v>0</v>
      </c>
      <c r="G13" s="95">
        <f>'DOE25'!J13</f>
        <v>1466515.3800000001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39593.479999999996</v>
      </c>
      <c r="D14" s="95">
        <f>'DOE25'!G14</f>
        <v>577.72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1311709.3999999999</v>
      </c>
      <c r="D19" s="41">
        <f>SUM(D9:D18)</f>
        <v>25008.75</v>
      </c>
      <c r="E19" s="41">
        <f>SUM(E9:E18)</f>
        <v>253375.95</v>
      </c>
      <c r="F19" s="41">
        <f>SUM(F9:F18)</f>
        <v>0</v>
      </c>
      <c r="G19" s="41">
        <f>SUM(G9:G18)</f>
        <v>1616515.3800000001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20719.16</v>
      </c>
      <c r="E22" s="95">
        <f>'DOE25'!H23</f>
        <v>203979.96</v>
      </c>
      <c r="F22" s="95">
        <f>'DOE25'!I23</f>
        <v>0</v>
      </c>
      <c r="G22" s="95">
        <f>'DOE25'!J23</f>
        <v>75930.5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97059.17</v>
      </c>
      <c r="D24" s="95">
        <f>'DOE25'!G25</f>
        <v>1127.81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639009.32999999996</v>
      </c>
      <c r="D28" s="95">
        <f>'DOE25'!G29</f>
        <v>0</v>
      </c>
      <c r="E28" s="95">
        <f>'DOE25'!H29</f>
        <v>44957.58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6248.73</v>
      </c>
      <c r="D29" s="95">
        <f>'DOE25'!G30</f>
        <v>0</v>
      </c>
      <c r="E29" s="95">
        <f>'DOE25'!H30</f>
        <v>4438.41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3079.99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742317.23</v>
      </c>
      <c r="D32" s="41">
        <f>SUM(D22:D31)</f>
        <v>24926.959999999999</v>
      </c>
      <c r="E32" s="41">
        <f>SUM(E22:E31)</f>
        <v>253375.94999999998</v>
      </c>
      <c r="F32" s="41">
        <f>SUM(F22:F31)</f>
        <v>0</v>
      </c>
      <c r="G32" s="41">
        <f>SUM(G22:G31)</f>
        <v>75930.5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247885.87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6000</v>
      </c>
      <c r="D40" s="95">
        <f>'DOE25'!G41</f>
        <v>81.79000000000002</v>
      </c>
      <c r="E40" s="95">
        <f>'DOE25'!H41</f>
        <v>0</v>
      </c>
      <c r="F40" s="95">
        <f>'DOE25'!I41</f>
        <v>0</v>
      </c>
      <c r="G40" s="95">
        <f>'DOE25'!J41</f>
        <v>1540584.88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265506.3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569392.16999999993</v>
      </c>
      <c r="D42" s="41">
        <f>SUM(D34:D41)</f>
        <v>81.79000000000002</v>
      </c>
      <c r="E42" s="41">
        <f>SUM(E34:E41)</f>
        <v>0</v>
      </c>
      <c r="F42" s="41">
        <f>SUM(F34:F41)</f>
        <v>0</v>
      </c>
      <c r="G42" s="41">
        <f>SUM(G34:G41)</f>
        <v>1540584.88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1311709.3999999999</v>
      </c>
      <c r="D43" s="41">
        <f>D42+D32</f>
        <v>25008.75</v>
      </c>
      <c r="E43" s="41">
        <f>E42+E32</f>
        <v>253375.94999999998</v>
      </c>
      <c r="F43" s="41">
        <f>F42+F32</f>
        <v>0</v>
      </c>
      <c r="G43" s="41">
        <f>G42+G32</f>
        <v>1616515.38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3837710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2601492.9099999997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21202.639999999999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2244.85</v>
      </c>
      <c r="D51" s="95">
        <f>'DOE25'!G88</f>
        <v>0</v>
      </c>
      <c r="E51" s="95">
        <f>'DOE25'!H88</f>
        <v>0</v>
      </c>
      <c r="F51" s="95">
        <f>'DOE25'!I88</f>
        <v>271.10000000000002</v>
      </c>
      <c r="G51" s="95">
        <f>'DOE25'!J88</f>
        <v>20972.799999999999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213014.71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9532.0199999999986</v>
      </c>
      <c r="D53" s="95">
        <f>SUM('DOE25'!G90:G102)</f>
        <v>0</v>
      </c>
      <c r="E53" s="95">
        <f>SUM('DOE25'!H90:H102)</f>
        <v>4010.69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2634472.42</v>
      </c>
      <c r="D54" s="130">
        <f>SUM(D49:D53)</f>
        <v>213014.71</v>
      </c>
      <c r="E54" s="130">
        <f>SUM(E49:E53)</f>
        <v>4010.69</v>
      </c>
      <c r="F54" s="130">
        <f>SUM(F49:F53)</f>
        <v>271.10000000000002</v>
      </c>
      <c r="G54" s="130">
        <f>SUM(G49:G53)</f>
        <v>20972.799999999999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6472182.4199999999</v>
      </c>
      <c r="D55" s="22">
        <f>D48+D54</f>
        <v>213014.71</v>
      </c>
      <c r="E55" s="22">
        <f>E48+E54</f>
        <v>4010.69</v>
      </c>
      <c r="F55" s="22">
        <f>F48+F54</f>
        <v>271.10000000000002</v>
      </c>
      <c r="G55" s="22">
        <f>G48+G54</f>
        <v>20972.799999999999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4942117.99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1111201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1896137.01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7949456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373817.04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143547.24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6590.84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10200</v>
      </c>
      <c r="D69" s="95">
        <f>SUM('DOE25'!G123:G127)</f>
        <v>6980.39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534155.12</v>
      </c>
      <c r="D70" s="130">
        <f>SUM(D64:D69)</f>
        <v>6980.39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8483611.1199999992</v>
      </c>
      <c r="D73" s="130">
        <f>SUM(D71:D72)+D70+D62</f>
        <v>6980.39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167921.68</v>
      </c>
      <c r="D80" s="95">
        <f>SUM('DOE25'!G145:G153)</f>
        <v>317113.51</v>
      </c>
      <c r="E80" s="95">
        <f>SUM('DOE25'!H145:H153)</f>
        <v>1859607.3199999998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167921.68</v>
      </c>
      <c r="D83" s="131">
        <f>SUM(D77:D82)</f>
        <v>317113.51</v>
      </c>
      <c r="E83" s="131">
        <f>SUM(E77:E82)</f>
        <v>1859607.3199999998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13228.93</v>
      </c>
      <c r="E88" s="95">
        <f>'DOE25'!H171</f>
        <v>0</v>
      </c>
      <c r="F88" s="95">
        <f>'DOE25'!I171</f>
        <v>0</v>
      </c>
      <c r="G88" s="95">
        <f>'DOE25'!J171</f>
        <v>150000</v>
      </c>
    </row>
    <row r="89" spans="1:7" x14ac:dyDescent="0.2">
      <c r="A89" t="s">
        <v>790</v>
      </c>
      <c r="B89" s="32" t="s">
        <v>211</v>
      </c>
      <c r="C89" s="95">
        <f>SUM('DOE25'!F172:F173)</f>
        <v>63069.4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102807.43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165876.82999999999</v>
      </c>
      <c r="D95" s="86">
        <f>SUM(D85:D94)</f>
        <v>13228.93</v>
      </c>
      <c r="E95" s="86">
        <f>SUM(E85:E94)</f>
        <v>0</v>
      </c>
      <c r="F95" s="86">
        <f>SUM(F85:F94)</f>
        <v>0</v>
      </c>
      <c r="G95" s="86">
        <f>SUM(G85:G94)</f>
        <v>150000</v>
      </c>
    </row>
    <row r="96" spans="1:7" ht="12.75" thickTop="1" thickBot="1" x14ac:dyDescent="0.25">
      <c r="A96" s="33" t="s">
        <v>797</v>
      </c>
      <c r="C96" s="86">
        <f>C55+C73+C83+C95</f>
        <v>15289592.049999999</v>
      </c>
      <c r="D96" s="86">
        <f>D55+D73+D83+D95</f>
        <v>550337.54</v>
      </c>
      <c r="E96" s="86">
        <f>E55+E73+E83+E95</f>
        <v>1863618.0099999998</v>
      </c>
      <c r="F96" s="86">
        <f>F55+F73+F83+F95</f>
        <v>271.10000000000002</v>
      </c>
      <c r="G96" s="86">
        <f>G55+G73+G95</f>
        <v>170972.79999999999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4823924.7300000004</v>
      </c>
      <c r="D101" s="24" t="s">
        <v>312</v>
      </c>
      <c r="E101" s="95">
        <f>('DOE25'!L268)+('DOE25'!L287)+('DOE25'!L306)</f>
        <v>68918.960000000006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3584994.09</v>
      </c>
      <c r="D102" s="24" t="s">
        <v>312</v>
      </c>
      <c r="E102" s="95">
        <f>('DOE25'!L269)+('DOE25'!L288)+('DOE25'!L307)</f>
        <v>1011142.08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23497.7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263008.43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188440.04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8695424.9499999993</v>
      </c>
      <c r="D107" s="86">
        <f>SUM(D101:D106)</f>
        <v>0</v>
      </c>
      <c r="E107" s="86">
        <f>SUM(E101:E106)</f>
        <v>1268501.08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1065341.3499999999</v>
      </c>
      <c r="D110" s="24" t="s">
        <v>312</v>
      </c>
      <c r="E110" s="95">
        <f>+('DOE25'!L273)+('DOE25'!L292)+('DOE25'!L311)</f>
        <v>101532.62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364195.13</v>
      </c>
      <c r="D111" s="24" t="s">
        <v>312</v>
      </c>
      <c r="E111" s="95">
        <f>+('DOE25'!L274)+('DOE25'!L293)+('DOE25'!L312)</f>
        <v>226754.5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883799.53999999992</v>
      </c>
      <c r="D112" s="24" t="s">
        <v>312</v>
      </c>
      <c r="E112" s="95">
        <f>+('DOE25'!L275)+('DOE25'!L294)+('DOE25'!L313)</f>
        <v>100169.7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767731.35000000009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6468.97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1336884.9000000001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507144.42000000004</v>
      </c>
      <c r="D116" s="24" t="s">
        <v>312</v>
      </c>
      <c r="E116" s="95">
        <f>+('DOE25'!L279)+('DOE25'!L298)+('DOE25'!L317)</f>
        <v>54871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293597.52</v>
      </c>
      <c r="D117" s="24" t="s">
        <v>312</v>
      </c>
      <c r="E117" s="95">
        <f>+('DOE25'!L280)+('DOE25'!L299)+('DOE25'!L318)</f>
        <v>49566.400000000001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550617.56999999995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5225163.18</v>
      </c>
      <c r="D120" s="86">
        <f>SUM(D110:D119)</f>
        <v>550617.56999999995</v>
      </c>
      <c r="E120" s="86">
        <f>SUM(E110:E119)</f>
        <v>532894.22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85584.38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62222.709999999992</v>
      </c>
      <c r="F126" s="95">
        <f>'DOE25'!K373</f>
        <v>102807.43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13228.93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117884.17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53088.630000000005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-20972.799999999988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1013813.31</v>
      </c>
      <c r="D136" s="141">
        <f>SUM(D122:D135)</f>
        <v>0</v>
      </c>
      <c r="E136" s="141">
        <f>SUM(E122:E135)</f>
        <v>62222.709999999992</v>
      </c>
      <c r="F136" s="141">
        <f>SUM(F122:F135)</f>
        <v>102807.43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14934401.439999999</v>
      </c>
      <c r="D137" s="86">
        <f>(D107+D120+D136)</f>
        <v>550617.56999999995</v>
      </c>
      <c r="E137" s="86">
        <f>(E107+E120+E136)</f>
        <v>1863618.01</v>
      </c>
      <c r="F137" s="86">
        <f>(F107+F120+F136)</f>
        <v>102807.43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7650000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4.375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2295000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2295000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765000</v>
      </c>
    </row>
    <row r="151" spans="1:7" x14ac:dyDescent="0.2">
      <c r="A151" s="22" t="s">
        <v>35</v>
      </c>
      <c r="B151" s="137">
        <f>'DOE25'!F488</f>
        <v>1530000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1530000</v>
      </c>
    </row>
    <row r="152" spans="1:7" x14ac:dyDescent="0.2">
      <c r="A152" s="22" t="s">
        <v>36</v>
      </c>
      <c r="B152" s="137">
        <f>'DOE25'!F489</f>
        <v>68850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68850</v>
      </c>
    </row>
    <row r="153" spans="1:7" x14ac:dyDescent="0.2">
      <c r="A153" s="22" t="s">
        <v>37</v>
      </c>
      <c r="B153" s="137">
        <f>'DOE25'!F490</f>
        <v>1598850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1598850</v>
      </c>
    </row>
    <row r="154" spans="1:7" x14ac:dyDescent="0.2">
      <c r="A154" s="22" t="s">
        <v>38</v>
      </c>
      <c r="B154" s="137">
        <f>'DOE25'!F491</f>
        <v>765000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765000</v>
      </c>
    </row>
    <row r="155" spans="1:7" x14ac:dyDescent="0.2">
      <c r="A155" s="22" t="s">
        <v>39</v>
      </c>
      <c r="B155" s="137">
        <f>'DOE25'!F492</f>
        <v>51637.5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51637.5</v>
      </c>
    </row>
    <row r="156" spans="1:7" x14ac:dyDescent="0.2">
      <c r="A156" s="22" t="s">
        <v>269</v>
      </c>
      <c r="B156" s="137">
        <f>'DOE25'!F493</f>
        <v>816637.5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816637.5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091-B264-4EE8-A692-41E947335173}">
  <sheetPr codeName="Sheet3">
    <tabColor indexed="43"/>
  </sheetPr>
  <dimension ref="A1:D42"/>
  <sheetViews>
    <sheetView workbookViewId="0">
      <selection activeCell="C41" sqref="C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FARMINGTON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10470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10154</v>
      </c>
    </row>
    <row r="7" spans="1:4" x14ac:dyDescent="0.2">
      <c r="B7" t="s">
        <v>736</v>
      </c>
      <c r="C7" s="179">
        <f>IF('DOE25'!I655+'DOE25'!I660=0,0,ROUND('DOE25'!I662,0))</f>
        <v>10371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4892844</v>
      </c>
      <c r="D10" s="182">
        <f>ROUND((C10/$C$28)*100,1)</f>
        <v>30.3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4596136</v>
      </c>
      <c r="D11" s="182">
        <f>ROUND((C11/$C$28)*100,1)</f>
        <v>28.5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23498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263008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1166874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590950</v>
      </c>
      <c r="D16" s="182">
        <f t="shared" si="0"/>
        <v>3.7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1327133</v>
      </c>
      <c r="D17" s="182">
        <f t="shared" si="0"/>
        <v>8.1999999999999993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767731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6469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1336885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562015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188440</v>
      </c>
      <c r="D24" s="182">
        <f t="shared" si="0"/>
        <v>1.2</v>
      </c>
    </row>
    <row r="25" spans="1:4" x14ac:dyDescent="0.2">
      <c r="A25">
        <v>5120</v>
      </c>
      <c r="B25" t="s">
        <v>751</v>
      </c>
      <c r="C25" s="179">
        <f>ROUND('DOE25'!L253+'DOE25'!L334,0)</f>
        <v>85584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337603.29000000004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16145170.289999999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16145170.289999999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765000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3837710</v>
      </c>
      <c r="D35" s="182">
        <f t="shared" ref="D35:D40" si="1">ROUND((C35/$C$41)*100,1)</f>
        <v>22.1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2659727.0099999998</v>
      </c>
      <c r="D36" s="182">
        <f t="shared" si="1"/>
        <v>15.3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6053319</v>
      </c>
      <c r="D37" s="182">
        <f t="shared" si="1"/>
        <v>34.9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2437273</v>
      </c>
      <c r="D38" s="182">
        <f t="shared" si="1"/>
        <v>14.1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2344643</v>
      </c>
      <c r="D39" s="182">
        <f t="shared" si="1"/>
        <v>13.5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17332672.009999998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9CB2-FA1A-49C6-B94D-E3962EB71D86}">
  <sheetPr>
    <tabColor indexed="17"/>
  </sheetPr>
  <dimension ref="A1:IV90"/>
  <sheetViews>
    <sheetView workbookViewId="0">
      <pane ySplit="3" topLeftCell="A4" activePane="bottomLeft" state="frozen"/>
      <selection activeCell="C41" sqref="C41"/>
      <selection pane="bottomLeft" activeCell="C41" sqref="C41:M4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FARMINGTON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2010-10-12T12:33:51Z</cp:lastPrinted>
  <dcterms:created xsi:type="dcterms:W3CDTF">1997-12-04T19:04:30Z</dcterms:created>
  <dcterms:modified xsi:type="dcterms:W3CDTF">2025-01-09T20:03:56Z</dcterms:modified>
</cp:coreProperties>
</file>