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27B0447-0A74-432F-BD05-CCC06EFE14A8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3488BB5-95DB-45D3-BC44-0710CA6D824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1" l="1"/>
  <c r="F458" i="1"/>
  <c r="F61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C117" i="2" s="1"/>
  <c r="L219" i="1"/>
  <c r="L237" i="1"/>
  <c r="E16" i="13"/>
  <c r="C16" i="13" s="1"/>
  <c r="F5" i="13"/>
  <c r="F33" i="13" s="1"/>
  <c r="G5" i="13"/>
  <c r="L189" i="1"/>
  <c r="C10" i="10" s="1"/>
  <c r="L190" i="1"/>
  <c r="C11" i="10" s="1"/>
  <c r="L191" i="1"/>
  <c r="L192" i="1"/>
  <c r="C104" i="2" s="1"/>
  <c r="L207" i="1"/>
  <c r="L221" i="1" s="1"/>
  <c r="L208" i="1"/>
  <c r="L209" i="1"/>
  <c r="L210" i="1"/>
  <c r="D5" i="13" s="1"/>
  <c r="L225" i="1"/>
  <c r="L226" i="1"/>
  <c r="L227" i="1"/>
  <c r="L228" i="1"/>
  <c r="F6" i="13"/>
  <c r="G6" i="13"/>
  <c r="L194" i="1"/>
  <c r="C15" i="10" s="1"/>
  <c r="L212" i="1"/>
  <c r="L230" i="1"/>
  <c r="F7" i="13"/>
  <c r="D7" i="13" s="1"/>
  <c r="C7" i="13" s="1"/>
  <c r="G7" i="13"/>
  <c r="L195" i="1"/>
  <c r="L213" i="1"/>
  <c r="L231" i="1"/>
  <c r="C111" i="2" s="1"/>
  <c r="F12" i="13"/>
  <c r="G12" i="13"/>
  <c r="L197" i="1"/>
  <c r="C18" i="10" s="1"/>
  <c r="L215" i="1"/>
  <c r="L233" i="1"/>
  <c r="F14" i="13"/>
  <c r="D14" i="13" s="1"/>
  <c r="C14" i="13" s="1"/>
  <c r="G14" i="13"/>
  <c r="L199" i="1"/>
  <c r="L217" i="1"/>
  <c r="L235" i="1"/>
  <c r="C20" i="10" s="1"/>
  <c r="F15" i="13"/>
  <c r="G15" i="13"/>
  <c r="L200" i="1"/>
  <c r="H637" i="1" s="1"/>
  <c r="L218" i="1"/>
  <c r="G640" i="1" s="1"/>
  <c r="J640" i="1" s="1"/>
  <c r="L236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4" i="1" s="1"/>
  <c r="L351" i="1"/>
  <c r="L352" i="1"/>
  <c r="D29" i="13" s="1"/>
  <c r="C29" i="13" s="1"/>
  <c r="I359" i="1"/>
  <c r="J282" i="1"/>
  <c r="F31" i="13" s="1"/>
  <c r="J301" i="1"/>
  <c r="J330" i="1" s="1"/>
  <c r="J344" i="1" s="1"/>
  <c r="J320" i="1"/>
  <c r="K282" i="1"/>
  <c r="K301" i="1"/>
  <c r="G31" i="13" s="1"/>
  <c r="G33" i="13" s="1"/>
  <c r="K320" i="1"/>
  <c r="L268" i="1"/>
  <c r="L269" i="1"/>
  <c r="L282" i="1" s="1"/>
  <c r="L270" i="1"/>
  <c r="L271" i="1"/>
  <c r="L273" i="1"/>
  <c r="L274" i="1"/>
  <c r="L275" i="1"/>
  <c r="E112" i="2" s="1"/>
  <c r="L276" i="1"/>
  <c r="L277" i="1"/>
  <c r="L278" i="1"/>
  <c r="L279" i="1"/>
  <c r="L280" i="1"/>
  <c r="L287" i="1"/>
  <c r="E101" i="2" s="1"/>
  <c r="L288" i="1"/>
  <c r="L301" i="1" s="1"/>
  <c r="L289" i="1"/>
  <c r="L290" i="1"/>
  <c r="L292" i="1"/>
  <c r="E110" i="2" s="1"/>
  <c r="L293" i="1"/>
  <c r="L294" i="1"/>
  <c r="L295" i="1"/>
  <c r="L296" i="1"/>
  <c r="E114" i="2" s="1"/>
  <c r="L297" i="1"/>
  <c r="L298" i="1"/>
  <c r="L299" i="1"/>
  <c r="L306" i="1"/>
  <c r="L307" i="1"/>
  <c r="L308" i="1"/>
  <c r="L309" i="1"/>
  <c r="E104" i="2" s="1"/>
  <c r="L311" i="1"/>
  <c r="L312" i="1"/>
  <c r="L313" i="1"/>
  <c r="L314" i="1"/>
  <c r="L320" i="1" s="1"/>
  <c r="H650" i="1" s="1"/>
  <c r="L315" i="1"/>
  <c r="L316" i="1"/>
  <c r="L317" i="1"/>
  <c r="L318" i="1"/>
  <c r="L325" i="1"/>
  <c r="L326" i="1"/>
  <c r="L327" i="1"/>
  <c r="E106" i="2" s="1"/>
  <c r="L252" i="1"/>
  <c r="L253" i="1"/>
  <c r="C25" i="10" s="1"/>
  <c r="L333" i="1"/>
  <c r="L334" i="1"/>
  <c r="L343" i="1" s="1"/>
  <c r="H25" i="13"/>
  <c r="C25" i="13" s="1"/>
  <c r="L247" i="1"/>
  <c r="L328" i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88" i="1"/>
  <c r="L389" i="1"/>
  <c r="L390" i="1"/>
  <c r="L393" i="1" s="1"/>
  <c r="C131" i="2" s="1"/>
  <c r="L391" i="1"/>
  <c r="L392" i="1"/>
  <c r="L395" i="1"/>
  <c r="L396" i="1"/>
  <c r="L397" i="1"/>
  <c r="L399" i="1" s="1"/>
  <c r="C132" i="2" s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/>
  <c r="L601" i="1"/>
  <c r="F653" i="1" s="1"/>
  <c r="C40" i="10"/>
  <c r="F52" i="1"/>
  <c r="C48" i="2" s="1"/>
  <c r="C55" i="2" s="1"/>
  <c r="G52" i="1"/>
  <c r="G104" i="1" s="1"/>
  <c r="G185" i="1" s="1"/>
  <c r="G618" i="1" s="1"/>
  <c r="J618" i="1" s="1"/>
  <c r="H52" i="1"/>
  <c r="I52" i="1"/>
  <c r="C35" i="10"/>
  <c r="F71" i="1"/>
  <c r="F86" i="1"/>
  <c r="F103" i="1"/>
  <c r="G103" i="1"/>
  <c r="H71" i="1"/>
  <c r="H104" i="1" s="1"/>
  <c r="H86" i="1"/>
  <c r="E50" i="2" s="1"/>
  <c r="H103" i="1"/>
  <c r="I103" i="1"/>
  <c r="I104" i="1"/>
  <c r="I185" i="1" s="1"/>
  <c r="G620" i="1" s="1"/>
  <c r="J620" i="1" s="1"/>
  <c r="J103" i="1"/>
  <c r="C37" i="10"/>
  <c r="F113" i="1"/>
  <c r="F132" i="1" s="1"/>
  <c r="F128" i="1"/>
  <c r="G113" i="1"/>
  <c r="G132" i="1" s="1"/>
  <c r="G128" i="1"/>
  <c r="H113" i="1"/>
  <c r="H128" i="1"/>
  <c r="H132" i="1" s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H154" i="1"/>
  <c r="H161" i="1"/>
  <c r="I139" i="1"/>
  <c r="I154" i="1"/>
  <c r="I161" i="1"/>
  <c r="C12" i="10"/>
  <c r="C17" i="10"/>
  <c r="C21" i="10"/>
  <c r="L242" i="1"/>
  <c r="C23" i="10" s="1"/>
  <c r="L324" i="1"/>
  <c r="L246" i="1"/>
  <c r="C24" i="10" s="1"/>
  <c r="L260" i="1"/>
  <c r="L261" i="1"/>
  <c r="C26" i="10" s="1"/>
  <c r="L341" i="1"/>
  <c r="L342" i="1"/>
  <c r="I655" i="1"/>
  <c r="I660" i="1"/>
  <c r="L203" i="1"/>
  <c r="L239" i="1"/>
  <c r="G651" i="1"/>
  <c r="H651" i="1"/>
  <c r="G652" i="1"/>
  <c r="H652" i="1"/>
  <c r="I659" i="1"/>
  <c r="C42" i="10"/>
  <c r="C32" i="10"/>
  <c r="L366" i="1"/>
  <c r="L367" i="1"/>
  <c r="L368" i="1"/>
  <c r="L369" i="1"/>
  <c r="C29" i="10" s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/>
  <c r="L513" i="1"/>
  <c r="F541" i="1" s="1"/>
  <c r="L516" i="1"/>
  <c r="G539" i="1" s="1"/>
  <c r="L517" i="1"/>
  <c r="G540" i="1"/>
  <c r="L518" i="1"/>
  <c r="G541" i="1" s="1"/>
  <c r="L521" i="1"/>
  <c r="H539" i="1"/>
  <c r="L522" i="1"/>
  <c r="L524" i="1" s="1"/>
  <c r="L523" i="1"/>
  <c r="H541" i="1"/>
  <c r="L526" i="1"/>
  <c r="I539" i="1"/>
  <c r="L527" i="1"/>
  <c r="L529" i="1" s="1"/>
  <c r="L528" i="1"/>
  <c r="I541" i="1" s="1"/>
  <c r="L531" i="1"/>
  <c r="J539" i="1" s="1"/>
  <c r="J542" i="1" s="1"/>
  <c r="L532" i="1"/>
  <c r="J540" i="1"/>
  <c r="L533" i="1"/>
  <c r="J541" i="1" s="1"/>
  <c r="E124" i="2"/>
  <c r="E123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E19" i="2" s="1"/>
  <c r="F13" i="2"/>
  <c r="F19" i="2" s="1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2" i="2"/>
  <c r="C34" i="2"/>
  <c r="D34" i="2"/>
  <c r="E34" i="2"/>
  <c r="E42" i="2" s="1"/>
  <c r="F34" i="2"/>
  <c r="F42" i="2" s="1"/>
  <c r="C35" i="2"/>
  <c r="D35" i="2"/>
  <c r="E35" i="2"/>
  <c r="F35" i="2"/>
  <c r="C36" i="2"/>
  <c r="D36" i="2"/>
  <c r="E36" i="2"/>
  <c r="F36" i="2"/>
  <c r="I446" i="1"/>
  <c r="J37" i="1" s="1"/>
  <c r="C37" i="2"/>
  <c r="C42" i="2" s="1"/>
  <c r="C43" i="2" s="1"/>
  <c r="D37" i="2"/>
  <c r="D42" i="2" s="1"/>
  <c r="E37" i="2"/>
  <c r="F37" i="2"/>
  <c r="I447" i="1"/>
  <c r="I450" i="1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/>
  <c r="C41" i="2"/>
  <c r="D41" i="2"/>
  <c r="E41" i="2"/>
  <c r="F41" i="2"/>
  <c r="D48" i="2"/>
  <c r="D55" i="2" s="1"/>
  <c r="E48" i="2"/>
  <c r="E55" i="2" s="1"/>
  <c r="F48" i="2"/>
  <c r="C49" i="2"/>
  <c r="E49" i="2"/>
  <c r="E54" i="2" s="1"/>
  <c r="C50" i="2"/>
  <c r="C51" i="2"/>
  <c r="D51" i="2"/>
  <c r="D54" i="2" s="1"/>
  <c r="E51" i="2"/>
  <c r="F51" i="2"/>
  <c r="F54" i="2" s="1"/>
  <c r="D52" i="2"/>
  <c r="C53" i="2"/>
  <c r="C54" i="2" s="1"/>
  <c r="D53" i="2"/>
  <c r="E53" i="2"/>
  <c r="F53" i="2"/>
  <c r="C58" i="2"/>
  <c r="C62" i="2" s="1"/>
  <c r="C59" i="2"/>
  <c r="C61" i="2"/>
  <c r="D61" i="2"/>
  <c r="E61" i="2"/>
  <c r="E62" i="2" s="1"/>
  <c r="F61" i="2"/>
  <c r="F62" i="2" s="1"/>
  <c r="G61" i="2"/>
  <c r="D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C71" i="2"/>
  <c r="D71" i="2"/>
  <c r="E71" i="2"/>
  <c r="C72" i="2"/>
  <c r="E72" i="2"/>
  <c r="C77" i="2"/>
  <c r="C83" i="2" s="1"/>
  <c r="E77" i="2"/>
  <c r="F77" i="2"/>
  <c r="F83" i="2" s="1"/>
  <c r="C79" i="2"/>
  <c r="E79" i="2"/>
  <c r="F79" i="2"/>
  <c r="C80" i="2"/>
  <c r="D80" i="2"/>
  <c r="E80" i="2"/>
  <c r="E83" i="2" s="1"/>
  <c r="F80" i="2"/>
  <c r="C81" i="2"/>
  <c r="D81" i="2"/>
  <c r="E81" i="2"/>
  <c r="F81" i="2"/>
  <c r="C82" i="2"/>
  <c r="C85" i="2"/>
  <c r="C95" i="2" s="1"/>
  <c r="F85" i="2"/>
  <c r="C86" i="2"/>
  <c r="F86" i="2"/>
  <c r="F95" i="2" s="1"/>
  <c r="D88" i="2"/>
  <c r="D95" i="2" s="1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C102" i="2"/>
  <c r="C103" i="2"/>
  <c r="E103" i="2"/>
  <c r="C105" i="2"/>
  <c r="E105" i="2"/>
  <c r="C106" i="2"/>
  <c r="D107" i="2"/>
  <c r="F107" i="2"/>
  <c r="G107" i="2"/>
  <c r="C110" i="2"/>
  <c r="E111" i="2"/>
  <c r="C112" i="2"/>
  <c r="E113" i="2"/>
  <c r="E115" i="2"/>
  <c r="C116" i="2"/>
  <c r="E116" i="2"/>
  <c r="E117" i="2"/>
  <c r="D119" i="2"/>
  <c r="D120" i="2" s="1"/>
  <c r="F120" i="2"/>
  <c r="G120" i="2"/>
  <c r="C122" i="2"/>
  <c r="E122" i="2"/>
  <c r="E136" i="2" s="1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/>
  <c r="E127" i="2"/>
  <c r="L256" i="1"/>
  <c r="C128" i="2" s="1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E149" i="2"/>
  <c r="F149" i="2"/>
  <c r="G149" i="2"/>
  <c r="B150" i="2"/>
  <c r="C150" i="2"/>
  <c r="D150" i="2"/>
  <c r="E150" i="2"/>
  <c r="G150" i="2" s="1"/>
  <c r="F150" i="2"/>
  <c r="B151" i="2"/>
  <c r="C151" i="2"/>
  <c r="D151" i="2"/>
  <c r="E151" i="2"/>
  <c r="F151" i="2"/>
  <c r="G151" i="2"/>
  <c r="B152" i="2"/>
  <c r="C152" i="2"/>
  <c r="D152" i="2"/>
  <c r="E152" i="2"/>
  <c r="G152" i="2" s="1"/>
  <c r="F152" i="2"/>
  <c r="F490" i="1"/>
  <c r="B153" i="2"/>
  <c r="G490" i="1"/>
  <c r="K490" i="1" s="1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K493" i="1" s="1"/>
  <c r="H493" i="1"/>
  <c r="D156" i="2"/>
  <c r="I493" i="1"/>
  <c r="E156" i="2" s="1"/>
  <c r="J493" i="1"/>
  <c r="F156" i="2"/>
  <c r="F19" i="1"/>
  <c r="G19" i="1"/>
  <c r="G608" i="1" s="1"/>
  <c r="H19" i="1"/>
  <c r="I19" i="1"/>
  <c r="F33" i="1"/>
  <c r="G33" i="1"/>
  <c r="H33" i="1"/>
  <c r="I33" i="1"/>
  <c r="F43" i="1"/>
  <c r="G43" i="1"/>
  <c r="G613" i="1" s="1"/>
  <c r="H43" i="1"/>
  <c r="H44" i="1" s="1"/>
  <c r="H609" i="1" s="1"/>
  <c r="J609" i="1" s="1"/>
  <c r="I43" i="1"/>
  <c r="I44" i="1" s="1"/>
  <c r="H610" i="1" s="1"/>
  <c r="F44" i="1"/>
  <c r="F169" i="1"/>
  <c r="I169" i="1"/>
  <c r="F175" i="1"/>
  <c r="G175" i="1"/>
  <c r="G184" i="1" s="1"/>
  <c r="H175" i="1"/>
  <c r="H184" i="1" s="1"/>
  <c r="I175" i="1"/>
  <c r="I184" i="1" s="1"/>
  <c r="J175" i="1"/>
  <c r="F180" i="1"/>
  <c r="G180" i="1"/>
  <c r="H180" i="1"/>
  <c r="I180" i="1"/>
  <c r="F184" i="1"/>
  <c r="J184" i="1"/>
  <c r="F203" i="1"/>
  <c r="G203" i="1"/>
  <c r="H203" i="1"/>
  <c r="H249" i="1" s="1"/>
  <c r="H263" i="1" s="1"/>
  <c r="I203" i="1"/>
  <c r="I249" i="1" s="1"/>
  <c r="I263" i="1" s="1"/>
  <c r="J203" i="1"/>
  <c r="K203" i="1"/>
  <c r="F221" i="1"/>
  <c r="F249" i="1" s="1"/>
  <c r="F263" i="1" s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 s="1"/>
  <c r="K249" i="1"/>
  <c r="K263" i="1"/>
  <c r="F282" i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30" i="1"/>
  <c r="I330" i="1"/>
  <c r="I344" i="1" s="1"/>
  <c r="F344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F399" i="1"/>
  <c r="G399" i="1"/>
  <c r="H399" i="1"/>
  <c r="I399" i="1"/>
  <c r="I400" i="1" s="1"/>
  <c r="F400" i="1"/>
  <c r="H633" i="1" s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H426" i="1" s="1"/>
  <c r="I425" i="1"/>
  <c r="J425" i="1"/>
  <c r="I426" i="1"/>
  <c r="F438" i="1"/>
  <c r="G629" i="1" s="1"/>
  <c r="J629" i="1" s="1"/>
  <c r="G438" i="1"/>
  <c r="H438" i="1"/>
  <c r="G631" i="1" s="1"/>
  <c r="J631" i="1" s="1"/>
  <c r="F444" i="1"/>
  <c r="G444" i="1"/>
  <c r="H444" i="1"/>
  <c r="F450" i="1"/>
  <c r="G450" i="1"/>
  <c r="G451" i="1" s="1"/>
  <c r="H630" i="1" s="1"/>
  <c r="H450" i="1"/>
  <c r="F451" i="1"/>
  <c r="H451" i="1"/>
  <c r="H631" i="1" s="1"/>
  <c r="F460" i="1"/>
  <c r="G460" i="1"/>
  <c r="G466" i="1" s="1"/>
  <c r="H613" i="1" s="1"/>
  <c r="H460" i="1"/>
  <c r="H466" i="1" s="1"/>
  <c r="H614" i="1" s="1"/>
  <c r="I460" i="1"/>
  <c r="J460" i="1"/>
  <c r="F464" i="1"/>
  <c r="F466" i="1" s="1"/>
  <c r="H612" i="1" s="1"/>
  <c r="J612" i="1" s="1"/>
  <c r="G464" i="1"/>
  <c r="H464" i="1"/>
  <c r="I464" i="1"/>
  <c r="J464" i="1"/>
  <c r="J466" i="1" s="1"/>
  <c r="H616" i="1" s="1"/>
  <c r="I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J535" i="1" s="1"/>
  <c r="K514" i="1"/>
  <c r="K535" i="1" s="1"/>
  <c r="L514" i="1"/>
  <c r="F519" i="1"/>
  <c r="G519" i="1"/>
  <c r="H519" i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H535" i="1"/>
  <c r="L547" i="1"/>
  <c r="L550" i="1" s="1"/>
  <c r="L548" i="1"/>
  <c r="L549" i="1"/>
  <c r="F550" i="1"/>
  <c r="F561" i="1" s="1"/>
  <c r="G550" i="1"/>
  <c r="H550" i="1"/>
  <c r="I550" i="1"/>
  <c r="I561" i="1" s="1"/>
  <c r="J550" i="1"/>
  <c r="J561" i="1" s="1"/>
  <c r="K550" i="1"/>
  <c r="L552" i="1"/>
  <c r="L553" i="1"/>
  <c r="L554" i="1"/>
  <c r="F555" i="1"/>
  <c r="G555" i="1"/>
  <c r="H555" i="1"/>
  <c r="H561" i="1" s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K587" i="1"/>
  <c r="H588" i="1"/>
  <c r="I588" i="1"/>
  <c r="J588" i="1"/>
  <c r="H641" i="1" s="1"/>
  <c r="J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J607" i="1" s="1"/>
  <c r="H607" i="1"/>
  <c r="G609" i="1"/>
  <c r="G610" i="1"/>
  <c r="J610" i="1" s="1"/>
  <c r="G612" i="1"/>
  <c r="G614" i="1"/>
  <c r="G615" i="1"/>
  <c r="J615" i="1" s="1"/>
  <c r="H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0" i="1"/>
  <c r="J630" i="1" s="1"/>
  <c r="G633" i="1"/>
  <c r="G634" i="1"/>
  <c r="G635" i="1"/>
  <c r="G639" i="1"/>
  <c r="J639" i="1" s="1"/>
  <c r="H639" i="1"/>
  <c r="H640" i="1"/>
  <c r="G641" i="1"/>
  <c r="G642" i="1"/>
  <c r="J642" i="1" s="1"/>
  <c r="H642" i="1"/>
  <c r="G643" i="1"/>
  <c r="J643" i="1" s="1"/>
  <c r="H643" i="1"/>
  <c r="G644" i="1"/>
  <c r="H644" i="1"/>
  <c r="J644" i="1" s="1"/>
  <c r="G645" i="1"/>
  <c r="H645" i="1"/>
  <c r="J645" i="1"/>
  <c r="G36" i="2" l="1"/>
  <c r="J43" i="1"/>
  <c r="F650" i="1"/>
  <c r="G9" i="2"/>
  <c r="G19" i="2" s="1"/>
  <c r="J19" i="1"/>
  <c r="G611" i="1" s="1"/>
  <c r="C96" i="2"/>
  <c r="J635" i="1"/>
  <c r="I653" i="1"/>
  <c r="E96" i="2"/>
  <c r="K539" i="1"/>
  <c r="F542" i="1"/>
  <c r="J634" i="1"/>
  <c r="G22" i="2"/>
  <c r="G32" i="2" s="1"/>
  <c r="J33" i="1"/>
  <c r="H185" i="1"/>
  <c r="G619" i="1" s="1"/>
  <c r="J619" i="1" s="1"/>
  <c r="C5" i="13"/>
  <c r="D33" i="13"/>
  <c r="D36" i="13" s="1"/>
  <c r="E33" i="13"/>
  <c r="D35" i="13" s="1"/>
  <c r="C8" i="13"/>
  <c r="L330" i="1"/>
  <c r="L344" i="1" s="1"/>
  <c r="G623" i="1" s="1"/>
  <c r="J623" i="1" s="1"/>
  <c r="D31" i="13"/>
  <c r="C31" i="13" s="1"/>
  <c r="C107" i="2"/>
  <c r="H542" i="1"/>
  <c r="H654" i="1"/>
  <c r="H638" i="1"/>
  <c r="J263" i="1"/>
  <c r="C120" i="2"/>
  <c r="G650" i="1"/>
  <c r="G654" i="1" s="1"/>
  <c r="E107" i="2"/>
  <c r="E137" i="2" s="1"/>
  <c r="C136" i="2"/>
  <c r="G137" i="2"/>
  <c r="J637" i="1"/>
  <c r="L561" i="1"/>
  <c r="F43" i="2"/>
  <c r="C38" i="10"/>
  <c r="C36" i="10"/>
  <c r="E120" i="2"/>
  <c r="J614" i="1"/>
  <c r="J638" i="1"/>
  <c r="J613" i="1"/>
  <c r="D43" i="2"/>
  <c r="E43" i="2"/>
  <c r="G542" i="1"/>
  <c r="C39" i="10"/>
  <c r="J185" i="1"/>
  <c r="C133" i="2"/>
  <c r="L426" i="1"/>
  <c r="G628" i="1" s="1"/>
  <c r="J628" i="1" s="1"/>
  <c r="D137" i="2"/>
  <c r="E73" i="2"/>
  <c r="F55" i="2"/>
  <c r="F96" i="2" s="1"/>
  <c r="K541" i="1"/>
  <c r="G625" i="1"/>
  <c r="J625" i="1" s="1"/>
  <c r="C27" i="10"/>
  <c r="L519" i="1"/>
  <c r="L535" i="1" s="1"/>
  <c r="C113" i="2"/>
  <c r="F652" i="1"/>
  <c r="I652" i="1" s="1"/>
  <c r="C16" i="10"/>
  <c r="D15" i="13"/>
  <c r="C15" i="13" s="1"/>
  <c r="D12" i="13"/>
  <c r="C12" i="13" s="1"/>
  <c r="D6" i="13"/>
  <c r="C6" i="13" s="1"/>
  <c r="I444" i="1"/>
  <c r="I451" i="1" s="1"/>
  <c r="H632" i="1" s="1"/>
  <c r="L400" i="1"/>
  <c r="C153" i="2"/>
  <c r="G153" i="2" s="1"/>
  <c r="D77" i="2"/>
  <c r="D83" i="2" s="1"/>
  <c r="D96" i="2" s="1"/>
  <c r="H540" i="1"/>
  <c r="G44" i="1"/>
  <c r="H608" i="1" s="1"/>
  <c r="J608" i="1" s="1"/>
  <c r="C156" i="2"/>
  <c r="G156" i="2" s="1"/>
  <c r="J38" i="1"/>
  <c r="G37" i="2" s="1"/>
  <c r="C13" i="10"/>
  <c r="L604" i="1"/>
  <c r="F651" i="1"/>
  <c r="I651" i="1" s="1"/>
  <c r="G48" i="2"/>
  <c r="G55" i="2" s="1"/>
  <c r="G96" i="2" s="1"/>
  <c r="I438" i="1"/>
  <c r="G632" i="1" s="1"/>
  <c r="J632" i="1" s="1"/>
  <c r="H33" i="13"/>
  <c r="E13" i="13"/>
  <c r="C13" i="13" s="1"/>
  <c r="L374" i="1"/>
  <c r="G626" i="1" s="1"/>
  <c r="J626" i="1" s="1"/>
  <c r="L249" i="1"/>
  <c r="L263" i="1" s="1"/>
  <c r="G622" i="1" s="1"/>
  <c r="J622" i="1" s="1"/>
  <c r="F122" i="2"/>
  <c r="F136" i="2" s="1"/>
  <c r="F137" i="2" s="1"/>
  <c r="I540" i="1"/>
  <c r="I542" i="1" s="1"/>
  <c r="F104" i="1"/>
  <c r="F185" i="1" s="1"/>
  <c r="G617" i="1" s="1"/>
  <c r="J617" i="1" s="1"/>
  <c r="C115" i="2"/>
  <c r="E102" i="2"/>
  <c r="K330" i="1"/>
  <c r="K344" i="1" s="1"/>
  <c r="C19" i="10"/>
  <c r="H657" i="1" l="1"/>
  <c r="H662" i="1"/>
  <c r="C6" i="10" s="1"/>
  <c r="J611" i="1"/>
  <c r="D27" i="10"/>
  <c r="G627" i="1"/>
  <c r="J627" i="1" s="1"/>
  <c r="H636" i="1"/>
  <c r="F654" i="1"/>
  <c r="I650" i="1"/>
  <c r="I654" i="1" s="1"/>
  <c r="C137" i="2"/>
  <c r="K540" i="1"/>
  <c r="K542" i="1" s="1"/>
  <c r="C41" i="10"/>
  <c r="D36" i="10" s="1"/>
  <c r="G616" i="1"/>
  <c r="J44" i="1"/>
  <c r="H611" i="1" s="1"/>
  <c r="G657" i="1"/>
  <c r="G662" i="1"/>
  <c r="C5" i="10" s="1"/>
  <c r="G42" i="2"/>
  <c r="G43" i="2" s="1"/>
  <c r="C28" i="10"/>
  <c r="D19" i="10" s="1"/>
  <c r="G621" i="1"/>
  <c r="J621" i="1" s="1"/>
  <c r="G636" i="1"/>
  <c r="D16" i="10" l="1"/>
  <c r="C30" i="10"/>
  <c r="D22" i="10"/>
  <c r="D24" i="10"/>
  <c r="D25" i="10"/>
  <c r="D10" i="10"/>
  <c r="D28" i="10" s="1"/>
  <c r="D15" i="10"/>
  <c r="D11" i="10"/>
  <c r="D12" i="10"/>
  <c r="D26" i="10"/>
  <c r="D21" i="10"/>
  <c r="D18" i="10"/>
  <c r="D20" i="10"/>
  <c r="D23" i="10"/>
  <c r="D17" i="10"/>
  <c r="D38" i="10"/>
  <c r="J616" i="1"/>
  <c r="H646" i="1"/>
  <c r="D13" i="10"/>
  <c r="D40" i="10"/>
  <c r="D35" i="10"/>
  <c r="D37" i="10"/>
  <c r="J636" i="1"/>
  <c r="I662" i="1"/>
  <c r="C7" i="10" s="1"/>
  <c r="I657" i="1"/>
  <c r="F662" i="1"/>
  <c r="C4" i="10" s="1"/>
  <c r="F657" i="1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01FBBF6-9B3E-4524-A6A6-E460CF6CE71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DA75F3E-1E17-4C28-B49B-C069B5C02CF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2C69C87-4D6F-45A7-8AE0-10B006D072A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C4A4874-D9D2-4073-9FBF-A0FDC853080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9833B2F-1990-4ED1-A932-0FFA5ADEA67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ADDAB79-B3B1-490E-A386-3BD43EAE597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4907D7A-8DAA-40F8-85FA-5EB91971089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DE86C34-C2E9-454B-AB08-384A2D67B0E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FBD03B0-9CDF-4F78-AEE2-F53E1954529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E3B2071-BB99-413D-885A-02354029BBA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587A162-8603-4FB3-B58D-C9F14F198EB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0ECBBDC-B69B-435F-BF64-4111154CE4B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<sst xmlns="http://schemas.openxmlformats.org/spreadsheetml/2006/main" count="3865" uniqueCount="902">
  <si>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</si>
  <si>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</si>
  <si>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</si>
  <si>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</si>
  <si>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</si>
  <si>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</si>
  <si>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</si>
  <si>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</si>
  <si>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</si>
  <si>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</si>
  <si>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</si>
  <si>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</si>
  <si>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</si>
  <si>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</si>
  <si>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</si>
  <si>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</si>
  <si>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</si>
  <si>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</si>
  <si>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</si>
  <si>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</si>
  <si>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</si>
  <si>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</si>
  <si>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</si>
  <si>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</si>
  <si>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</si>
  <si>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</si>
  <si>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</si>
  <si>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</si>
  <si>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</si>
  <si>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</si>
  <si>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</si>
  <si>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</si>
  <si>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</si>
  <si>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</si>
  <si>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</si>
  <si>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</si>
  <si>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</si>
  <si>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</si>
  <si>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</si>
  <si>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</si>
  <si>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</si>
  <si>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</si>
  <si>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</si>
  <si>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</si>
  <si>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</si>
  <si>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</si>
  <si>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</si>
  <si>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</si>
  <si>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</si>
  <si>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</si>
  <si>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</si>
  <si>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</si>
  <si>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</si>
  <si>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</si>
  <si>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</si>
  <si>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</si>
  <si>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</si>
  <si>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</si>
  <si>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</si>
  <si>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</si>
  <si>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</si>
  <si>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</si>
  <si>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</si>
  <si>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</si>
  <si>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</si>
  <si>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</si>
  <si>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</si>
  <si>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</si>
  <si>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</si>
  <si>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</si>
  <si>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</si>
  <si>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</si>
  <si>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</si>
  <si>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</si>
  <si>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</si>
  <si>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</si>
  <si>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</si>
  <si>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</si>
  <si>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</si>
  <si>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</si>
  <si>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</si>
  <si>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</si>
  <si>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</si>
  <si>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</si>
  <si>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</si>
  <si>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</si>
  <si>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</si>
  <si>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</si>
  <si>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</si>
  <si>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</si>
  <si>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</si>
  <si>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</si>
  <si>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</si>
  <si>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</si>
  <si>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</si>
  <si>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</si>
  <si>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</si>
  <si>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</si>
  <si>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</si>
  <si>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</si>
  <si>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</si>
  <si>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</si>
  <si>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</si>
  <si>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</si>
  <si>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</si>
  <si>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</si>
  <si>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</si>
  <si>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</si>
  <si>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</si>
  <si>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</si>
  <si>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</si>
  <si>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</si>
  <si>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</si>
  <si>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</si>
  <si>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</si>
  <si>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</si>
  <si>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</si>
  <si>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</si>
  <si>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</si>
  <si>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</si>
  <si>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</si>
  <si>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</si>
  <si>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</si>
  <si>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</si>
  <si>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</si>
  <si>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</si>
  <si>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</si>
  <si>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</si>
  <si>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</si>
  <si>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</si>
  <si>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</si>
  <si>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</si>
  <si>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</si>
  <si>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</si>
  <si>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</si>
  <si>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</si>
  <si>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</si>
  <si>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</si>
  <si>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</si>
  <si>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</si>
  <si>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</si>
  <si>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</si>
  <si>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</si>
  <si>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</si>
  <si>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</si>
  <si>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</si>
  <si>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</si>
  <si>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</si>
  <si>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</si>
  <si>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</si>
  <si>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</si>
  <si>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</si>
  <si>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</si>
  <si>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</si>
  <si>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</si>
  <si>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</si>
  <si>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</si>
  <si>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</si>
  <si>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</si>
  <si>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</si>
  <si>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</si>
  <si>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</si>
  <si>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</si>
  <si>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</si>
  <si>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</si>
  <si>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</si>
  <si>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</si>
  <si>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</si>
  <si>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</si>
  <si>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</si>
  <si>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</si>
  <si>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</si>
  <si>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</si>
  <si>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</si>
  <si>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</si>
  <si>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</si>
  <si>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</si>
  <si>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</si>
  <si>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</si>
  <si>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</si>
  <si>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</si>
  <si>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</si>
  <si>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</si>
  <si>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</si>
  <si>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</si>
  <si>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</si>
  <si>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</si>
  <si>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</si>
  <si>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</si>
  <si>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</si>
  <si>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</si>
  <si>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</si>
  <si>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</si>
  <si>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</si>
  <si>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</si>
  <si>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</si>
  <si>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</si>
  <si>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</si>
  <si>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</si>
  <si>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</si>
  <si>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</si>
  <si>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</si>
  <si>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</si>
  <si>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</si>
  <si>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</si>
  <si>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</si>
  <si>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</si>
  <si>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</si>
  <si>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</si>
  <si>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</si>
  <si>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</si>
  <si>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</si>
  <si>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</si>
  <si>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</si>
  <si>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</si>
  <si>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</si>
  <si>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</si>
  <si>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</si>
  <si>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</si>
  <si>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</si>
  <si>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</si>
  <si>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</si>
  <si>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</si>
  <si>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</si>
  <si>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</si>
  <si>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</si>
  <si>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</si>
  <si>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</si>
  <si>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</si>
  <si>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</si>
  <si>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</si>
  <si>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</si>
  <si>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</si>
  <si>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</si>
  <si>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</si>
  <si>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</si>
  <si>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</si>
  <si>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</si>
  <si>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</si>
  <si>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</si>
  <si>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</si>
  <si>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</si>
  <si>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</si>
  <si>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</si>
  <si>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</si>
  <si>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</si>
  <si>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</si>
  <si>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</si>
  <si>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</si>
  <si>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</si>
  <si>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</si>
  <si>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</si>
  <si>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</si>
  <si>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</si>
  <si>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</si>
  <si>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</si>
  <si>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</si>
  <si>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</si>
  <si>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</si>
  <si>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</si>
  <si>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</si>
  <si>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</si>
  <si>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</si>
  <si>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</si>
  <si>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</si>
  <si>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</si>
  <si>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</si>
  <si>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</si>
  <si>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</si>
  <si>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</si>
  <si>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</si>
  <si>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</si>
  <si>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</si>
  <si>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</si>
  <si>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</si>
  <si>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</si>
  <si>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</si>
  <si>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</si>
  <si>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</si>
  <si>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</si>
  <si>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</si>
  <si>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</si>
  <si>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</si>
  <si>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</si>
  <si>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</si>
  <si>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</si>
  <si>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</si>
  <si>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</si>
  <si>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</si>
  <si>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</si>
  <si>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</si>
  <si>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</si>
  <si>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</si>
  <si>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</si>
  <si>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</si>
  <si>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</si>
  <si>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</si>
  <si>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</si>
  <si>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</si>
  <si>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</si>
  <si>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</si>
  <si>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</si>
  <si>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</si>
  <si>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</si>
  <si>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</si>
  <si>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</si>
  <si>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</si>
  <si>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</si>
  <si>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</si>
  <si>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</si>
  <si>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</si>
  <si>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</si>
  <si>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</si>
  <si>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</si>
  <si>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</si>
  <si>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</si>
  <si>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</si>
  <si>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</si>
  <si>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</si>
  <si>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</si>
  <si>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</si>
  <si>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</si>
  <si>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</si>
  <si>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</si>
  <si>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</si>
  <si>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</si>
  <si>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</si>
  <si>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</si>
  <si>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</si>
  <si>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</si>
  <si>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</si>
  <si>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</si>
  <si>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</si>
  <si>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</si>
  <si>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</si>
  <si>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</si>
  <si>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</si>
  <si>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</si>
  <si>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</si>
  <si>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</si>
  <si>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</si>
  <si>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</si>
  <si>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</si>
  <si>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</si>
  <si>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</si>
  <si>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</si>
  <si>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</si>
  <si>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</si>
  <si>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</si>
  <si>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</si>
  <si>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</si>
  <si>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</si>
  <si>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</si>
  <si>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</si>
  <si>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</si>
  <si>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</si>
  <si>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</si>
  <si>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</si>
  <si>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</si>
  <si>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</si>
  <si>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</si>
  <si>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</si>
  <si>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</si>
  <si>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</si>
  <si>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</si>
  <si>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</si>
  <si>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</si>
  <si>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</si>
  <si>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</si>
  <si>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</si>
  <si>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</si>
  <si>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</si>
  <si>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</si>
  <si>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</si>
  <si>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</si>
  <si>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</si>
  <si>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</si>
  <si>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</si>
  <si>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</si>
  <si>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</si>
  <si>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</si>
  <si>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</si>
  <si>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</si>
  <si>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</si>
  <si>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</si>
  <si>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</si>
  <si>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</si>
  <si>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</si>
  <si>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</si>
  <si>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</si>
  <si>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</si>
  <si>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</si>
  <si>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</si>
  <si>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</si>
  <si>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</si>
  <si>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</si>
  <si>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</si>
  <si>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</si>
  <si>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</si>
  <si>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</si>
  <si>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</si>
  <si>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</si>
  <si>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</si>
  <si>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</si>
  <si>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</si>
  <si>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</si>
  <si>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</si>
  <si>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</si>
  <si>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</si>
  <si>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</si>
  <si>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</si>
  <si>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</si>
  <si>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</si>
  <si>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</si>
  <si>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</si>
  <si>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</si>
  <si>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</si>
  <si>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</si>
  <si>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</si>
  <si>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</si>
  <si>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</si>
  <si>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</si>
  <si>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</si>
  <si>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</si>
  <si>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</si>
  <si>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</si>
  <si>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</si>
  <si>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</si>
  <si>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</si>
  <si>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</si>
  <si>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</si>
  <si>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</si>
  <si>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</si>
  <si>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</si>
  <si>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</si>
  <si>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</si>
  <si>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</si>
  <si>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</si>
  <si>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</si>
  <si>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</si>
  <si>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</si>
  <si>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</si>
  <si>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</si>
  <si>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</si>
  <si>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</si>
  <si>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</si>
  <si>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</si>
  <si>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</si>
  <si>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</si>
  <si>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</si>
  <si>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</si>
  <si>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</si>
  <si>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</si>
  <si>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</si>
  <si>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</si>
  <si>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</si>
  <si>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</si>
  <si>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</si>
  <si>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</si>
  <si>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</si>
  <si>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</si>
  <si>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</si>
  <si>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</si>
  <si>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</si>
  <si>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</si>
  <si>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</si>
  <si>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</si>
  <si>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</si>
  <si>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</si>
  <si>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</si>
  <si>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</si>
  <si>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</si>
  <si>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</si>
  <si>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</si>
  <si>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</si>
  <si>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</si>
  <si>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</si>
  <si>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</si>
  <si>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</si>
  <si>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</si>
  <si>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</si>
  <si>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</si>
  <si>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</si>
  <si>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</si>
  <si>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</si>
  <si>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</si>
  <si>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</si>
  <si>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</si>
  <si>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</si>
  <si>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</si>
  <si>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</si>
  <si>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</si>
  <si>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</si>
  <si>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</si>
  <si>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</si>
  <si>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</si>
  <si>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</si>
  <si>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</si>
  <si>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</si>
  <si>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</si>
  <si>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</si>
  <si>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</si>
  <si>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</si>
  <si>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</si>
  <si>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</si>
  <si>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</si>
  <si>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</si>
  <si>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</si>
  <si>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</si>
  <si>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</si>
  <si>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</si>
  <si>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</si>
  <si>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</si>
  <si>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</si>
  <si>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</si>
  <si>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</si>
  <si>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</si>
  <si>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</si>
  <si>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</si>
  <si>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</si>
  <si>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</si>
  <si>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</si>
  <si>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</si>
  <si>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</si>
  <si>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</si>
  <si>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</si>
  <si>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</si>
  <si>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</si>
  <si>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</si>
  <si>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</si>
  <si>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</si>
  <si>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</si>
  <si>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</si>
  <si>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</si>
  <si>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</si>
  <si>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</si>
  <si>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</si>
  <si>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</si>
  <si>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</si>
  <si>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</si>
  <si>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</si>
  <si>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</si>
  <si>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</si>
  <si>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</si>
  <si>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</si>
  <si>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</si>
  <si>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</si>
  <si>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</si>
  <si>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</si>
  <si>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</si>
  <si>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</si>
  <si>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</si>
  <si>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</si>
  <si>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</si>
  <si>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</si>
  <si>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</si>
  <si>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</si>
  <si>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</si>
  <si>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</si>
  <si>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</si>
  <si>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</si>
  <si>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</si>
  <si>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</si>
  <si>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</si>
  <si>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</si>
  <si>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</si>
  <si>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</si>
  <si>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</si>
  <si>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</si>
  <si>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</si>
  <si>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</si>
  <si>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</si>
  <si>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</si>
  <si>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</si>
  <si>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</si>
  <si>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</si>
  <si>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</si>
  <si>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</si>
  <si>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</si>
  <si>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</si>
  <si>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</si>
  <si>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</si>
  <si>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</si>
  <si>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</si>
  <si>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</si>
  <si>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</si>
  <si>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</si>
  <si>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</si>
  <si>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</si>
  <si>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</si>
  <si>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</si>
  <si>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</si>
  <si>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</si>
  <si>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</si>
  <si>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</si>
  <si>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</si>
  <si>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</si>
  <si>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</si>
  <si>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</si>
  <si>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</si>
  <si>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</si>
  <si>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</si>
  <si>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</si>
  <si>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</si>
  <si>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</si>
  <si>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</si>
  <si>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</si>
  <si>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</si>
  <si>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</si>
  <si>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</si>
  <si>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</si>
  <si>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</si>
  <si>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</si>
  <si>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</si>
  <si>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</si>
  <si>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</si>
  <si>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</si>
  <si>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</si>
  <si>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</si>
  <si>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</si>
  <si>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</si>
  <si>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</si>
  <si>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</si>
  <si>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</si>
  <si>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</si>
  <si>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</si>
  <si>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</si>
  <si>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</si>
  <si>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</si>
  <si>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</si>
  <si>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</si>
  <si>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</si>
  <si>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</si>
  <si>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</si>
  <si>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</si>
  <si>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</si>
  <si>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</si>
  <si>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</si>
  <si>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</si>
  <si>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</si>
  <si>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</si>
  <si>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</si>
  <si>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</si>
  <si>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</si>
  <si>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</si>
  <si>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</si>
  <si>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</si>
  <si>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</si>
  <si>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</si>
  <si>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</si>
  <si>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</si>
  <si>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</si>
  <si>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</si>
  <si>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</si>
  <si>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</si>
  <si>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</si>
  <si>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</si>
  <si>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</si>
  <si>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</si>
  <si>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</si>
  <si>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</si>
  <si>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</si>
  <si>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</si>
  <si>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</si>
  <si>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</si>
  <si>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</si>
  <si>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</si>
  <si>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</si>
  <si>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</si>
  <si>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</si>
  <si>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</si>
  <si>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</si>
  <si>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</si>
  <si>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</si>
  <si>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</si>
  <si>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</si>
  <si>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</si>
  <si>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</si>
  <si>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</si>
  <si>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</si>
  <si>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</si>
  <si>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</si>
  <si>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</si>
  <si>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</si>
  <si>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</si>
  <si>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</si>
  <si>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</si>
  <si>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</si>
  <si>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</si>
  <si>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</si>
  <si>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</si>
  <si>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</si>
  <si>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</si>
  <si>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</si>
  <si>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</si>
  <si>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</si>
  <si>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</si>
  <si>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</si>
  <si>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</si>
  <si>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</si>
  <si>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</si>
  <si>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</si>
  <si>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</si>
  <si>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</si>
  <si>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</si>
  <si>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</si>
  <si>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</si>
  <si>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</si>
  <si>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</si>
  <si>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</si>
  <si>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</si>
  <si>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</si>
  <si>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</si>
  <si>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</si>
  <si>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</si>
  <si>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</si>
  <si>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</si>
  <si>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</si>
  <si>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</si>
  <si>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</si>
  <si>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</si>
  <si>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</si>
  <si>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</si>
  <si>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</si>
  <si>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</si>
  <si>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</si>
  <si>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</si>
  <si>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</si>
  <si>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</si>
  <si>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</si>
  <si>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</si>
  <si>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</si>
  <si>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</si>
  <si>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</si>
  <si>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</si>
  <si>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</si>
  <si>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</si>
  <si>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</si>
  <si>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</si>
  <si>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</si>
  <si>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</si>
  <si>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</si>
  <si>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</si>
  <si>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</si>
  <si>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</si>
  <si>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</si>
  <si>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</si>
  <si>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</si>
  <si>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</si>
  <si>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</si>
  <si>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</si>
  <si>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</si>
  <si>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</si>
  <si>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</si>
  <si>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</si>
  <si>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</si>
  <si>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</si>
  <si>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</si>
  <si>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</si>
  <si>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</si>
  <si>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</si>
  <si>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</si>
  <si>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</si>
  <si>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</si>
  <si>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</si>
  <si>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</si>
  <si>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</si>
  <si>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</si>
  <si>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</si>
  <si>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</si>
  <si>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</si>
  <si>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</si>
  <si>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</si>
  <si>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</si>
  <si>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</si>
  <si>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</si>
  <si>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</si>
  <si>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</si>
  <si>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</si>
  <si>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</si>
  <si>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</si>
  <si>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</si>
  <si>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</si>
  <si>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</si>
  <si>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</si>
  <si>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</si>
  <si>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</si>
  <si>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</si>
  <si>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</si>
  <si>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</si>
  <si>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</si>
  <si>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</si>
  <si>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</si>
  <si>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</si>
  <si>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</si>
  <si>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</si>
  <si>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</si>
  <si>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</si>
  <si>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</si>
  <si>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</si>
  <si>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</si>
  <si>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</si>
  <si>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</si>
  <si>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</si>
  <si>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</si>
  <si>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</si>
  <si>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</si>
  <si>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</si>
  <si>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</si>
  <si>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</si>
  <si>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</si>
  <si>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</si>
  <si>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</si>
  <si>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</si>
  <si>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</si>
  <si>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</si>
  <si>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</si>
  <si>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</si>
  <si>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</si>
  <si>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</si>
  <si>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</si>
  <si>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</si>
  <si>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</si>
  <si>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</si>
  <si>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</si>
  <si>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</si>
  <si>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</si>
  <si>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</si>
  <si>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</si>
  <si>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</si>
  <si>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</si>
  <si>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</si>
  <si>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</si>
  <si>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</si>
  <si>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</si>
  <si>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</si>
  <si>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</si>
  <si>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</si>
  <si>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</si>
  <si>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</si>
  <si>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</si>
  <si>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</si>
  <si>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</si>
  <si>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</si>
  <si>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</si>
  <si>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</si>
  <si>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</si>
  <si>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</si>
  <si>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</si>
  <si>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</si>
  <si>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</si>
  <si>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</si>
  <si>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</si>
  <si>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</si>
  <si>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</si>
  <si>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</si>
  <si>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</si>
  <si>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</si>
  <si>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</si>
  <si>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</si>
  <si>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</si>
  <si>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</si>
  <si>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</si>
  <si>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</si>
  <si>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</si>
  <si>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</si>
  <si>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</si>
  <si>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</si>
  <si>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</si>
  <si>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</si>
  <si>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</si>
  <si>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</si>
  <si>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</si>
  <si>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</si>
  <si>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</si>
  <si>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</si>
  <si>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</si>
  <si>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</si>
  <si>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</si>
  <si>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</si>
  <si>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</si>
  <si>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</si>
  <si>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</si>
  <si>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</si>
  <si>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</si>
  <si>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</si>
  <si>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</si>
  <si>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</si>
  <si>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</si>
  <si>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</si>
  <si>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</si>
  <si>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</si>
  <si>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</si>
  <si>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</si>
  <si>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Franklin School District</t>
  </si>
  <si>
    <t>08/99</t>
  </si>
  <si>
    <t>08/19</t>
  </si>
  <si>
    <t>05/06</t>
  </si>
  <si>
    <t>05/26</t>
  </si>
  <si>
    <t>1 (1)</t>
  </si>
  <si>
    <t>I adjusted the beginning balance for the General Fund equity to the proper balance to reconcile with my audited financials</t>
  </si>
  <si>
    <t>Amount has been reduced by $49,522.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</si>
</sst>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3AAA-86F0-4A7B-8803-06063685E6F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185</v>
      </c>
      <c r="C2" s="21">
        <v>185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37644</v>
      </c>
      <c r="G9" s="18">
        <v>61155</v>
      </c>
      <c r="H9" s="18"/>
      <c r="I9" s="18"/>
      <c r="J9" s="67">
        <f>SUM(I431)</f>
        <v>260807.92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>
        <v>116.59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545935</v>
      </c>
      <c r="G13" s="18">
        <v>177767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36374</v>
      </c>
      <c r="G14" s="18">
        <v>499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13759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619953</v>
      </c>
      <c r="G19" s="41">
        <f>SUM(G9:G18)</f>
        <v>253180</v>
      </c>
      <c r="H19" s="41">
        <f>SUM(H9:H18)</f>
        <v>0</v>
      </c>
      <c r="I19" s="41">
        <f>SUM(I9:I18)</f>
        <v>116.59</v>
      </c>
      <c r="J19" s="41">
        <f>SUM(J9:J18)</f>
        <v>260807.92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36360</v>
      </c>
      <c r="G23" s="18">
        <v>67977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12317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173747</v>
      </c>
      <c r="G25" s="18">
        <v>3889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34225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384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10672</v>
      </c>
      <c r="G31" s="18">
        <v>5296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2622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267705</v>
      </c>
      <c r="G33" s="41">
        <f>SUM(G23:G32)</f>
        <v>79784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8463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298116</v>
      </c>
      <c r="G37" s="18">
        <v>18000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146933</v>
      </c>
      <c r="H41" s="18"/>
      <c r="I41" s="18">
        <v>116.59</v>
      </c>
      <c r="J41" s="13">
        <f>SUM(I449)</f>
        <v>260807.92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54132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352248</v>
      </c>
      <c r="G43" s="41">
        <f>SUM(G35:G42)</f>
        <v>173396</v>
      </c>
      <c r="H43" s="41">
        <f>SUM(H35:H42)</f>
        <v>0</v>
      </c>
      <c r="I43" s="41">
        <f>SUM(I35:I42)</f>
        <v>116.59</v>
      </c>
      <c r="J43" s="41">
        <f>SUM(J35:J42)</f>
        <v>260807.92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619953</v>
      </c>
      <c r="G44" s="41">
        <f>G43+G33</f>
        <v>253180</v>
      </c>
      <c r="H44" s="41">
        <f>H43+H33</f>
        <v>0</v>
      </c>
      <c r="I44" s="41">
        <f>I43+I33</f>
        <v>116.59</v>
      </c>
      <c r="J44" s="41">
        <f>J43+J33</f>
        <v>260807.92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3005396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3005396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791979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16815+81728</f>
        <v>98543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890522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1016</v>
      </c>
      <c r="G88" s="18">
        <v>366</v>
      </c>
      <c r="H88" s="18"/>
      <c r="I88" s="18"/>
      <c r="J88" s="18">
        <v>695.7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206253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5580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114999</v>
      </c>
      <c r="G102" s="18">
        <v>1217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131595</v>
      </c>
      <c r="G103" s="41">
        <f>SUM(G88:G102)</f>
        <v>207836</v>
      </c>
      <c r="H103" s="41">
        <f>SUM(H88:H102)</f>
        <v>0</v>
      </c>
      <c r="I103" s="41">
        <f>SUM(I88:I102)</f>
        <v>0</v>
      </c>
      <c r="J103" s="41">
        <f>SUM(J88:J102)</f>
        <v>695.7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4027513</v>
      </c>
      <c r="G104" s="41">
        <f>G52+G103</f>
        <v>207836</v>
      </c>
      <c r="H104" s="41">
        <f>H52+H71+H86+H103</f>
        <v>0</v>
      </c>
      <c r="I104" s="41">
        <f>I52+I103</f>
        <v>0</v>
      </c>
      <c r="J104" s="41">
        <f>J52+J103</f>
        <v>695.7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6147907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1425704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2358760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9932371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254838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267552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9033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9920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531423</v>
      </c>
      <c r="G128" s="41">
        <f>SUM(G115:G127)</f>
        <v>9920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10463794</v>
      </c>
      <c r="G132" s="41">
        <f>G113+SUM(G128:G129)</f>
        <v>9920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436948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271233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271233</v>
      </c>
      <c r="G154" s="41">
        <f>SUM(G142:G153)</f>
        <v>436948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271233</v>
      </c>
      <c r="G161" s="41">
        <f>G139+G154+SUM(G155:G160)</f>
        <v>436948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14762540</v>
      </c>
      <c r="G185" s="47">
        <f>G104+G132+G161+G184</f>
        <v>654704</v>
      </c>
      <c r="H185" s="47">
        <f>H104+H132+H161+H184</f>
        <v>0</v>
      </c>
      <c r="I185" s="47">
        <f>I104+I132+I161+I184</f>
        <v>0</v>
      </c>
      <c r="J185" s="47">
        <f>J104+J132+J184</f>
        <v>695.7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1277932</v>
      </c>
      <c r="G189" s="18">
        <v>390981</v>
      </c>
      <c r="H189" s="18">
        <v>27308</v>
      </c>
      <c r="I189" s="18">
        <v>53896</v>
      </c>
      <c r="J189" s="18">
        <v>744</v>
      </c>
      <c r="K189" s="18"/>
      <c r="L189" s="19">
        <f>SUM(F189:K189)</f>
        <v>1750861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638453</v>
      </c>
      <c r="G190" s="18">
        <v>275169</v>
      </c>
      <c r="H190" s="18">
        <v>101473</v>
      </c>
      <c r="I190" s="18">
        <v>5989</v>
      </c>
      <c r="J190" s="18">
        <v>166</v>
      </c>
      <c r="K190" s="18">
        <v>403</v>
      </c>
      <c r="L190" s="19">
        <f>SUM(F190:K190)</f>
        <v>1021653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1500</v>
      </c>
      <c r="G192" s="18">
        <v>219</v>
      </c>
      <c r="H192" s="18"/>
      <c r="I192" s="18"/>
      <c r="J192" s="18"/>
      <c r="K192" s="18"/>
      <c r="L192" s="19">
        <f>SUM(F192:K192)</f>
        <v>1719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275535</v>
      </c>
      <c r="G194" s="18">
        <v>96737</v>
      </c>
      <c r="H194" s="18">
        <v>289104</v>
      </c>
      <c r="I194" s="18">
        <v>5922</v>
      </c>
      <c r="J194" s="18">
        <v>3941</v>
      </c>
      <c r="K194" s="18">
        <v>599</v>
      </c>
      <c r="L194" s="19">
        <f t="shared" ref="L194:L200" si="0">SUM(F194:K194)</f>
        <v>671838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25160</v>
      </c>
      <c r="G195" s="18">
        <v>14820</v>
      </c>
      <c r="H195" s="18">
        <v>26820</v>
      </c>
      <c r="I195" s="18">
        <v>9396</v>
      </c>
      <c r="J195" s="18">
        <v>22389</v>
      </c>
      <c r="K195" s="18"/>
      <c r="L195" s="19">
        <f t="shared" si="0"/>
        <v>98585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1326</v>
      </c>
      <c r="G196" s="18">
        <v>199</v>
      </c>
      <c r="H196" s="18">
        <v>217873</v>
      </c>
      <c r="I196" s="18">
        <v>200</v>
      </c>
      <c r="J196" s="18"/>
      <c r="K196" s="18">
        <v>2138</v>
      </c>
      <c r="L196" s="19">
        <f t="shared" si="0"/>
        <v>221736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206118</v>
      </c>
      <c r="G197" s="18">
        <v>84034</v>
      </c>
      <c r="H197" s="18">
        <v>10726</v>
      </c>
      <c r="I197" s="18">
        <v>1311</v>
      </c>
      <c r="J197" s="18"/>
      <c r="K197" s="18">
        <v>12397</v>
      </c>
      <c r="L197" s="19">
        <f t="shared" si="0"/>
        <v>314586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160164</v>
      </c>
      <c r="G199" s="18">
        <v>76589</v>
      </c>
      <c r="H199" s="18">
        <v>68011</v>
      </c>
      <c r="I199" s="18">
        <v>120577</v>
      </c>
      <c r="J199" s="18">
        <v>3027</v>
      </c>
      <c r="K199" s="18"/>
      <c r="L199" s="19">
        <f t="shared" si="0"/>
        <v>428368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160872</v>
      </c>
      <c r="I200" s="18">
        <v>15822</v>
      </c>
      <c r="J200" s="18"/>
      <c r="K200" s="18"/>
      <c r="L200" s="19">
        <f t="shared" si="0"/>
        <v>176694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37243</v>
      </c>
      <c r="G201" s="18">
        <v>15314</v>
      </c>
      <c r="H201" s="18"/>
      <c r="I201" s="18"/>
      <c r="J201" s="18"/>
      <c r="K201" s="18"/>
      <c r="L201" s="19">
        <f>SUM(F201:K201)</f>
        <v>52557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2623431</v>
      </c>
      <c r="G203" s="41">
        <f t="shared" si="1"/>
        <v>954062</v>
      </c>
      <c r="H203" s="41">
        <f t="shared" si="1"/>
        <v>902187</v>
      </c>
      <c r="I203" s="41">
        <f t="shared" si="1"/>
        <v>213113</v>
      </c>
      <c r="J203" s="41">
        <f t="shared" si="1"/>
        <v>30267</v>
      </c>
      <c r="K203" s="41">
        <f t="shared" si="1"/>
        <v>15537</v>
      </c>
      <c r="L203" s="41">
        <f t="shared" si="1"/>
        <v>4738597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1113801</v>
      </c>
      <c r="G207" s="18">
        <v>367605</v>
      </c>
      <c r="H207" s="18">
        <v>30742</v>
      </c>
      <c r="I207" s="18">
        <v>52859</v>
      </c>
      <c r="J207" s="18">
        <v>1322</v>
      </c>
      <c r="K207" s="18">
        <v>270</v>
      </c>
      <c r="L207" s="19">
        <f>SUM(F207:K207)</f>
        <v>1566599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373668</v>
      </c>
      <c r="G208" s="18">
        <v>163361</v>
      </c>
      <c r="H208" s="18">
        <v>165758</v>
      </c>
      <c r="I208" s="18">
        <v>3575</v>
      </c>
      <c r="J208" s="18">
        <v>931</v>
      </c>
      <c r="K208" s="18">
        <v>702</v>
      </c>
      <c r="L208" s="19">
        <f>SUM(F208:K208)</f>
        <v>707995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27530</v>
      </c>
      <c r="G210" s="18">
        <v>8175</v>
      </c>
      <c r="H210" s="18">
        <v>10492</v>
      </c>
      <c r="I210" s="18">
        <v>4941</v>
      </c>
      <c r="J210" s="18">
        <v>1171</v>
      </c>
      <c r="K210" s="18">
        <v>1189</v>
      </c>
      <c r="L210" s="19">
        <f>SUM(F210:K210)</f>
        <v>53498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155206</v>
      </c>
      <c r="G212" s="18">
        <v>52966</v>
      </c>
      <c r="H212" s="18">
        <v>110861</v>
      </c>
      <c r="I212" s="18">
        <v>1908</v>
      </c>
      <c r="J212" s="18"/>
      <c r="K212" s="18">
        <v>215</v>
      </c>
      <c r="L212" s="19">
        <f t="shared" ref="L212:L218" si="2">SUM(F212:K212)</f>
        <v>321156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42154</v>
      </c>
      <c r="G213" s="18">
        <v>18052</v>
      </c>
      <c r="H213" s="18">
        <v>29110</v>
      </c>
      <c r="I213" s="18">
        <v>10655</v>
      </c>
      <c r="J213" s="18">
        <v>60496</v>
      </c>
      <c r="K213" s="18"/>
      <c r="L213" s="19">
        <f t="shared" si="2"/>
        <v>160467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1287</v>
      </c>
      <c r="G214" s="18">
        <v>193</v>
      </c>
      <c r="H214" s="18">
        <v>211465</v>
      </c>
      <c r="I214" s="18">
        <v>194</v>
      </c>
      <c r="J214" s="18"/>
      <c r="K214" s="18">
        <v>2075</v>
      </c>
      <c r="L214" s="19">
        <f t="shared" si="2"/>
        <v>215214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183236</v>
      </c>
      <c r="G215" s="18">
        <v>65944</v>
      </c>
      <c r="H215" s="18">
        <v>9683</v>
      </c>
      <c r="I215" s="18">
        <v>4156</v>
      </c>
      <c r="J215" s="18"/>
      <c r="K215" s="18">
        <v>2314</v>
      </c>
      <c r="L215" s="19">
        <f t="shared" si="2"/>
        <v>265333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143272</v>
      </c>
      <c r="G217" s="18">
        <v>75281</v>
      </c>
      <c r="H217" s="18">
        <v>69679</v>
      </c>
      <c r="I217" s="18">
        <v>105089</v>
      </c>
      <c r="J217" s="18">
        <v>22760</v>
      </c>
      <c r="K217" s="18"/>
      <c r="L217" s="19">
        <f t="shared" si="2"/>
        <v>416081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169352</v>
      </c>
      <c r="I218" s="18">
        <v>14460</v>
      </c>
      <c r="J218" s="18"/>
      <c r="K218" s="18"/>
      <c r="L218" s="19">
        <f t="shared" si="2"/>
        <v>183812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36148</v>
      </c>
      <c r="G219" s="18">
        <v>14863</v>
      </c>
      <c r="H219" s="18"/>
      <c r="I219" s="18"/>
      <c r="J219" s="18"/>
      <c r="K219" s="18"/>
      <c r="L219" s="19">
        <f>SUM(F219:K219)</f>
        <v>51011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2076302</v>
      </c>
      <c r="G221" s="41">
        <f>SUM(G207:G220)</f>
        <v>766440</v>
      </c>
      <c r="H221" s="41">
        <f>SUM(H207:H220)</f>
        <v>807142</v>
      </c>
      <c r="I221" s="41">
        <f>SUM(I207:I220)</f>
        <v>197837</v>
      </c>
      <c r="J221" s="41">
        <f>SUM(J207:J220)</f>
        <v>86680</v>
      </c>
      <c r="K221" s="41">
        <f t="shared" si="3"/>
        <v>6765</v>
      </c>
      <c r="L221" s="41">
        <f t="shared" si="3"/>
        <v>3941166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1337916</v>
      </c>
      <c r="G225" s="18">
        <v>439934</v>
      </c>
      <c r="H225" s="18">
        <v>40958</v>
      </c>
      <c r="I225" s="18">
        <v>96735</v>
      </c>
      <c r="J225" s="18">
        <v>34415</v>
      </c>
      <c r="K225" s="18">
        <v>3853</v>
      </c>
      <c r="L225" s="19">
        <f>SUM(F225:K225)</f>
        <v>1953811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205605</v>
      </c>
      <c r="G226" s="18">
        <v>78838</v>
      </c>
      <c r="H226" s="18">
        <v>594802</v>
      </c>
      <c r="I226" s="18">
        <v>1507</v>
      </c>
      <c r="J226" s="18">
        <v>4729</v>
      </c>
      <c r="K226" s="18">
        <v>402</v>
      </c>
      <c r="L226" s="19">
        <f>SUM(F226:K226)</f>
        <v>885883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39663</v>
      </c>
      <c r="I227" s="18"/>
      <c r="J227" s="18"/>
      <c r="K227" s="18"/>
      <c r="L227" s="19">
        <f>SUM(F227:K227)</f>
        <v>39663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95733</v>
      </c>
      <c r="G228" s="18">
        <v>31677</v>
      </c>
      <c r="H228" s="18">
        <v>36748</v>
      </c>
      <c r="I228" s="18">
        <v>12577</v>
      </c>
      <c r="J228" s="18">
        <v>19676</v>
      </c>
      <c r="K228" s="18">
        <v>7344</v>
      </c>
      <c r="L228" s="19">
        <f>SUM(F228:K228)</f>
        <v>203755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214638</v>
      </c>
      <c r="G230" s="18">
        <v>83834</v>
      </c>
      <c r="H230" s="18">
        <v>64535</v>
      </c>
      <c r="I230" s="18">
        <v>1926</v>
      </c>
      <c r="J230" s="18">
        <v>1297</v>
      </c>
      <c r="K230" s="18">
        <v>204</v>
      </c>
      <c r="L230" s="19">
        <f t="shared" ref="L230:L236" si="4">SUM(F230:K230)</f>
        <v>366434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46269</v>
      </c>
      <c r="G231" s="18">
        <v>22547</v>
      </c>
      <c r="H231" s="18">
        <v>16274</v>
      </c>
      <c r="I231" s="18">
        <v>16934</v>
      </c>
      <c r="J231" s="18">
        <v>23137</v>
      </c>
      <c r="K231" s="18"/>
      <c r="L231" s="19">
        <f t="shared" si="4"/>
        <v>125161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1287</v>
      </c>
      <c r="G232" s="18">
        <v>193</v>
      </c>
      <c r="H232" s="18">
        <v>211465</v>
      </c>
      <c r="I232" s="18">
        <v>194</v>
      </c>
      <c r="J232" s="18"/>
      <c r="K232" s="18">
        <v>2075</v>
      </c>
      <c r="L232" s="19">
        <f t="shared" si="4"/>
        <v>215214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199903</v>
      </c>
      <c r="G233" s="18">
        <v>93166</v>
      </c>
      <c r="H233" s="18">
        <v>13127</v>
      </c>
      <c r="I233" s="18">
        <v>2673</v>
      </c>
      <c r="J233" s="18"/>
      <c r="K233" s="18">
        <v>5746</v>
      </c>
      <c r="L233" s="19">
        <f t="shared" si="4"/>
        <v>314615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133774</v>
      </c>
      <c r="G235" s="18">
        <v>76303</v>
      </c>
      <c r="H235" s="18">
        <v>133293</v>
      </c>
      <c r="I235" s="18">
        <v>154197</v>
      </c>
      <c r="J235" s="18">
        <v>18147</v>
      </c>
      <c r="K235" s="18"/>
      <c r="L235" s="19">
        <f t="shared" si="4"/>
        <v>515714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241231</v>
      </c>
      <c r="I236" s="18">
        <v>14298</v>
      </c>
      <c r="J236" s="18"/>
      <c r="K236" s="18"/>
      <c r="L236" s="19">
        <f t="shared" si="4"/>
        <v>255529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36148</v>
      </c>
      <c r="G237" s="18">
        <v>14863</v>
      </c>
      <c r="H237" s="18"/>
      <c r="I237" s="18"/>
      <c r="J237" s="18"/>
      <c r="K237" s="18"/>
      <c r="L237" s="19">
        <f>SUM(F237:K237)</f>
        <v>51011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2271273</v>
      </c>
      <c r="G239" s="41">
        <f t="shared" si="5"/>
        <v>841355</v>
      </c>
      <c r="H239" s="41">
        <f t="shared" si="5"/>
        <v>1392096</v>
      </c>
      <c r="I239" s="41">
        <f t="shared" si="5"/>
        <v>301041</v>
      </c>
      <c r="J239" s="41">
        <f t="shared" si="5"/>
        <v>101401</v>
      </c>
      <c r="K239" s="41">
        <f t="shared" si="5"/>
        <v>19624</v>
      </c>
      <c r="L239" s="41">
        <f t="shared" si="5"/>
        <v>4926790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25175</v>
      </c>
      <c r="G243" s="18">
        <v>2089</v>
      </c>
      <c r="H243" s="18"/>
      <c r="I243" s="18"/>
      <c r="J243" s="18"/>
      <c r="K243" s="18"/>
      <c r="L243" s="19">
        <f t="shared" si="6"/>
        <v>27264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25175</v>
      </c>
      <c r="G248" s="41">
        <f t="shared" si="7"/>
        <v>2089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27264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6996181</v>
      </c>
      <c r="G249" s="41">
        <f t="shared" si="8"/>
        <v>2563946</v>
      </c>
      <c r="H249" s="41">
        <f t="shared" si="8"/>
        <v>3101425</v>
      </c>
      <c r="I249" s="41">
        <f t="shared" si="8"/>
        <v>711991</v>
      </c>
      <c r="J249" s="41">
        <f t="shared" si="8"/>
        <v>218348</v>
      </c>
      <c r="K249" s="41">
        <f t="shared" si="8"/>
        <v>41926</v>
      </c>
      <c r="L249" s="41">
        <f t="shared" si="8"/>
        <v>13633817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585262</v>
      </c>
      <c r="L252" s="19">
        <f>SUM(F252:K252)</f>
        <v>585262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245281</v>
      </c>
      <c r="L253" s="19">
        <f>SUM(F253:K253)</f>
        <v>245281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830543</v>
      </c>
      <c r="L262" s="41">
        <f t="shared" si="9"/>
        <v>830543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6996181</v>
      </c>
      <c r="G263" s="42">
        <f t="shared" si="11"/>
        <v>2563946</v>
      </c>
      <c r="H263" s="42">
        <f t="shared" si="11"/>
        <v>3101425</v>
      </c>
      <c r="I263" s="42">
        <f t="shared" si="11"/>
        <v>711991</v>
      </c>
      <c r="J263" s="42">
        <f t="shared" si="11"/>
        <v>218348</v>
      </c>
      <c r="K263" s="42">
        <f t="shared" si="11"/>
        <v>872469</v>
      </c>
      <c r="L263" s="42">
        <f t="shared" si="11"/>
        <v>14464360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87614</v>
      </c>
      <c r="G350" s="18">
        <v>31156</v>
      </c>
      <c r="H350" s="18">
        <v>7667</v>
      </c>
      <c r="I350" s="18">
        <v>100023</v>
      </c>
      <c r="J350" s="18"/>
      <c r="K350" s="18">
        <v>33</v>
      </c>
      <c r="L350" s="13">
        <f>SUM(F350:K350)</f>
        <v>226493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53306</v>
      </c>
      <c r="G351" s="18">
        <v>13092</v>
      </c>
      <c r="H351" s="18">
        <v>7667</v>
      </c>
      <c r="I351" s="18">
        <v>100528</v>
      </c>
      <c r="J351" s="18"/>
      <c r="K351" s="18">
        <v>33</v>
      </c>
      <c r="L351" s="19">
        <f>SUM(F351:K351)</f>
        <v>174626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79206</v>
      </c>
      <c r="G352" s="18">
        <v>27354.9</v>
      </c>
      <c r="H352" s="18">
        <v>7899</v>
      </c>
      <c r="I352" s="18">
        <v>92983</v>
      </c>
      <c r="J352" s="18"/>
      <c r="K352" s="18">
        <v>34</v>
      </c>
      <c r="L352" s="19">
        <f>SUM(F352:K352)</f>
        <v>207476.9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220126</v>
      </c>
      <c r="G354" s="47">
        <f t="shared" si="22"/>
        <v>71602.899999999994</v>
      </c>
      <c r="H354" s="47">
        <f t="shared" si="22"/>
        <v>23233</v>
      </c>
      <c r="I354" s="47">
        <f t="shared" si="22"/>
        <v>293534</v>
      </c>
      <c r="J354" s="47">
        <f t="shared" si="22"/>
        <v>0</v>
      </c>
      <c r="K354" s="47">
        <f t="shared" si="22"/>
        <v>100</v>
      </c>
      <c r="L354" s="47">
        <f t="shared" si="22"/>
        <v>608595.9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97150</v>
      </c>
      <c r="G359" s="18">
        <v>97739</v>
      </c>
      <c r="H359" s="18">
        <v>90194</v>
      </c>
      <c r="I359" s="56">
        <f>SUM(F359:H359)</f>
        <v>285083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2873</v>
      </c>
      <c r="G360" s="63">
        <v>2789</v>
      </c>
      <c r="H360" s="63">
        <v>2789</v>
      </c>
      <c r="I360" s="56">
        <f>SUM(F360:H360)</f>
        <v>8451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100023</v>
      </c>
      <c r="G361" s="47">
        <f>SUM(G359:G360)</f>
        <v>100528</v>
      </c>
      <c r="H361" s="47">
        <f>SUM(H359:H360)</f>
        <v>92983</v>
      </c>
      <c r="I361" s="47">
        <f>SUM(I359:I360)</f>
        <v>293534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274.10000000000002</v>
      </c>
      <c r="I381" s="18"/>
      <c r="J381" s="24" t="s">
        <v>312</v>
      </c>
      <c r="K381" s="24" t="s">
        <v>312</v>
      </c>
      <c r="L381" s="56">
        <f t="shared" si="25"/>
        <v>274.10000000000002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274.10000000000002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274.10000000000002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421.6</v>
      </c>
      <c r="I389" s="18"/>
      <c r="J389" s="24" t="s">
        <v>312</v>
      </c>
      <c r="K389" s="24" t="s">
        <v>312</v>
      </c>
      <c r="L389" s="56">
        <f t="shared" si="26"/>
        <v>421.6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421.6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421.6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695.7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695.7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5437.5</v>
      </c>
      <c r="I407" s="18"/>
      <c r="J407" s="18"/>
      <c r="K407" s="18"/>
      <c r="L407" s="56">
        <f t="shared" si="27"/>
        <v>5437.5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5437.5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5437.5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5437.5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5437.5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260807.92</v>
      </c>
      <c r="G431" s="18"/>
      <c r="H431" s="18"/>
      <c r="I431" s="56">
        <f t="shared" ref="I431:I437" si="33">SUM(F431:H431)</f>
        <v>260807.92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260807.92</v>
      </c>
      <c r="G438" s="13">
        <f>SUM(G431:G437)</f>
        <v>0</v>
      </c>
      <c r="H438" s="13">
        <f>SUM(H431:H437)</f>
        <v>0</v>
      </c>
      <c r="I438" s="13">
        <f>SUM(I431:I437)</f>
        <v>260807.92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260807.92</v>
      </c>
      <c r="G449" s="18"/>
      <c r="H449" s="18"/>
      <c r="I449" s="56">
        <f>SUM(F449:H449)</f>
        <v>260807.92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260807.92</v>
      </c>
      <c r="G450" s="83">
        <f>SUM(G446:G449)</f>
        <v>0</v>
      </c>
      <c r="H450" s="83">
        <f>SUM(H446:H449)</f>
        <v>0</v>
      </c>
      <c r="I450" s="83">
        <f>SUM(I446:I449)</f>
        <v>260807.92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260807.92</v>
      </c>
      <c r="G451" s="42">
        <f>G444+G450</f>
        <v>0</v>
      </c>
      <c r="H451" s="42">
        <f>H444+H450</f>
        <v>0</v>
      </c>
      <c r="I451" s="42">
        <f>I444+I450</f>
        <v>260807.92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54068</v>
      </c>
      <c r="G455" s="18">
        <v>127287.9</v>
      </c>
      <c r="H455" s="18"/>
      <c r="I455" s="18">
        <v>116.59</v>
      </c>
      <c r="J455" s="18">
        <v>265549.71999999997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14762540</f>
        <v>14762540</v>
      </c>
      <c r="G458" s="18">
        <v>654704</v>
      </c>
      <c r="H458" s="18"/>
      <c r="I458" s="18"/>
      <c r="J458" s="18">
        <v>695.7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14762540</v>
      </c>
      <c r="G460" s="53">
        <f>SUM(G458:G459)</f>
        <v>654704</v>
      </c>
      <c r="H460" s="53">
        <f>SUM(H458:H459)</f>
        <v>0</v>
      </c>
      <c r="I460" s="53">
        <f>SUM(I458:I459)</f>
        <v>0</v>
      </c>
      <c r="J460" s="53">
        <f>SUM(J458:J459)</f>
        <v>695.7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14464360</f>
        <v>14464360</v>
      </c>
      <c r="G462" s="18">
        <v>608595.9</v>
      </c>
      <c r="H462" s="18"/>
      <c r="I462" s="18"/>
      <c r="J462" s="18">
        <v>5437.5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14464360</v>
      </c>
      <c r="G464" s="53">
        <f>SUM(G462:G463)</f>
        <v>608595.9</v>
      </c>
      <c r="H464" s="53">
        <f>SUM(H462:H463)</f>
        <v>0</v>
      </c>
      <c r="I464" s="53">
        <f>SUM(I462:I463)</f>
        <v>0</v>
      </c>
      <c r="J464" s="53">
        <f>SUM(J462:J463)</f>
        <v>5437.5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352248</v>
      </c>
      <c r="G466" s="53">
        <f>(G455+G460)- G464</f>
        <v>173396</v>
      </c>
      <c r="H466" s="53">
        <f>(H455+H460)- H464</f>
        <v>0</v>
      </c>
      <c r="I466" s="53">
        <f>(I455+I460)- I464</f>
        <v>116.59</v>
      </c>
      <c r="J466" s="53">
        <f>(J455+J460)- J464</f>
        <v>260807.91999999998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5010376</v>
      </c>
      <c r="G483" s="18">
        <v>2700000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>
        <v>4.29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2500000</v>
      </c>
      <c r="G485" s="18">
        <v>2291394.0299999998</v>
      </c>
      <c r="H485" s="18"/>
      <c r="I485" s="18"/>
      <c r="J485" s="18"/>
      <c r="K485" s="53">
        <f>SUM(F485:J485)</f>
        <v>4791394.0299999993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250000</v>
      </c>
      <c r="G487" s="18">
        <v>142105.26</v>
      </c>
      <c r="H487" s="18"/>
      <c r="I487" s="18"/>
      <c r="J487" s="18"/>
      <c r="K487" s="53">
        <f t="shared" si="34"/>
        <v>392105.26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2250000</v>
      </c>
      <c r="G488" s="205">
        <v>2149288.77</v>
      </c>
      <c r="H488" s="205"/>
      <c r="I488" s="205"/>
      <c r="J488" s="205"/>
      <c r="K488" s="206">
        <f t="shared" si="34"/>
        <v>4399288.7699999996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662812.5</v>
      </c>
      <c r="G489" s="18">
        <v>816905</v>
      </c>
      <c r="H489" s="18"/>
      <c r="I489" s="18"/>
      <c r="J489" s="18"/>
      <c r="K489" s="53">
        <f t="shared" si="34"/>
        <v>1479717.5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2912812.5</v>
      </c>
      <c r="G490" s="42">
        <f>SUM(G488:G489)</f>
        <v>2966193.77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5879006.2699999996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250000</v>
      </c>
      <c r="G491" s="205">
        <v>142105.26</v>
      </c>
      <c r="H491" s="205"/>
      <c r="I491" s="205"/>
      <c r="J491" s="205"/>
      <c r="K491" s="206">
        <f t="shared" si="34"/>
        <v>392105.26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125773</v>
      </c>
      <c r="G492" s="18">
        <v>94931</v>
      </c>
      <c r="H492" s="18"/>
      <c r="I492" s="18"/>
      <c r="J492" s="18"/>
      <c r="K492" s="53">
        <f t="shared" si="34"/>
        <v>220704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375773</v>
      </c>
      <c r="G493" s="42">
        <f>SUM(G491:G492)</f>
        <v>237036.26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612809.26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563861</v>
      </c>
      <c r="G511" s="18">
        <v>246034</v>
      </c>
      <c r="H511" s="18">
        <v>104577</v>
      </c>
      <c r="I511" s="18">
        <v>5217</v>
      </c>
      <c r="J511" s="18">
        <v>159</v>
      </c>
      <c r="K511" s="18"/>
      <c r="L511" s="88">
        <f>SUM(F511:K511)</f>
        <v>919848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330011</v>
      </c>
      <c r="G512" s="18">
        <v>146064</v>
      </c>
      <c r="H512" s="18">
        <v>170828</v>
      </c>
      <c r="I512" s="18">
        <v>3114</v>
      </c>
      <c r="J512" s="18">
        <v>890</v>
      </c>
      <c r="K512" s="18">
        <v>299</v>
      </c>
      <c r="L512" s="88">
        <f>SUM(F512:K512)</f>
        <v>651206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181584</v>
      </c>
      <c r="G513" s="18">
        <v>70491</v>
      </c>
      <c r="H513" s="18">
        <v>613024</v>
      </c>
      <c r="I513" s="18">
        <v>1313</v>
      </c>
      <c r="J513" s="18">
        <v>4528</v>
      </c>
      <c r="K513" s="18"/>
      <c r="L513" s="88">
        <f>SUM(F513:K513)</f>
        <v>870940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1075456</v>
      </c>
      <c r="G514" s="108">
        <f t="shared" ref="G514:L514" si="35">SUM(G511:G513)</f>
        <v>462589</v>
      </c>
      <c r="H514" s="108">
        <f t="shared" si="35"/>
        <v>888429</v>
      </c>
      <c r="I514" s="108">
        <f t="shared" si="35"/>
        <v>9644</v>
      </c>
      <c r="J514" s="108">
        <f t="shared" si="35"/>
        <v>5577</v>
      </c>
      <c r="K514" s="108">
        <f t="shared" si="35"/>
        <v>299</v>
      </c>
      <c r="L514" s="89">
        <f t="shared" si="35"/>
        <v>2441994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63482</v>
      </c>
      <c r="G516" s="18">
        <v>21876</v>
      </c>
      <c r="H516" s="18"/>
      <c r="I516" s="18">
        <v>2156</v>
      </c>
      <c r="J516" s="18"/>
      <c r="K516" s="18"/>
      <c r="L516" s="88">
        <f>SUM(F516:K516)</f>
        <v>87514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26487</v>
      </c>
      <c r="G517" s="18">
        <v>12386</v>
      </c>
      <c r="H517" s="18"/>
      <c r="I517" s="18">
        <v>1487</v>
      </c>
      <c r="J517" s="18">
        <v>879</v>
      </c>
      <c r="K517" s="18"/>
      <c r="L517" s="88">
        <f>SUM(F517:K517)</f>
        <v>41239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20679</v>
      </c>
      <c r="G518" s="18">
        <v>10025</v>
      </c>
      <c r="H518" s="18"/>
      <c r="I518" s="18">
        <v>276</v>
      </c>
      <c r="J518" s="18"/>
      <c r="K518" s="18"/>
      <c r="L518" s="88">
        <f>SUM(F518:K518)</f>
        <v>30980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110648</v>
      </c>
      <c r="G519" s="89">
        <f t="shared" ref="G519:L519" si="36">SUM(G516:G518)</f>
        <v>44287</v>
      </c>
      <c r="H519" s="89">
        <f t="shared" si="36"/>
        <v>0</v>
      </c>
      <c r="I519" s="89">
        <f t="shared" si="36"/>
        <v>3919</v>
      </c>
      <c r="J519" s="89">
        <f t="shared" si="36"/>
        <v>879</v>
      </c>
      <c r="K519" s="89">
        <f t="shared" si="36"/>
        <v>0</v>
      </c>
      <c r="L519" s="89">
        <f t="shared" si="36"/>
        <v>159733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74592</v>
      </c>
      <c r="G521" s="18">
        <v>29135</v>
      </c>
      <c r="H521" s="18"/>
      <c r="I521" s="18"/>
      <c r="J521" s="18"/>
      <c r="K521" s="18"/>
      <c r="L521" s="88">
        <f>SUM(F521:K521)</f>
        <v>103727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43657</v>
      </c>
      <c r="G522" s="18">
        <v>17297</v>
      </c>
      <c r="H522" s="18"/>
      <c r="I522" s="18"/>
      <c r="J522" s="18"/>
      <c r="K522" s="18"/>
      <c r="L522" s="88">
        <f>SUM(F522:K522)</f>
        <v>60954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24021</v>
      </c>
      <c r="G523" s="18">
        <v>8347</v>
      </c>
      <c r="H523" s="18"/>
      <c r="I523" s="18"/>
      <c r="J523" s="18"/>
      <c r="K523" s="18"/>
      <c r="L523" s="88">
        <f>SUM(F523:K523)</f>
        <v>32368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142270</v>
      </c>
      <c r="G524" s="89">
        <f t="shared" ref="G524:L524" si="37">SUM(G521:G523)</f>
        <v>54779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197049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54934</v>
      </c>
      <c r="I531" s="18"/>
      <c r="J531" s="18"/>
      <c r="K531" s="18"/>
      <c r="L531" s="88">
        <f>SUM(F531:K531)</f>
        <v>54934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69380</v>
      </c>
      <c r="I532" s="18"/>
      <c r="J532" s="18"/>
      <c r="K532" s="18"/>
      <c r="L532" s="88">
        <f>SUM(F532:K532)</f>
        <v>69380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118249</v>
      </c>
      <c r="I533" s="18"/>
      <c r="J533" s="18"/>
      <c r="K533" s="18"/>
      <c r="L533" s="88">
        <f>SUM(F533:K533)</f>
        <v>118249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242563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242563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1328374</v>
      </c>
      <c r="G535" s="89">
        <f t="shared" ref="G535:L535" si="40">G514+G519+G524+G529+G534</f>
        <v>561655</v>
      </c>
      <c r="H535" s="89">
        <f t="shared" si="40"/>
        <v>1130992</v>
      </c>
      <c r="I535" s="89">
        <f t="shared" si="40"/>
        <v>13563</v>
      </c>
      <c r="J535" s="89">
        <f t="shared" si="40"/>
        <v>6456</v>
      </c>
      <c r="K535" s="89">
        <f t="shared" si="40"/>
        <v>299</v>
      </c>
      <c r="L535" s="89">
        <f t="shared" si="40"/>
        <v>3041339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919848</v>
      </c>
      <c r="G539" s="87">
        <f>L516</f>
        <v>87514</v>
      </c>
      <c r="H539" s="87">
        <f>L521</f>
        <v>103727</v>
      </c>
      <c r="I539" s="87">
        <f>L526</f>
        <v>0</v>
      </c>
      <c r="J539" s="87">
        <f>L531</f>
        <v>54934</v>
      </c>
      <c r="K539" s="87">
        <f>SUM(F539:J539)</f>
        <v>1166023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651206</v>
      </c>
      <c r="G540" s="87">
        <f>L517</f>
        <v>41239</v>
      </c>
      <c r="H540" s="87">
        <f>L522</f>
        <v>60954</v>
      </c>
      <c r="I540" s="87">
        <f>L527</f>
        <v>0</v>
      </c>
      <c r="J540" s="87">
        <f>L532</f>
        <v>69380</v>
      </c>
      <c r="K540" s="87">
        <f>SUM(F540:J540)</f>
        <v>822779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870940</v>
      </c>
      <c r="G541" s="87">
        <f>L518</f>
        <v>30980</v>
      </c>
      <c r="H541" s="87">
        <f>L523</f>
        <v>32368</v>
      </c>
      <c r="I541" s="87">
        <f>L528</f>
        <v>0</v>
      </c>
      <c r="J541" s="87">
        <f>L533</f>
        <v>118249</v>
      </c>
      <c r="K541" s="87">
        <f>SUM(F541:J541)</f>
        <v>1052537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2441994</v>
      </c>
      <c r="G542" s="89">
        <f t="shared" si="41"/>
        <v>159733</v>
      </c>
      <c r="H542" s="89">
        <f t="shared" si="41"/>
        <v>197049</v>
      </c>
      <c r="I542" s="89">
        <f t="shared" si="41"/>
        <v>0</v>
      </c>
      <c r="J542" s="89">
        <f t="shared" si="41"/>
        <v>242563</v>
      </c>
      <c r="K542" s="89">
        <f t="shared" si="41"/>
        <v>3041339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36299</v>
      </c>
      <c r="G554" s="18">
        <v>12992</v>
      </c>
      <c r="H554" s="18"/>
      <c r="I554" s="18"/>
      <c r="J554" s="18"/>
      <c r="K554" s="18"/>
      <c r="L554" s="88">
        <f>SUM(F554:K554)</f>
        <v>49291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36299</v>
      </c>
      <c r="G555" s="89">
        <f t="shared" si="43"/>
        <v>12992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49291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43325</v>
      </c>
      <c r="G557" s="18">
        <v>9175</v>
      </c>
      <c r="H557" s="18"/>
      <c r="I557" s="18"/>
      <c r="J557" s="18"/>
      <c r="K557" s="18"/>
      <c r="L557" s="88">
        <f>SUM(F557:K557)</f>
        <v>52500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43325</v>
      </c>
      <c r="G560" s="194">
        <f t="shared" ref="G560:L560" si="44">SUM(G557:G559)</f>
        <v>9175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52500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79624</v>
      </c>
      <c r="G561" s="89">
        <f t="shared" ref="G561:L561" si="45">G550+G555+G560</f>
        <v>22167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101791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6918</v>
      </c>
      <c r="I568" s="87">
        <f t="shared" si="46"/>
        <v>6918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43091</v>
      </c>
      <c r="G569" s="18">
        <v>20471</v>
      </c>
      <c r="H569" s="18">
        <v>26069</v>
      </c>
      <c r="I569" s="87">
        <f t="shared" si="46"/>
        <v>89631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50158</v>
      </c>
      <c r="G572" s="18">
        <v>150357</v>
      </c>
      <c r="H572" s="18">
        <v>384505</v>
      </c>
      <c r="I572" s="87">
        <f t="shared" si="46"/>
        <v>585020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154409</v>
      </c>
      <c r="I573" s="87">
        <f t="shared" si="46"/>
        <v>154409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39663</v>
      </c>
      <c r="I574" s="87">
        <f t="shared" si="46"/>
        <v>39663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115002</v>
      </c>
      <c r="I581" s="18">
        <v>105105</v>
      </c>
      <c r="J581" s="18">
        <v>67443</v>
      </c>
      <c r="K581" s="104">
        <f t="shared" ref="K581:K587" si="47">SUM(H581:J581)</f>
        <v>287550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54934</v>
      </c>
      <c r="I582" s="18">
        <v>69380</v>
      </c>
      <c r="J582" s="18">
        <v>118249</v>
      </c>
      <c r="K582" s="104">
        <f t="shared" si="47"/>
        <v>242563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36484</v>
      </c>
      <c r="K583" s="104">
        <f t="shared" si="47"/>
        <v>36484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5943</v>
      </c>
      <c r="J584" s="18">
        <v>30538</v>
      </c>
      <c r="K584" s="104">
        <f t="shared" si="47"/>
        <v>36481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6758</v>
      </c>
      <c r="I585" s="18">
        <v>3384</v>
      </c>
      <c r="J585" s="18">
        <v>2815</v>
      </c>
      <c r="K585" s="104">
        <f t="shared" si="47"/>
        <v>12957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176694</v>
      </c>
      <c r="I588" s="108">
        <f>SUM(I581:I587)</f>
        <v>183812</v>
      </c>
      <c r="J588" s="108">
        <f>SUM(J581:J587)</f>
        <v>255529</v>
      </c>
      <c r="K588" s="108">
        <f>SUM(K581:K587)</f>
        <v>616035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30267</v>
      </c>
      <c r="I594" s="18">
        <v>86680</v>
      </c>
      <c r="J594" s="18">
        <v>101401</v>
      </c>
      <c r="K594" s="104">
        <f>SUM(H594:J594)</f>
        <v>218348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30267</v>
      </c>
      <c r="I595" s="108">
        <f>SUM(I592:I594)</f>
        <v>86680</v>
      </c>
      <c r="J595" s="108">
        <f>SUM(J592:J594)</f>
        <v>101401</v>
      </c>
      <c r="K595" s="108">
        <f>SUM(K592:K594)</f>
        <v>218348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15345</v>
      </c>
      <c r="G601" s="18">
        <v>2162</v>
      </c>
      <c r="H601" s="18"/>
      <c r="I601" s="18">
        <v>479</v>
      </c>
      <c r="J601" s="18"/>
      <c r="K601" s="18"/>
      <c r="L601" s="88">
        <f>SUM(F601:K601)</f>
        <v>17986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4586</v>
      </c>
      <c r="G602" s="18">
        <v>594</v>
      </c>
      <c r="H602" s="18"/>
      <c r="I602" s="18"/>
      <c r="J602" s="18"/>
      <c r="K602" s="18"/>
      <c r="L602" s="88">
        <f>SUM(F602:K602)</f>
        <v>5180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1600</v>
      </c>
      <c r="G603" s="18">
        <v>255</v>
      </c>
      <c r="H603" s="18"/>
      <c r="I603" s="18"/>
      <c r="J603" s="18"/>
      <c r="K603" s="18"/>
      <c r="L603" s="88">
        <f>SUM(F603:K603)</f>
        <v>1855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21531</v>
      </c>
      <c r="G604" s="108">
        <f t="shared" si="48"/>
        <v>3011</v>
      </c>
      <c r="H604" s="108">
        <f t="shared" si="48"/>
        <v>0</v>
      </c>
      <c r="I604" s="108">
        <f t="shared" si="48"/>
        <v>479</v>
      </c>
      <c r="J604" s="108">
        <f t="shared" si="48"/>
        <v>0</v>
      </c>
      <c r="K604" s="108">
        <f t="shared" si="48"/>
        <v>0</v>
      </c>
      <c r="L604" s="89">
        <f t="shared" si="48"/>
        <v>25021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619953</v>
      </c>
      <c r="H607" s="109">
        <f>SUM(F44)</f>
        <v>619953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253180</v>
      </c>
      <c r="H608" s="109">
        <f>SUM(G44)</f>
        <v>253180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116.59</v>
      </c>
      <c r="H610" s="109">
        <f>SUM(I44)</f>
        <v>116.59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260807.92</v>
      </c>
      <c r="H611" s="109">
        <f>SUM(J44)</f>
        <v>260807.92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352248</v>
      </c>
      <c r="H612" s="109">
        <f>F466</f>
        <v>352248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173396</v>
      </c>
      <c r="H613" s="109">
        <f>G466</f>
        <v>173396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116.59</v>
      </c>
      <c r="H615" s="109">
        <f>I466</f>
        <v>116.59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260807.92</v>
      </c>
      <c r="H616" s="109">
        <f>J466</f>
        <v>260807.91999999998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14762540</v>
      </c>
      <c r="H617" s="104">
        <f>SUM(F458)</f>
        <v>14762540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654704</v>
      </c>
      <c r="H618" s="104">
        <f>SUM(G458)</f>
        <v>654704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695.7</v>
      </c>
      <c r="H621" s="104">
        <f>SUM(J458)</f>
        <v>695.7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14464360</v>
      </c>
      <c r="H622" s="104">
        <f>SUM(F462)</f>
        <v>14464360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293534</v>
      </c>
      <c r="H624" s="104">
        <f>I361</f>
        <v>293534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608595.9</v>
      </c>
      <c r="H625" s="104">
        <f>SUM(G462)</f>
        <v>608595.9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695.7</v>
      </c>
      <c r="H627" s="164">
        <f>SUM(J458)</f>
        <v>695.7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5437.5</v>
      </c>
      <c r="H628" s="164">
        <f>SUM(J462)</f>
        <v>5437.5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260807.92</v>
      </c>
      <c r="H629" s="104">
        <f>SUM(F451)</f>
        <v>260807.92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260807.92</v>
      </c>
      <c r="H632" s="104">
        <f>SUM(I451)</f>
        <v>260807.92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695.7</v>
      </c>
      <c r="H634" s="104">
        <f>H400</f>
        <v>695.7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695.7</v>
      </c>
      <c r="H636" s="104">
        <f>L400</f>
        <v>695.7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616035</v>
      </c>
      <c r="H637" s="104">
        <f>L200+L218+L236</f>
        <v>616035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218348</v>
      </c>
      <c r="H638" s="104">
        <f>(J249+J330)-(J247+J328)</f>
        <v>218348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176694</v>
      </c>
      <c r="H639" s="104">
        <f>H588</f>
        <v>176694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183812</v>
      </c>
      <c r="H640" s="104">
        <f>I588</f>
        <v>183812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255529</v>
      </c>
      <c r="H641" s="104">
        <f>J588</f>
        <v>255529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4965090</v>
      </c>
      <c r="G650" s="19">
        <f>(L221+L301+L351)</f>
        <v>4115792</v>
      </c>
      <c r="H650" s="19">
        <f>(L239+L320+L352)</f>
        <v>5134266.9000000004</v>
      </c>
      <c r="I650" s="19">
        <f>SUM(F650:H650)</f>
        <v>14215148.9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77211.33630706351</v>
      </c>
      <c r="G651" s="19">
        <f>(L351/IF(SUM(L350:L352)=0,1,SUM(L350:L352))*(SUM(G89:G102)))</f>
        <v>59529.90518010391</v>
      </c>
      <c r="H651" s="19">
        <f>(L352/IF(SUM(L350:L352)=0,1,SUM(L350:L352))*(SUM(G89:G102)))</f>
        <v>70728.758512832559</v>
      </c>
      <c r="I651" s="19">
        <f>SUM(F651:H651)</f>
        <v>207470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176694</v>
      </c>
      <c r="G652" s="19">
        <f>(L218+L298)-(J218+J298)</f>
        <v>183812</v>
      </c>
      <c r="H652" s="19">
        <f>(L236+L317)-(J236+J317)</f>
        <v>255529</v>
      </c>
      <c r="I652" s="19">
        <f>SUM(F652:H652)</f>
        <v>616035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141502</v>
      </c>
      <c r="G653" s="200">
        <f>SUM(G565:G577)+SUM(I592:I594)+L602</f>
        <v>262688</v>
      </c>
      <c r="H653" s="200">
        <f>SUM(H565:H577)+SUM(J592:J594)+L603</f>
        <v>714820</v>
      </c>
      <c r="I653" s="19">
        <f>SUM(F653:H653)</f>
        <v>1119010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4569682.6636929363</v>
      </c>
      <c r="G654" s="19">
        <f>G650-SUM(G651:G653)</f>
        <v>3609762.0948198959</v>
      </c>
      <c r="H654" s="19">
        <f>H650-SUM(H651:H653)</f>
        <v>4093189.1414871677</v>
      </c>
      <c r="I654" s="19">
        <f>I650-SUM(I651:I653)</f>
        <v>12272633.9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488.71</v>
      </c>
      <c r="G655" s="249">
        <v>446.12</v>
      </c>
      <c r="H655" s="249">
        <v>441.27</v>
      </c>
      <c r="I655" s="19">
        <f>SUM(F655:H655)</f>
        <v>1376.1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9350.5</v>
      </c>
      <c r="G657" s="19">
        <f>ROUND(G654/G655,2)</f>
        <v>8091.46</v>
      </c>
      <c r="H657" s="19">
        <f>ROUND(H654/H655,2)</f>
        <v>9275.93</v>
      </c>
      <c r="I657" s="19">
        <f>ROUND(I654/I655,2)</f>
        <v>8918.42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-9.56</v>
      </c>
      <c r="I660" s="19">
        <f>SUM(F660:H660)</f>
        <v>-9.56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9350.5</v>
      </c>
      <c r="G662" s="19">
        <f>ROUND((G654+G659)/(G655+G660),2)</f>
        <v>8091.46</v>
      </c>
      <c r="H662" s="19">
        <f>ROUND((H654+H659)/(H655+H660),2)</f>
        <v>9481.34</v>
      </c>
      <c r="I662" s="19">
        <f>ROUND((I654+I659)/(I655+I660),2)</f>
        <v>8980.81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8156-9840-4438-B37C-D55AA45DDD5E}">
  <sheetPr>
    <tabColor indexed="20"/>
  </sheetPr>
  <dimension ref="A1:C52"/>
  <sheetViews>
    <sheetView topLeftCell="A13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Franklin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3729649</v>
      </c>
      <c r="C9" s="230">
        <f>'DOE25'!G189+'DOE25'!G207+'DOE25'!G225+'DOE25'!G268+'DOE25'!G287+'DOE25'!G306</f>
        <v>1198520</v>
      </c>
    </row>
    <row r="10" spans="1:3" x14ac:dyDescent="0.2">
      <c r="A10" t="s">
        <v>813</v>
      </c>
      <c r="B10" s="241">
        <v>3674583</v>
      </c>
      <c r="C10" s="241">
        <v>1180825</v>
      </c>
    </row>
    <row r="11" spans="1:3" x14ac:dyDescent="0.2">
      <c r="A11" t="s">
        <v>814</v>
      </c>
      <c r="B11" s="241">
        <v>55066</v>
      </c>
      <c r="C11" s="241">
        <v>17695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3729649</v>
      </c>
      <c r="C13" s="232">
        <f>SUM(C10:C12)</f>
        <v>1198520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1217726</v>
      </c>
      <c r="C18" s="230">
        <f>'DOE25'!G190+'DOE25'!G208+'DOE25'!G226+'DOE25'!G269+'DOE25'!G288+'DOE25'!G307</f>
        <v>517368</v>
      </c>
    </row>
    <row r="19" spans="1:3" x14ac:dyDescent="0.2">
      <c r="A19" t="s">
        <v>813</v>
      </c>
      <c r="B19" s="241">
        <v>675084</v>
      </c>
      <c r="C19" s="241">
        <v>286506</v>
      </c>
    </row>
    <row r="20" spans="1:3" x14ac:dyDescent="0.2">
      <c r="A20" t="s">
        <v>814</v>
      </c>
      <c r="B20" s="241">
        <v>536085</v>
      </c>
      <c r="C20" s="241">
        <v>230360</v>
      </c>
    </row>
    <row r="21" spans="1:3" x14ac:dyDescent="0.2">
      <c r="A21" t="s">
        <v>815</v>
      </c>
      <c r="B21" s="241">
        <v>6557</v>
      </c>
      <c r="C21" s="241">
        <v>502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1217726</v>
      </c>
      <c r="C22" s="232">
        <f>SUM(C19:C21)</f>
        <v>517368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124763</v>
      </c>
      <c r="C36" s="236">
        <f>'DOE25'!G192+'DOE25'!G210+'DOE25'!G228+'DOE25'!G271+'DOE25'!G290+'DOE25'!G309</f>
        <v>40071</v>
      </c>
    </row>
    <row r="37" spans="1:3" x14ac:dyDescent="0.2">
      <c r="A37" t="s">
        <v>813</v>
      </c>
      <c r="B37" s="241">
        <v>111638</v>
      </c>
      <c r="C37" s="241">
        <v>39067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13125</v>
      </c>
      <c r="C39" s="241">
        <v>1004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124763</v>
      </c>
      <c r="C40" s="232">
        <f>SUM(C37:C39)</f>
        <v>40071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85E8-B41C-4361-B767-8C560E71153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Franklin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8185437</v>
      </c>
      <c r="D5" s="20">
        <f>SUM('DOE25'!L189:L192)+SUM('DOE25'!L207:L210)+SUM('DOE25'!L225:L228)-F5-G5</f>
        <v>8108120</v>
      </c>
      <c r="E5" s="244"/>
      <c r="F5" s="256">
        <f>SUM('DOE25'!J189:J192)+SUM('DOE25'!J207:J210)+SUM('DOE25'!J225:J228)</f>
        <v>63154</v>
      </c>
      <c r="G5" s="53">
        <f>SUM('DOE25'!K189:K192)+SUM('DOE25'!K207:K210)+SUM('DOE25'!K225:K228)</f>
        <v>14163</v>
      </c>
      <c r="H5" s="260"/>
    </row>
    <row r="6" spans="1:9" x14ac:dyDescent="0.2">
      <c r="A6" s="32">
        <v>2100</v>
      </c>
      <c r="B6" t="s">
        <v>835</v>
      </c>
      <c r="C6" s="246">
        <f t="shared" si="0"/>
        <v>1359428</v>
      </c>
      <c r="D6" s="20">
        <f>'DOE25'!L194+'DOE25'!L212+'DOE25'!L230-F6-G6</f>
        <v>1353172</v>
      </c>
      <c r="E6" s="244"/>
      <c r="F6" s="256">
        <f>'DOE25'!J194+'DOE25'!J212+'DOE25'!J230</f>
        <v>5238</v>
      </c>
      <c r="G6" s="53">
        <f>'DOE25'!K194+'DOE25'!K212+'DOE25'!K230</f>
        <v>1018</v>
      </c>
      <c r="H6" s="260"/>
    </row>
    <row r="7" spans="1:9" x14ac:dyDescent="0.2">
      <c r="A7" s="32">
        <v>2200</v>
      </c>
      <c r="B7" t="s">
        <v>868</v>
      </c>
      <c r="C7" s="246">
        <f t="shared" si="0"/>
        <v>384213</v>
      </c>
      <c r="D7" s="20">
        <f>'DOE25'!L195+'DOE25'!L213+'DOE25'!L231-F7-G7</f>
        <v>278191</v>
      </c>
      <c r="E7" s="244"/>
      <c r="F7" s="256">
        <f>'DOE25'!J195+'DOE25'!J213+'DOE25'!J231</f>
        <v>106022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343333</v>
      </c>
      <c r="D8" s="244"/>
      <c r="E8" s="20">
        <f>'DOE25'!L196+'DOE25'!L214+'DOE25'!L232-F8-G8-D9-D11</f>
        <v>337045</v>
      </c>
      <c r="F8" s="256">
        <f>'DOE25'!J196+'DOE25'!J214+'DOE25'!J232</f>
        <v>0</v>
      </c>
      <c r="G8" s="53">
        <f>'DOE25'!K196+'DOE25'!K214+'DOE25'!K232</f>
        <v>6288</v>
      </c>
      <c r="H8" s="260"/>
    </row>
    <row r="9" spans="1:9" x14ac:dyDescent="0.2">
      <c r="A9" s="32">
        <v>2310</v>
      </c>
      <c r="B9" t="s">
        <v>852</v>
      </c>
      <c r="C9" s="246">
        <f t="shared" si="0"/>
        <v>36271</v>
      </c>
      <c r="D9" s="245">
        <v>36271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21000</v>
      </c>
      <c r="D10" s="244"/>
      <c r="E10" s="245">
        <v>21000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272560</v>
      </c>
      <c r="D11" s="245">
        <v>272560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894534</v>
      </c>
      <c r="D12" s="20">
        <f>'DOE25'!L197+'DOE25'!L215+'DOE25'!L233-F12-G12</f>
        <v>874077</v>
      </c>
      <c r="E12" s="244"/>
      <c r="F12" s="256">
        <f>'DOE25'!J197+'DOE25'!J215+'DOE25'!J233</f>
        <v>0</v>
      </c>
      <c r="G12" s="53">
        <f>'DOE25'!K197+'DOE25'!K215+'DOE25'!K233</f>
        <v>20457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1360163</v>
      </c>
      <c r="D14" s="20">
        <f>'DOE25'!L199+'DOE25'!L217+'DOE25'!L235-F14-G14</f>
        <v>1316229</v>
      </c>
      <c r="E14" s="244"/>
      <c r="F14" s="256">
        <f>'DOE25'!J199+'DOE25'!J217+'DOE25'!J235</f>
        <v>43934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616035</v>
      </c>
      <c r="D15" s="20">
        <f>'DOE25'!L200+'DOE25'!L218+'DOE25'!L236-F15-G15</f>
        <v>616035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154579</v>
      </c>
      <c r="D16" s="244"/>
      <c r="E16" s="20">
        <f>'DOE25'!L201+'DOE25'!L219+'DOE25'!L237-F16-G16</f>
        <v>154579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27264</v>
      </c>
      <c r="D17" s="20">
        <f>'DOE25'!L243-F17-G17</f>
        <v>27264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830543</v>
      </c>
      <c r="D25" s="244"/>
      <c r="E25" s="244"/>
      <c r="F25" s="259"/>
      <c r="G25" s="257"/>
      <c r="H25" s="258">
        <f>'DOE25'!L252+'DOE25'!L253+'DOE25'!L333+'DOE25'!L334</f>
        <v>830543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323512.90000000002</v>
      </c>
      <c r="D29" s="20">
        <f>'DOE25'!L350+'DOE25'!L351+'DOE25'!L352-'DOE25'!I359-F29-G29</f>
        <v>323412.90000000002</v>
      </c>
      <c r="E29" s="244"/>
      <c r="F29" s="256">
        <f>'DOE25'!J350+'DOE25'!J351+'DOE25'!J352</f>
        <v>0</v>
      </c>
      <c r="G29" s="53">
        <f>'DOE25'!K350+'DOE25'!K351+'DOE25'!K352</f>
        <v>100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13205331.9</v>
      </c>
      <c r="E33" s="247">
        <f>SUM(E5:E31)</f>
        <v>512624</v>
      </c>
      <c r="F33" s="247">
        <f>SUM(F5:F31)</f>
        <v>218348</v>
      </c>
      <c r="G33" s="247">
        <f>SUM(G5:G31)</f>
        <v>42026</v>
      </c>
      <c r="H33" s="247">
        <f>SUM(H5:H31)</f>
        <v>830543</v>
      </c>
    </row>
    <row r="35" spans="2:8" ht="12" thickBot="1" x14ac:dyDescent="0.25">
      <c r="B35" s="254" t="s">
        <v>881</v>
      </c>
      <c r="D35" s="255">
        <f>E33</f>
        <v>512624</v>
      </c>
      <c r="E35" s="250"/>
    </row>
    <row r="36" spans="2:8" ht="12" thickTop="1" x14ac:dyDescent="0.2">
      <c r="B36" t="s">
        <v>849</v>
      </c>
      <c r="D36" s="20">
        <f>D33</f>
        <v>13205331.9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70A8-DDCE-439F-A203-6AD9238E00ED}">
  <sheetPr transitionEvaluation="1" codeName="Sheet2">
    <tabColor indexed="10"/>
  </sheetPr>
  <dimension ref="A1:I156"/>
  <sheetViews>
    <sheetView zoomScale="75" workbookViewId="0">
      <pane ySplit="2" topLeftCell="A11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37644</v>
      </c>
      <c r="D9" s="95">
        <f>'DOE25'!G9</f>
        <v>61155</v>
      </c>
      <c r="E9" s="95">
        <f>'DOE25'!H9</f>
        <v>0</v>
      </c>
      <c r="F9" s="95">
        <f>'DOE25'!I9</f>
        <v>0</v>
      </c>
      <c r="G9" s="95">
        <f>'DOE25'!J9</f>
        <v>260807.92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116.59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545935</v>
      </c>
      <c r="D13" s="95">
        <f>'DOE25'!G13</f>
        <v>177767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36374</v>
      </c>
      <c r="D14" s="95">
        <f>'DOE25'!G14</f>
        <v>499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13759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619953</v>
      </c>
      <c r="D19" s="41">
        <f>SUM(D9:D18)</f>
        <v>253180</v>
      </c>
      <c r="E19" s="41">
        <f>SUM(E9:E18)</f>
        <v>0</v>
      </c>
      <c r="F19" s="41">
        <f>SUM(F9:F18)</f>
        <v>116.59</v>
      </c>
      <c r="G19" s="41">
        <f>SUM(G9:G18)</f>
        <v>260807.92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36360</v>
      </c>
      <c r="D22" s="95">
        <f>'DOE25'!G23</f>
        <v>67977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12317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173747</v>
      </c>
      <c r="D24" s="95">
        <f>'DOE25'!G25</f>
        <v>3889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34225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384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10672</v>
      </c>
      <c r="D30" s="95">
        <f>'DOE25'!G31</f>
        <v>5296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2622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267705</v>
      </c>
      <c r="D32" s="41">
        <f>SUM(D22:D31)</f>
        <v>79784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8463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298116</v>
      </c>
      <c r="D36" s="95">
        <f>'DOE25'!G37</f>
        <v>18000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146933</v>
      </c>
      <c r="E40" s="95">
        <f>'DOE25'!H41</f>
        <v>0</v>
      </c>
      <c r="F40" s="95">
        <f>'DOE25'!I41</f>
        <v>116.59</v>
      </c>
      <c r="G40" s="95">
        <f>'DOE25'!J41</f>
        <v>260807.92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54132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352248</v>
      </c>
      <c r="D42" s="41">
        <f>SUM(D34:D41)</f>
        <v>173396</v>
      </c>
      <c r="E42" s="41">
        <f>SUM(E34:E41)</f>
        <v>0</v>
      </c>
      <c r="F42" s="41">
        <f>SUM(F34:F41)</f>
        <v>116.59</v>
      </c>
      <c r="G42" s="41">
        <f>SUM(G34:G41)</f>
        <v>260807.92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619953</v>
      </c>
      <c r="D43" s="41">
        <f>D42+D32</f>
        <v>253180</v>
      </c>
      <c r="E43" s="41">
        <f>E42+E32</f>
        <v>0</v>
      </c>
      <c r="F43" s="41">
        <f>F42+F32</f>
        <v>116.59</v>
      </c>
      <c r="G43" s="41">
        <f>G42+G32</f>
        <v>260807.92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3005396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890522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1016</v>
      </c>
      <c r="D51" s="95">
        <f>'DOE25'!G88</f>
        <v>366</v>
      </c>
      <c r="E51" s="95">
        <f>'DOE25'!H88</f>
        <v>0</v>
      </c>
      <c r="F51" s="95">
        <f>'DOE25'!I88</f>
        <v>0</v>
      </c>
      <c r="G51" s="95">
        <f>'DOE25'!J88</f>
        <v>695.7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206253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130579</v>
      </c>
      <c r="D53" s="95">
        <f>SUM('DOE25'!G90:G102)</f>
        <v>1217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1022117</v>
      </c>
      <c r="D54" s="130">
        <f>SUM(D49:D53)</f>
        <v>207836</v>
      </c>
      <c r="E54" s="130">
        <f>SUM(E49:E53)</f>
        <v>0</v>
      </c>
      <c r="F54" s="130">
        <f>SUM(F49:F53)</f>
        <v>0</v>
      </c>
      <c r="G54" s="130">
        <f>SUM(G49:G53)</f>
        <v>695.7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4027513</v>
      </c>
      <c r="D55" s="22">
        <f>D48+D54</f>
        <v>207836</v>
      </c>
      <c r="E55" s="22">
        <f>E48+E54</f>
        <v>0</v>
      </c>
      <c r="F55" s="22">
        <f>F48+F54</f>
        <v>0</v>
      </c>
      <c r="G55" s="22">
        <f>G48+G54</f>
        <v>695.7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6147907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1425704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2358760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9932371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254838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267552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9033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9920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531423</v>
      </c>
      <c r="D70" s="130">
        <f>SUM(D64:D69)</f>
        <v>9920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10463794</v>
      </c>
      <c r="D73" s="130">
        <f>SUM(D71:D72)+D70+D62</f>
        <v>9920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271233</v>
      </c>
      <c r="D80" s="95">
        <f>SUM('DOE25'!G145:G153)</f>
        <v>436948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271233</v>
      </c>
      <c r="D83" s="131">
        <f>SUM(D77:D82)</f>
        <v>436948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14762540</v>
      </c>
      <c r="D96" s="86">
        <f>D55+D73+D83+D95</f>
        <v>654704</v>
      </c>
      <c r="E96" s="86">
        <f>E55+E73+E83+E95</f>
        <v>0</v>
      </c>
      <c r="F96" s="86">
        <f>F55+F73+F83+F95</f>
        <v>0</v>
      </c>
      <c r="G96" s="86">
        <f>G55+G73+G95</f>
        <v>695.7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5271271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2615531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39663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258972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27264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8212701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1359428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384213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652164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894534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1360163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616035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154579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608595.9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5421116</v>
      </c>
      <c r="D120" s="86">
        <f>SUM(D110:D119)</f>
        <v>608595.9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585262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245281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274.10000000000002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421.6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-695.7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830543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14464360</v>
      </c>
      <c r="D137" s="86">
        <f>(D107+D120+D136)</f>
        <v>608595.9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08/99</v>
      </c>
      <c r="C144" s="152" t="str">
        <f>'DOE25'!G481</f>
        <v>05/06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 t="str">
        <f>'DOE25'!G482</f>
        <v>05/26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5010376</v>
      </c>
      <c r="C146" s="137">
        <f>'DOE25'!G483</f>
        <v>2700000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4.29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2500000</v>
      </c>
      <c r="C148" s="137">
        <f>'DOE25'!G485</f>
        <v>2291394.0299999998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4791394.0299999993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250000</v>
      </c>
      <c r="C150" s="137">
        <f>'DOE25'!G487</f>
        <v>142105.26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392105.26</v>
      </c>
    </row>
    <row r="151" spans="1:7" x14ac:dyDescent="0.2">
      <c r="A151" s="22" t="s">
        <v>35</v>
      </c>
      <c r="B151" s="137">
        <f>'DOE25'!F488</f>
        <v>2250000</v>
      </c>
      <c r="C151" s="137">
        <f>'DOE25'!G488</f>
        <v>2149288.77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4399288.7699999996</v>
      </c>
    </row>
    <row r="152" spans="1:7" x14ac:dyDescent="0.2">
      <c r="A152" s="22" t="s">
        <v>36</v>
      </c>
      <c r="B152" s="137">
        <f>'DOE25'!F489</f>
        <v>662812.5</v>
      </c>
      <c r="C152" s="137">
        <f>'DOE25'!G489</f>
        <v>816905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1479717.5</v>
      </c>
    </row>
    <row r="153" spans="1:7" x14ac:dyDescent="0.2">
      <c r="A153" s="22" t="s">
        <v>37</v>
      </c>
      <c r="B153" s="137">
        <f>'DOE25'!F490</f>
        <v>2912812.5</v>
      </c>
      <c r="C153" s="137">
        <f>'DOE25'!G490</f>
        <v>2966193.77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5879006.2699999996</v>
      </c>
    </row>
    <row r="154" spans="1:7" x14ac:dyDescent="0.2">
      <c r="A154" s="22" t="s">
        <v>38</v>
      </c>
      <c r="B154" s="137">
        <f>'DOE25'!F491</f>
        <v>250000</v>
      </c>
      <c r="C154" s="137">
        <f>'DOE25'!G491</f>
        <v>142105.26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392105.26</v>
      </c>
    </row>
    <row r="155" spans="1:7" x14ac:dyDescent="0.2">
      <c r="A155" s="22" t="s">
        <v>39</v>
      </c>
      <c r="B155" s="137">
        <f>'DOE25'!F492</f>
        <v>125773</v>
      </c>
      <c r="C155" s="137">
        <f>'DOE25'!G492</f>
        <v>94931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220704</v>
      </c>
    </row>
    <row r="156" spans="1:7" x14ac:dyDescent="0.2">
      <c r="A156" s="22" t="s">
        <v>269</v>
      </c>
      <c r="B156" s="137">
        <f>'DOE25'!F493</f>
        <v>375773</v>
      </c>
      <c r="C156" s="137">
        <f>'DOE25'!G493</f>
        <v>237036.26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612809.26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11F1-8A87-4C50-8172-B39E16C9F26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Franklin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9351</v>
      </c>
    </row>
    <row r="5" spans="1:4" x14ac:dyDescent="0.2">
      <c r="B5" t="s">
        <v>735</v>
      </c>
      <c r="C5" s="179">
        <f>IF('DOE25'!G655+'DOE25'!G660=0,0,ROUND('DOE25'!G662,0))</f>
        <v>8091</v>
      </c>
    </row>
    <row r="6" spans="1:4" x14ac:dyDescent="0.2">
      <c r="B6" t="s">
        <v>62</v>
      </c>
      <c r="C6" s="179">
        <f>IF('DOE25'!H655+'DOE25'!H660=0,0,ROUND('DOE25'!H662,0))</f>
        <v>9481</v>
      </c>
    </row>
    <row r="7" spans="1:4" x14ac:dyDescent="0.2">
      <c r="B7" t="s">
        <v>736</v>
      </c>
      <c r="C7" s="179">
        <f>IF('DOE25'!I655+'DOE25'!I660=0,0,ROUND('DOE25'!I662,0))</f>
        <v>8981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5271271</v>
      </c>
      <c r="D10" s="182">
        <f>ROUND((C10/$C$28)*100,1)</f>
        <v>36.9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2615531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39663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258972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1359428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384213</v>
      </c>
      <c r="D16" s="182">
        <f t="shared" si="0"/>
        <v>2.7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806743</v>
      </c>
      <c r="D17" s="182">
        <f t="shared" si="0"/>
        <v>5.6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894534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1360163</v>
      </c>
      <c r="D20" s="182">
        <f t="shared" si="0"/>
        <v>9.5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616035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27264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245281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401126</v>
      </c>
      <c r="D27" s="182">
        <f t="shared" si="0"/>
        <v>2.8</v>
      </c>
    </row>
    <row r="28" spans="1:4" x14ac:dyDescent="0.2">
      <c r="B28" s="187" t="s">
        <v>754</v>
      </c>
      <c r="C28" s="180">
        <f>SUM(C10:C27)</f>
        <v>14280224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14280224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585262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3005396</v>
      </c>
      <c r="D35" s="182">
        <f t="shared" ref="D35:D40" si="1">ROUND((C35/$C$41)*100,1)</f>
        <v>19.8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1023178.7000000002</v>
      </c>
      <c r="D36" s="182">
        <f t="shared" si="1"/>
        <v>6.7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7573611</v>
      </c>
      <c r="D37" s="182">
        <f t="shared" si="1"/>
        <v>49.8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2900103</v>
      </c>
      <c r="D38" s="182">
        <f t="shared" si="1"/>
        <v>19.100000000000001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708181</v>
      </c>
      <c r="D39" s="182">
        <f t="shared" si="1"/>
        <v>4.7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15210469.699999999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D89B-EED0-4FD0-BA00-C0F7ADA0E940}">
  <sheetPr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Franklin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 t="s">
        <v>899</v>
      </c>
      <c r="C4" s="280" t="s">
        <v>900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901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2010-11-12T13:41:16Z</cp:lastPrinted>
  <dcterms:created xsi:type="dcterms:W3CDTF">1997-12-04T19:04:30Z</dcterms:created>
  <dcterms:modified xsi:type="dcterms:W3CDTF">2025-01-09T20:03:41Z</dcterms:modified>
</cp:coreProperties>
</file>