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A999DAF0-28FD-4BFC-95E5-CC3CDEC3D8B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E400FDD5-3176-4A84-8970-5D91B18F360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C40" i="10"/>
  <c r="C37" i="10"/>
  <c r="C6" i="10"/>
  <c r="C5" i="10"/>
  <c r="L190" i="1"/>
  <c r="C102" i="2" s="1"/>
  <c r="C42" i="10"/>
  <c r="B2" i="10"/>
  <c r="I655" i="1"/>
  <c r="I660" i="1"/>
  <c r="L207" i="1"/>
  <c r="L208" i="1"/>
  <c r="L221" i="1" s="1"/>
  <c r="G650" i="1" s="1"/>
  <c r="L225" i="1"/>
  <c r="L239" i="1" s="1"/>
  <c r="L226" i="1"/>
  <c r="I659" i="1"/>
  <c r="L247" i="1"/>
  <c r="L328" i="1"/>
  <c r="C29" i="10" s="1"/>
  <c r="L366" i="1"/>
  <c r="F122" i="2" s="1"/>
  <c r="F136" i="2" s="1"/>
  <c r="L367" i="1"/>
  <c r="L368" i="1"/>
  <c r="L369" i="1"/>
  <c r="L370" i="1"/>
  <c r="L371" i="1"/>
  <c r="L372" i="1"/>
  <c r="L191" i="1"/>
  <c r="C12" i="10" s="1"/>
  <c r="L209" i="1"/>
  <c r="L227" i="1"/>
  <c r="L270" i="1"/>
  <c r="E103" i="2" s="1"/>
  <c r="L289" i="1"/>
  <c r="L308" i="1"/>
  <c r="L198" i="1"/>
  <c r="C19" i="10" s="1"/>
  <c r="L216" i="1"/>
  <c r="L234" i="1"/>
  <c r="L277" i="1"/>
  <c r="L296" i="1"/>
  <c r="L315" i="1"/>
  <c r="E114" i="2" s="1"/>
  <c r="L242" i="1"/>
  <c r="L324" i="1"/>
  <c r="E105" i="2" s="1"/>
  <c r="C23" i="10"/>
  <c r="L243" i="1"/>
  <c r="L244" i="1"/>
  <c r="L245" i="1"/>
  <c r="C106" i="2" s="1"/>
  <c r="L246" i="1"/>
  <c r="L325" i="1"/>
  <c r="L326" i="1"/>
  <c r="L327" i="1"/>
  <c r="L260" i="1"/>
  <c r="C26" i="10" s="1"/>
  <c r="L261" i="1"/>
  <c r="L341" i="1"/>
  <c r="L342" i="1"/>
  <c r="E135" i="2" s="1"/>
  <c r="L350" i="1"/>
  <c r="L351" i="1"/>
  <c r="F651" i="1" s="1"/>
  <c r="L352" i="1"/>
  <c r="L353" i="1"/>
  <c r="F52" i="1"/>
  <c r="C35" i="10" s="1"/>
  <c r="G52" i="1"/>
  <c r="G104" i="1" s="1"/>
  <c r="H52" i="1"/>
  <c r="I52" i="1"/>
  <c r="I104" i="1" s="1"/>
  <c r="J52" i="1"/>
  <c r="F113" i="1"/>
  <c r="F128" i="1"/>
  <c r="F132" i="1" s="1"/>
  <c r="G113" i="1"/>
  <c r="G128" i="1"/>
  <c r="G132" i="1"/>
  <c r="H113" i="1"/>
  <c r="H132" i="1" s="1"/>
  <c r="H128" i="1"/>
  <c r="I113" i="1"/>
  <c r="I132" i="1" s="1"/>
  <c r="I128" i="1"/>
  <c r="J113" i="1"/>
  <c r="J128" i="1"/>
  <c r="J132" i="1" s="1"/>
  <c r="L269" i="1"/>
  <c r="L288" i="1"/>
  <c r="L307" i="1"/>
  <c r="L320" i="1" s="1"/>
  <c r="C11" i="10"/>
  <c r="L192" i="1"/>
  <c r="L210" i="1"/>
  <c r="C13" i="10" s="1"/>
  <c r="L228" i="1"/>
  <c r="L271" i="1"/>
  <c r="L290" i="1"/>
  <c r="L309" i="1"/>
  <c r="H199" i="1"/>
  <c r="L199" i="1"/>
  <c r="L217" i="1"/>
  <c r="L235" i="1"/>
  <c r="L278" i="1"/>
  <c r="C20" i="10" s="1"/>
  <c r="L297" i="1"/>
  <c r="L316" i="1"/>
  <c r="L252" i="1"/>
  <c r="L333" i="1"/>
  <c r="C32" i="10"/>
  <c r="L253" i="1"/>
  <c r="C25" i="10" s="1"/>
  <c r="L334" i="1"/>
  <c r="L195" i="1"/>
  <c r="C16" i="10" s="1"/>
  <c r="L213" i="1"/>
  <c r="L231" i="1"/>
  <c r="L274" i="1"/>
  <c r="L293" i="1"/>
  <c r="E111" i="2" s="1"/>
  <c r="L312" i="1"/>
  <c r="F197" i="1"/>
  <c r="G197" i="1"/>
  <c r="G203" i="1" s="1"/>
  <c r="G249" i="1" s="1"/>
  <c r="G263" i="1" s="1"/>
  <c r="H197" i="1"/>
  <c r="I197" i="1"/>
  <c r="L215" i="1"/>
  <c r="L233" i="1"/>
  <c r="L276" i="1"/>
  <c r="L295" i="1"/>
  <c r="L314" i="1"/>
  <c r="F194" i="1"/>
  <c r="H194" i="1"/>
  <c r="I194" i="1"/>
  <c r="L194" i="1" s="1"/>
  <c r="L212" i="1"/>
  <c r="L230" i="1"/>
  <c r="L273" i="1"/>
  <c r="L292" i="1"/>
  <c r="E110" i="2" s="1"/>
  <c r="L311" i="1"/>
  <c r="L200" i="1"/>
  <c r="C21" i="10" s="1"/>
  <c r="L218" i="1"/>
  <c r="L236" i="1"/>
  <c r="L279" i="1"/>
  <c r="L298" i="1"/>
  <c r="G652" i="1" s="1"/>
  <c r="L317" i="1"/>
  <c r="H652" i="1" s="1"/>
  <c r="H196" i="1"/>
  <c r="L196" i="1" s="1"/>
  <c r="L201" i="1"/>
  <c r="E16" i="13" s="1"/>
  <c r="C16" i="13" s="1"/>
  <c r="L214" i="1"/>
  <c r="L219" i="1"/>
  <c r="L232" i="1"/>
  <c r="L237" i="1"/>
  <c r="L275" i="1"/>
  <c r="L280" i="1"/>
  <c r="L294" i="1"/>
  <c r="E112" i="2" s="1"/>
  <c r="L299" i="1"/>
  <c r="L313" i="1"/>
  <c r="L318" i="1"/>
  <c r="H189" i="1"/>
  <c r="H203" i="1" s="1"/>
  <c r="H249" i="1" s="1"/>
  <c r="H263" i="1" s="1"/>
  <c r="L189" i="1"/>
  <c r="I268" i="1"/>
  <c r="L268" i="1"/>
  <c r="L282" i="1" s="1"/>
  <c r="L287" i="1"/>
  <c r="L301" i="1" s="1"/>
  <c r="L306" i="1"/>
  <c r="F71" i="1"/>
  <c r="F86" i="1"/>
  <c r="C50" i="2" s="1"/>
  <c r="F103" i="1"/>
  <c r="G103" i="1"/>
  <c r="H71" i="1"/>
  <c r="H86" i="1"/>
  <c r="H103" i="1"/>
  <c r="H104" i="1"/>
  <c r="I103" i="1"/>
  <c r="J103" i="1"/>
  <c r="J104" i="1"/>
  <c r="F139" i="1"/>
  <c r="F154" i="1"/>
  <c r="F161" i="1" s="1"/>
  <c r="G139" i="1"/>
  <c r="G154" i="1"/>
  <c r="G161" i="1" s="1"/>
  <c r="H139" i="1"/>
  <c r="E77" i="2" s="1"/>
  <c r="H147" i="1"/>
  <c r="H154" i="1" s="1"/>
  <c r="I139" i="1"/>
  <c r="I161" i="1" s="1"/>
  <c r="I154" i="1"/>
  <c r="F455" i="1"/>
  <c r="H26" i="1"/>
  <c r="F11" i="1"/>
  <c r="F329" i="1"/>
  <c r="L329" i="1" s="1"/>
  <c r="G329" i="1"/>
  <c r="H329" i="1"/>
  <c r="I329" i="1"/>
  <c r="J329" i="1"/>
  <c r="K329" i="1"/>
  <c r="L336" i="1"/>
  <c r="L343" i="1" s="1"/>
  <c r="L337" i="1"/>
  <c r="L338" i="1"/>
  <c r="L339" i="1"/>
  <c r="H175" i="1"/>
  <c r="H180" i="1"/>
  <c r="H184" i="1"/>
  <c r="G175" i="1"/>
  <c r="G184" i="1" s="1"/>
  <c r="G180" i="1"/>
  <c r="F248" i="1"/>
  <c r="L248" i="1" s="1"/>
  <c r="G248" i="1"/>
  <c r="H248" i="1"/>
  <c r="I248" i="1"/>
  <c r="J248" i="1"/>
  <c r="K248" i="1"/>
  <c r="K262" i="1"/>
  <c r="F262" i="1"/>
  <c r="L262" i="1" s="1"/>
  <c r="G262" i="1"/>
  <c r="H262" i="1"/>
  <c r="I262" i="1"/>
  <c r="J262" i="1"/>
  <c r="F169" i="1"/>
  <c r="F175" i="1"/>
  <c r="F180" i="1"/>
  <c r="F184" i="1" s="1"/>
  <c r="I497" i="1"/>
  <c r="I359" i="1"/>
  <c r="I361" i="1" s="1"/>
  <c r="H624" i="1" s="1"/>
  <c r="J282" i="1"/>
  <c r="J330" i="1" s="1"/>
  <c r="J344" i="1" s="1"/>
  <c r="J301" i="1"/>
  <c r="J320" i="1"/>
  <c r="K282" i="1"/>
  <c r="K330" i="1" s="1"/>
  <c r="K344" i="1" s="1"/>
  <c r="K301" i="1"/>
  <c r="K320" i="1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7" i="1"/>
  <c r="L398" i="1"/>
  <c r="L399" i="1"/>
  <c r="L258" i="1"/>
  <c r="L603" i="1"/>
  <c r="H653" i="1" s="1"/>
  <c r="L602" i="1"/>
  <c r="L604" i="1" s="1"/>
  <c r="L601" i="1"/>
  <c r="F653" i="1"/>
  <c r="F652" i="1"/>
  <c r="K343" i="1"/>
  <c r="L511" i="1"/>
  <c r="F539" i="1" s="1"/>
  <c r="L512" i="1"/>
  <c r="F540" i="1"/>
  <c r="L513" i="1"/>
  <c r="F541" i="1" s="1"/>
  <c r="K541" i="1" s="1"/>
  <c r="L516" i="1"/>
  <c r="G539" i="1" s="1"/>
  <c r="G542" i="1" s="1"/>
  <c r="L517" i="1"/>
  <c r="G540" i="1" s="1"/>
  <c r="K540" i="1" s="1"/>
  <c r="L518" i="1"/>
  <c r="G541" i="1"/>
  <c r="L521" i="1"/>
  <c r="L524" i="1" s="1"/>
  <c r="H539" i="1"/>
  <c r="H542" i="1" s="1"/>
  <c r="L522" i="1"/>
  <c r="H540" i="1" s="1"/>
  <c r="L523" i="1"/>
  <c r="H541" i="1" s="1"/>
  <c r="L526" i="1"/>
  <c r="I539" i="1" s="1"/>
  <c r="I542" i="1" s="1"/>
  <c r="L527" i="1"/>
  <c r="I540" i="1"/>
  <c r="L528" i="1"/>
  <c r="I541" i="1"/>
  <c r="L531" i="1"/>
  <c r="J539" i="1" s="1"/>
  <c r="J542" i="1" s="1"/>
  <c r="L532" i="1"/>
  <c r="J540" i="1" s="1"/>
  <c r="L533" i="1"/>
  <c r="J541" i="1"/>
  <c r="I431" i="1"/>
  <c r="I438" i="1" s="1"/>
  <c r="G632" i="1" s="1"/>
  <c r="I432" i="1"/>
  <c r="J10" i="1"/>
  <c r="G10" i="2" s="1"/>
  <c r="I433" i="1"/>
  <c r="J12" i="1" s="1"/>
  <c r="G12" i="2" s="1"/>
  <c r="I434" i="1"/>
  <c r="J13" i="1" s="1"/>
  <c r="G13" i="2" s="1"/>
  <c r="I435" i="1"/>
  <c r="J14" i="1"/>
  <c r="I436" i="1"/>
  <c r="J17" i="1"/>
  <c r="I437" i="1"/>
  <c r="J18" i="1" s="1"/>
  <c r="G18" i="2" s="1"/>
  <c r="I440" i="1"/>
  <c r="J23" i="1"/>
  <c r="J33" i="1" s="1"/>
  <c r="I441" i="1"/>
  <c r="J24" i="1" s="1"/>
  <c r="G23" i="2" s="1"/>
  <c r="I442" i="1"/>
  <c r="J25" i="1" s="1"/>
  <c r="G24" i="2" s="1"/>
  <c r="I443" i="1"/>
  <c r="J32" i="1"/>
  <c r="I446" i="1"/>
  <c r="J37" i="1"/>
  <c r="G36" i="2" s="1"/>
  <c r="I447" i="1"/>
  <c r="J38" i="1" s="1"/>
  <c r="G37" i="2" s="1"/>
  <c r="I448" i="1"/>
  <c r="J40" i="1"/>
  <c r="I449" i="1"/>
  <c r="J41" i="1" s="1"/>
  <c r="G40" i="2" s="1"/>
  <c r="K411" i="1"/>
  <c r="K419" i="1"/>
  <c r="K425" i="1"/>
  <c r="K426" i="1"/>
  <c r="G126" i="2" s="1"/>
  <c r="G136" i="2" s="1"/>
  <c r="G137" i="2" s="1"/>
  <c r="L255" i="1"/>
  <c r="L256" i="1"/>
  <c r="L257" i="1"/>
  <c r="F490" i="1"/>
  <c r="G490" i="1"/>
  <c r="H490" i="1"/>
  <c r="D153" i="2" s="1"/>
  <c r="I490" i="1"/>
  <c r="J490" i="1"/>
  <c r="F493" i="1"/>
  <c r="B156" i="2" s="1"/>
  <c r="G493" i="1"/>
  <c r="H493" i="1"/>
  <c r="K493" i="1" s="1"/>
  <c r="I493" i="1"/>
  <c r="E156" i="2" s="1"/>
  <c r="J493" i="1"/>
  <c r="F19" i="1"/>
  <c r="G607" i="1" s="1"/>
  <c r="G19" i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G44" i="1"/>
  <c r="H608" i="1" s="1"/>
  <c r="I169" i="1"/>
  <c r="I175" i="1"/>
  <c r="I184" i="1" s="1"/>
  <c r="J175" i="1"/>
  <c r="G635" i="1" s="1"/>
  <c r="J635" i="1" s="1"/>
  <c r="I180" i="1"/>
  <c r="F203" i="1"/>
  <c r="F249" i="1" s="1"/>
  <c r="F263" i="1" s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82" i="1"/>
  <c r="G282" i="1"/>
  <c r="H282" i="1"/>
  <c r="I282" i="1"/>
  <c r="F301" i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F330" i="1"/>
  <c r="I330" i="1"/>
  <c r="I344" i="1" s="1"/>
  <c r="F344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G626" i="1" s="1"/>
  <c r="J626" i="1" s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I393" i="1"/>
  <c r="I400" i="1" s="1"/>
  <c r="F399" i="1"/>
  <c r="G399" i="1"/>
  <c r="H399" i="1"/>
  <c r="I399" i="1"/>
  <c r="H400" i="1"/>
  <c r="L405" i="1"/>
  <c r="L411" i="1" s="1"/>
  <c r="L406" i="1"/>
  <c r="L407" i="1"/>
  <c r="L408" i="1"/>
  <c r="L409" i="1"/>
  <c r="L410" i="1"/>
  <c r="F411" i="1"/>
  <c r="F426" i="1" s="1"/>
  <c r="G411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J425" i="1"/>
  <c r="G426" i="1"/>
  <c r="J426" i="1"/>
  <c r="F438" i="1"/>
  <c r="G438" i="1"/>
  <c r="H438" i="1"/>
  <c r="G631" i="1" s="1"/>
  <c r="F444" i="1"/>
  <c r="F451" i="1" s="1"/>
  <c r="H629" i="1" s="1"/>
  <c r="G444" i="1"/>
  <c r="G451" i="1" s="1"/>
  <c r="H630" i="1" s="1"/>
  <c r="H444" i="1"/>
  <c r="I444" i="1"/>
  <c r="I451" i="1" s="1"/>
  <c r="H632" i="1" s="1"/>
  <c r="F450" i="1"/>
  <c r="G450" i="1"/>
  <c r="H450" i="1"/>
  <c r="I450" i="1"/>
  <c r="H451" i="1"/>
  <c r="H631" i="1" s="1"/>
  <c r="I460" i="1"/>
  <c r="I466" i="1" s="1"/>
  <c r="H615" i="1" s="1"/>
  <c r="J460" i="1"/>
  <c r="J466" i="1" s="1"/>
  <c r="H616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K514" i="1"/>
  <c r="L514" i="1"/>
  <c r="F519" i="1"/>
  <c r="G519" i="1"/>
  <c r="H519" i="1"/>
  <c r="I519" i="1"/>
  <c r="J519" i="1"/>
  <c r="K519" i="1"/>
  <c r="K535" i="1" s="1"/>
  <c r="F524" i="1"/>
  <c r="G524" i="1"/>
  <c r="H524" i="1"/>
  <c r="I524" i="1"/>
  <c r="J524" i="1"/>
  <c r="J53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G535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I561" i="1" s="1"/>
  <c r="J550" i="1"/>
  <c r="K550" i="1"/>
  <c r="K561" i="1" s="1"/>
  <c r="L552" i="1"/>
  <c r="L553" i="1"/>
  <c r="L554" i="1"/>
  <c r="L555" i="1" s="1"/>
  <c r="F555" i="1"/>
  <c r="G555" i="1"/>
  <c r="H555" i="1"/>
  <c r="I555" i="1"/>
  <c r="J555" i="1"/>
  <c r="J561" i="1" s="1"/>
  <c r="K555" i="1"/>
  <c r="L557" i="1"/>
  <c r="L558" i="1"/>
  <c r="L560" i="1" s="1"/>
  <c r="L559" i="1"/>
  <c r="F560" i="1"/>
  <c r="G560" i="1"/>
  <c r="H560" i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J588" i="1"/>
  <c r="K588" i="1"/>
  <c r="G637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8" i="1"/>
  <c r="J608" i="1" s="1"/>
  <c r="G609" i="1"/>
  <c r="J609" i="1" s="1"/>
  <c r="G610" i="1"/>
  <c r="J610" i="1" s="1"/>
  <c r="G612" i="1"/>
  <c r="G613" i="1"/>
  <c r="G614" i="1"/>
  <c r="H620" i="1"/>
  <c r="H621" i="1"/>
  <c r="G624" i="1"/>
  <c r="J624" i="1" s="1"/>
  <c r="H626" i="1"/>
  <c r="H627" i="1"/>
  <c r="H628" i="1"/>
  <c r="G629" i="1"/>
  <c r="J629" i="1" s="1"/>
  <c r="G630" i="1"/>
  <c r="J630" i="1" s="1"/>
  <c r="G633" i="1"/>
  <c r="J633" i="1" s="1"/>
  <c r="G634" i="1"/>
  <c r="J634" i="1" s="1"/>
  <c r="H634" i="1"/>
  <c r="G640" i="1"/>
  <c r="J640" i="1" s="1"/>
  <c r="H640" i="1"/>
  <c r="G641" i="1"/>
  <c r="J641" i="1" s="1"/>
  <c r="H641" i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D9" i="13"/>
  <c r="C9" i="13" s="1"/>
  <c r="E10" i="13"/>
  <c r="D39" i="13" s="1"/>
  <c r="B2" i="13"/>
  <c r="F8" i="13"/>
  <c r="G8" i="13"/>
  <c r="F13" i="13"/>
  <c r="G13" i="13"/>
  <c r="F16" i="13"/>
  <c r="G16" i="13"/>
  <c r="F5" i="13"/>
  <c r="G5" i="13"/>
  <c r="D5" i="13"/>
  <c r="F6" i="13"/>
  <c r="G6" i="13"/>
  <c r="F7" i="13"/>
  <c r="G7" i="13"/>
  <c r="D7" i="13"/>
  <c r="F12" i="13"/>
  <c r="G12" i="13"/>
  <c r="F14" i="13"/>
  <c r="G14" i="13"/>
  <c r="D14" i="13"/>
  <c r="C14" i="13" s="1"/>
  <c r="F15" i="13"/>
  <c r="G15" i="13"/>
  <c r="D15" i="13"/>
  <c r="C15" i="13" s="1"/>
  <c r="F17" i="13"/>
  <c r="G17" i="13"/>
  <c r="D17" i="13"/>
  <c r="C17" i="13" s="1"/>
  <c r="F18" i="13"/>
  <c r="D18" i="13" s="1"/>
  <c r="C18" i="13" s="1"/>
  <c r="G18" i="13"/>
  <c r="F19" i="13"/>
  <c r="G19" i="13"/>
  <c r="F29" i="13"/>
  <c r="G29" i="13"/>
  <c r="H25" i="13"/>
  <c r="C25" i="13" s="1"/>
  <c r="H33" i="13"/>
  <c r="F22" i="13"/>
  <c r="C22" i="13" s="1"/>
  <c r="C11" i="13"/>
  <c r="C10" i="13"/>
  <c r="C7" i="13"/>
  <c r="C60" i="2"/>
  <c r="C132" i="2"/>
  <c r="G48" i="2"/>
  <c r="G51" i="2"/>
  <c r="G54" i="2" s="1"/>
  <c r="G55" i="2" s="1"/>
  <c r="G96" i="2" s="1"/>
  <c r="G53" i="2"/>
  <c r="E124" i="2"/>
  <c r="E123" i="2"/>
  <c r="C124" i="2"/>
  <c r="C123" i="2"/>
  <c r="A1" i="2"/>
  <c r="A2" i="2"/>
  <c r="C9" i="2"/>
  <c r="D9" i="2"/>
  <c r="D19" i="2" s="1"/>
  <c r="E9" i="2"/>
  <c r="E19" i="2" s="1"/>
  <c r="F9" i="2"/>
  <c r="C10" i="2"/>
  <c r="D10" i="2"/>
  <c r="E10" i="2"/>
  <c r="F10" i="2"/>
  <c r="C11" i="2"/>
  <c r="C12" i="2"/>
  <c r="D12" i="2"/>
  <c r="E12" i="2"/>
  <c r="F12" i="2"/>
  <c r="F19" i="2" s="1"/>
  <c r="C13" i="2"/>
  <c r="D13" i="2"/>
  <c r="E13" i="2"/>
  <c r="F13" i="2"/>
  <c r="C14" i="2"/>
  <c r="D14" i="2"/>
  <c r="E14" i="2"/>
  <c r="F14" i="2"/>
  <c r="G14" i="2"/>
  <c r="F15" i="2"/>
  <c r="C16" i="2"/>
  <c r="D16" i="2"/>
  <c r="E16" i="2"/>
  <c r="F16" i="2"/>
  <c r="C17" i="2"/>
  <c r="D17" i="2"/>
  <c r="E17" i="2"/>
  <c r="F17" i="2"/>
  <c r="G17" i="2"/>
  <c r="C18" i="2"/>
  <c r="D18" i="2"/>
  <c r="E18" i="2"/>
  <c r="F18" i="2"/>
  <c r="C19" i="2"/>
  <c r="C22" i="2"/>
  <c r="C32" i="2" s="1"/>
  <c r="D22" i="2"/>
  <c r="D32" i="2" s="1"/>
  <c r="E22" i="2"/>
  <c r="F22" i="2"/>
  <c r="C23" i="2"/>
  <c r="D23" i="2"/>
  <c r="E23" i="2"/>
  <c r="E32" i="2" s="1"/>
  <c r="F23" i="2"/>
  <c r="C24" i="2"/>
  <c r="D24" i="2"/>
  <c r="E24" i="2"/>
  <c r="F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G31" i="2"/>
  <c r="F32" i="2"/>
  <c r="C34" i="2"/>
  <c r="C42" i="2" s="1"/>
  <c r="C43" i="2" s="1"/>
  <c r="D34" i="2"/>
  <c r="D42" i="2" s="1"/>
  <c r="D43" i="2" s="1"/>
  <c r="E34" i="2"/>
  <c r="F34" i="2"/>
  <c r="F42" i="2" s="1"/>
  <c r="F43" i="2" s="1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G39" i="2"/>
  <c r="C40" i="2"/>
  <c r="D40" i="2"/>
  <c r="E40" i="2"/>
  <c r="F40" i="2"/>
  <c r="C41" i="2"/>
  <c r="D41" i="2"/>
  <c r="E41" i="2"/>
  <c r="F41" i="2"/>
  <c r="E42" i="2"/>
  <c r="C48" i="2"/>
  <c r="D48" i="2"/>
  <c r="E48" i="2"/>
  <c r="C49" i="2"/>
  <c r="C54" i="2" s="1"/>
  <c r="C55" i="2" s="1"/>
  <c r="E49" i="2"/>
  <c r="E50" i="2"/>
  <c r="C51" i="2"/>
  <c r="D51" i="2"/>
  <c r="D54" i="2" s="1"/>
  <c r="D55" i="2" s="1"/>
  <c r="E51" i="2"/>
  <c r="E54" i="2" s="1"/>
  <c r="E55" i="2" s="1"/>
  <c r="F51" i="2"/>
  <c r="D52" i="2"/>
  <c r="C53" i="2"/>
  <c r="D53" i="2"/>
  <c r="E53" i="2"/>
  <c r="F53" i="2"/>
  <c r="F54" i="2" s="1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C70" i="2" s="1"/>
  <c r="F64" i="2"/>
  <c r="C65" i="2"/>
  <c r="F65" i="2"/>
  <c r="F70" i="2" s="1"/>
  <c r="F73" i="2" s="1"/>
  <c r="C66" i="2"/>
  <c r="C67" i="2"/>
  <c r="C68" i="2"/>
  <c r="E68" i="2"/>
  <c r="F68" i="2"/>
  <c r="C69" i="2"/>
  <c r="D69" i="2"/>
  <c r="E69" i="2"/>
  <c r="E70" i="2" s="1"/>
  <c r="E73" i="2" s="1"/>
  <c r="F69" i="2"/>
  <c r="G69" i="2"/>
  <c r="D70" i="2"/>
  <c r="D73" i="2" s="1"/>
  <c r="G70" i="2"/>
  <c r="G73" i="2" s="1"/>
  <c r="C71" i="2"/>
  <c r="D71" i="2"/>
  <c r="E71" i="2"/>
  <c r="C72" i="2"/>
  <c r="E72" i="2"/>
  <c r="C77" i="2"/>
  <c r="D77" i="2"/>
  <c r="D83" i="2" s="1"/>
  <c r="F77" i="2"/>
  <c r="C79" i="2"/>
  <c r="E79" i="2"/>
  <c r="F79" i="2"/>
  <c r="C80" i="2"/>
  <c r="D80" i="2"/>
  <c r="F80" i="2"/>
  <c r="F83" i="2" s="1"/>
  <c r="C81" i="2"/>
  <c r="D81" i="2"/>
  <c r="E81" i="2"/>
  <c r="F81" i="2"/>
  <c r="C82" i="2"/>
  <c r="C83" i="2"/>
  <c r="C85" i="2"/>
  <c r="F85" i="2"/>
  <c r="C86" i="2"/>
  <c r="C95" i="2" s="1"/>
  <c r="F86" i="2"/>
  <c r="F95" i="2" s="1"/>
  <c r="D88" i="2"/>
  <c r="E88" i="2"/>
  <c r="F88" i="2"/>
  <c r="G88" i="2"/>
  <c r="G95" i="2" s="1"/>
  <c r="C89" i="2"/>
  <c r="D89" i="2"/>
  <c r="E89" i="2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95" i="2"/>
  <c r="C101" i="2"/>
  <c r="E101" i="2"/>
  <c r="E102" i="2"/>
  <c r="C103" i="2"/>
  <c r="E104" i="2"/>
  <c r="C105" i="2"/>
  <c r="E106" i="2"/>
  <c r="D107" i="2"/>
  <c r="F107" i="2"/>
  <c r="G107" i="2"/>
  <c r="C111" i="2"/>
  <c r="E113" i="2"/>
  <c r="C115" i="2"/>
  <c r="E115" i="2"/>
  <c r="C117" i="2"/>
  <c r="E117" i="2"/>
  <c r="F120" i="2"/>
  <c r="F137" i="2" s="1"/>
  <c r="G120" i="2"/>
  <c r="C122" i="2"/>
  <c r="E122" i="2"/>
  <c r="E136" i="2" s="1"/>
  <c r="D126" i="2"/>
  <c r="E126" i="2"/>
  <c r="F126" i="2"/>
  <c r="C127" i="2"/>
  <c r="E127" i="2"/>
  <c r="C128" i="2"/>
  <c r="C129" i="2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B153" i="2"/>
  <c r="C153" i="2"/>
  <c r="E153" i="2"/>
  <c r="F153" i="2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C156" i="2"/>
  <c r="F156" i="2"/>
  <c r="B11" i="12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E107" i="2" l="1"/>
  <c r="G654" i="1"/>
  <c r="I185" i="1"/>
  <c r="G620" i="1" s="1"/>
  <c r="J620" i="1" s="1"/>
  <c r="E43" i="2"/>
  <c r="J607" i="1"/>
  <c r="K539" i="1"/>
  <c r="K542" i="1" s="1"/>
  <c r="F542" i="1"/>
  <c r="C130" i="2"/>
  <c r="L400" i="1"/>
  <c r="G185" i="1"/>
  <c r="G33" i="13"/>
  <c r="C36" i="10"/>
  <c r="C73" i="2"/>
  <c r="C96" i="2" s="1"/>
  <c r="G42" i="2"/>
  <c r="G43" i="2" s="1"/>
  <c r="G153" i="2"/>
  <c r="F33" i="13"/>
  <c r="I652" i="1"/>
  <c r="J632" i="1"/>
  <c r="L330" i="1"/>
  <c r="L344" i="1" s="1"/>
  <c r="D96" i="2"/>
  <c r="G156" i="2"/>
  <c r="L203" i="1"/>
  <c r="L426" i="1"/>
  <c r="G628" i="1" s="1"/>
  <c r="J628" i="1" s="1"/>
  <c r="H638" i="1"/>
  <c r="J638" i="1" s="1"/>
  <c r="J263" i="1"/>
  <c r="C112" i="2"/>
  <c r="C17" i="10"/>
  <c r="E8" i="13"/>
  <c r="C15" i="10"/>
  <c r="D6" i="13"/>
  <c r="C6" i="13" s="1"/>
  <c r="C110" i="2"/>
  <c r="J631" i="1"/>
  <c r="C38" i="10"/>
  <c r="H650" i="1"/>
  <c r="H654" i="1" s="1"/>
  <c r="E116" i="2"/>
  <c r="E120" i="2" s="1"/>
  <c r="C104" i="2"/>
  <c r="C107" i="2" s="1"/>
  <c r="E80" i="2"/>
  <c r="E83" i="2" s="1"/>
  <c r="E96" i="2" s="1"/>
  <c r="F48" i="2"/>
  <c r="F55" i="2" s="1"/>
  <c r="F96" i="2" s="1"/>
  <c r="G31" i="13"/>
  <c r="D31" i="13" s="1"/>
  <c r="C31" i="13" s="1"/>
  <c r="F104" i="1"/>
  <c r="F185" i="1" s="1"/>
  <c r="C10" i="10"/>
  <c r="C116" i="2"/>
  <c r="F31" i="13"/>
  <c r="E13" i="13"/>
  <c r="C13" i="13" s="1"/>
  <c r="H637" i="1"/>
  <c r="J637" i="1" s="1"/>
  <c r="K490" i="1"/>
  <c r="J43" i="1"/>
  <c r="J9" i="1"/>
  <c r="G653" i="1"/>
  <c r="I653" i="1" s="1"/>
  <c r="G22" i="2"/>
  <c r="G32" i="2" s="1"/>
  <c r="D29" i="13"/>
  <c r="C29" i="13" s="1"/>
  <c r="J184" i="1"/>
  <c r="J185" i="1" s="1"/>
  <c r="H161" i="1"/>
  <c r="C39" i="10" s="1"/>
  <c r="L519" i="1"/>
  <c r="L535" i="1" s="1"/>
  <c r="C114" i="2"/>
  <c r="D19" i="13"/>
  <c r="C19" i="13" s="1"/>
  <c r="C24" i="10"/>
  <c r="L534" i="1"/>
  <c r="G639" i="1"/>
  <c r="J639" i="1" s="1"/>
  <c r="G615" i="1"/>
  <c r="J615" i="1" s="1"/>
  <c r="I203" i="1"/>
  <c r="I249" i="1" s="1"/>
  <c r="I263" i="1" s="1"/>
  <c r="H651" i="1"/>
  <c r="L197" i="1"/>
  <c r="L354" i="1"/>
  <c r="D119" i="2"/>
  <c r="D120" i="2" s="1"/>
  <c r="D137" i="2" s="1"/>
  <c r="C5" i="13"/>
  <c r="G651" i="1"/>
  <c r="I651" i="1" s="1"/>
  <c r="D156" i="2"/>
  <c r="G636" i="1" l="1"/>
  <c r="G621" i="1"/>
  <c r="J621" i="1" s="1"/>
  <c r="F650" i="1"/>
  <c r="L249" i="1"/>
  <c r="L263" i="1" s="1"/>
  <c r="D36" i="10"/>
  <c r="C27" i="10"/>
  <c r="G625" i="1"/>
  <c r="G462" i="1"/>
  <c r="F458" i="1"/>
  <c r="G617" i="1"/>
  <c r="H185" i="1"/>
  <c r="J19" i="1"/>
  <c r="G611" i="1" s="1"/>
  <c r="G9" i="2"/>
  <c r="G19" i="2" s="1"/>
  <c r="D12" i="13"/>
  <c r="C113" i="2"/>
  <c r="C120" i="2" s="1"/>
  <c r="C137" i="2" s="1"/>
  <c r="C18" i="10"/>
  <c r="C41" i="10"/>
  <c r="E33" i="13"/>
  <c r="D35" i="13" s="1"/>
  <c r="C8" i="13"/>
  <c r="J44" i="1"/>
  <c r="H611" i="1" s="1"/>
  <c r="G616" i="1"/>
  <c r="J616" i="1" s="1"/>
  <c r="G458" i="1"/>
  <c r="G618" i="1"/>
  <c r="H657" i="1"/>
  <c r="H662" i="1"/>
  <c r="G623" i="1"/>
  <c r="H462" i="1"/>
  <c r="G627" i="1"/>
  <c r="J627" i="1" s="1"/>
  <c r="H636" i="1"/>
  <c r="G657" i="1"/>
  <c r="G662" i="1"/>
  <c r="C133" i="2"/>
  <c r="C136" i="2" s="1"/>
  <c r="E137" i="2"/>
  <c r="D37" i="10" l="1"/>
  <c r="D40" i="10"/>
  <c r="D35" i="10"/>
  <c r="F460" i="1"/>
  <c r="H617" i="1"/>
  <c r="J617" i="1" s="1"/>
  <c r="H623" i="1"/>
  <c r="H464" i="1"/>
  <c r="D18" i="10"/>
  <c r="J623" i="1"/>
  <c r="J625" i="1"/>
  <c r="D38" i="10"/>
  <c r="C12" i="13"/>
  <c r="D33" i="13"/>
  <c r="D36" i="13" s="1"/>
  <c r="G464" i="1"/>
  <c r="H625" i="1"/>
  <c r="J611" i="1"/>
  <c r="F462" i="1"/>
  <c r="G622" i="1"/>
  <c r="J618" i="1"/>
  <c r="F654" i="1"/>
  <c r="I650" i="1"/>
  <c r="I654" i="1" s="1"/>
  <c r="H618" i="1"/>
  <c r="G460" i="1"/>
  <c r="C28" i="10"/>
  <c r="J636" i="1"/>
  <c r="G619" i="1"/>
  <c r="H458" i="1"/>
  <c r="D39" i="10"/>
  <c r="F657" i="1" l="1"/>
  <c r="F662" i="1"/>
  <c r="C4" i="10" s="1"/>
  <c r="H622" i="1"/>
  <c r="J622" i="1" s="1"/>
  <c r="F464" i="1"/>
  <c r="F466" i="1" s="1"/>
  <c r="H612" i="1" s="1"/>
  <c r="D41" i="10"/>
  <c r="C30" i="10"/>
  <c r="D22" i="10"/>
  <c r="D19" i="10"/>
  <c r="D16" i="10"/>
  <c r="D20" i="10"/>
  <c r="D21" i="10"/>
  <c r="D26" i="10"/>
  <c r="D12" i="10"/>
  <c r="D13" i="10"/>
  <c r="D11" i="10"/>
  <c r="D25" i="10"/>
  <c r="D23" i="10"/>
  <c r="D17" i="10"/>
  <c r="D24" i="10"/>
  <c r="D10" i="10"/>
  <c r="D15" i="10"/>
  <c r="D27" i="10"/>
  <c r="I657" i="1"/>
  <c r="I662" i="1"/>
  <c r="C7" i="10" s="1"/>
  <c r="H460" i="1"/>
  <c r="H466" i="1" s="1"/>
  <c r="H614" i="1" s="1"/>
  <c r="J614" i="1" s="1"/>
  <c r="H619" i="1"/>
  <c r="J619" i="1"/>
  <c r="G466" i="1"/>
  <c r="H613" i="1" s="1"/>
  <c r="J613" i="1" s="1"/>
  <c r="J612" i="1" l="1"/>
  <c r="H646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EB4623A-4448-4B4F-B249-A9B82D335F0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E9E920A-3439-4195-84FF-F8B5A843449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D78A390-FECF-4FCD-B7A7-0DEFB2BC73F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81771EF-20A8-46C4-8831-DFB0AA215B8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6960CA2-34FE-4D9F-9A01-1C77A0BCACF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548096E-45A5-447F-B01E-B4B41A0CAFC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1D779E8-40AE-40B7-AD48-B923A01B14F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4AC5D04-205C-4A9C-8BE1-B672CD681B5E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C7F1223-9582-43C7-B728-513D9CE12D9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0067466-A3AC-44FB-8577-ED940E3B85A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92217E1-E7C7-4804-8234-AFE6B79CE27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971AE6A-6FFD-4636-81B9-08F32637C5E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<sst xmlns="http://schemas.openxmlformats.org/spreadsheetml/2006/main" count="3861" uniqueCount="898">
  <si>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</si>
  <si>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</si>
  <si>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</si>
  <si>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</si>
  <si>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</si>
  <si>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</si>
  <si>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</si>
  <si>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</si>
  <si>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</si>
  <si>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</si>
  <si>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</si>
  <si>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</si>
  <si>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</si>
  <si>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</si>
  <si>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</si>
  <si>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</si>
  <si>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</si>
  <si>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</si>
  <si>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</si>
  <si>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</si>
  <si>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</si>
  <si>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</si>
  <si>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</si>
  <si>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</si>
  <si>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</si>
  <si>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</si>
  <si>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</si>
  <si>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</si>
  <si>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</si>
  <si>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</si>
  <si>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</si>
  <si>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</si>
  <si>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</si>
  <si>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</si>
  <si>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</si>
  <si>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</si>
  <si>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</si>
  <si>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</si>
  <si>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</si>
  <si>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</si>
  <si>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</si>
  <si>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</si>
  <si>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</si>
  <si>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</si>
  <si>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</si>
  <si>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</si>
  <si>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</si>
  <si>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</si>
  <si>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</si>
  <si>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</si>
  <si>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</si>
  <si>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</si>
  <si>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</si>
  <si>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</si>
  <si>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</si>
  <si>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</si>
  <si>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</si>
  <si>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</si>
  <si>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</si>
  <si>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</si>
  <si>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</si>
  <si>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</si>
  <si>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</si>
  <si>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</si>
  <si>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</si>
  <si>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</si>
  <si>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</si>
  <si>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</si>
  <si>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</si>
  <si>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</si>
  <si>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</si>
  <si>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</si>
  <si>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</si>
  <si>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</si>
  <si>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</si>
  <si>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</si>
  <si>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</si>
  <si>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</si>
  <si>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</si>
  <si>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</si>
  <si>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</si>
  <si>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</si>
  <si>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</si>
  <si>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</si>
  <si>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</si>
  <si>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</si>
  <si>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</si>
  <si>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</si>
  <si>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</si>
  <si>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</si>
  <si>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</si>
  <si>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</si>
  <si>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</si>
  <si>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</si>
  <si>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</si>
  <si>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</si>
  <si>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</si>
  <si>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</si>
  <si>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</si>
  <si>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</si>
  <si>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</si>
  <si>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</si>
  <si>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</si>
  <si>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</si>
  <si>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</si>
  <si>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</si>
  <si>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</si>
  <si>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</si>
  <si>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</si>
  <si>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</si>
  <si>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</si>
  <si>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</si>
  <si>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</si>
  <si>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</si>
  <si>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</si>
  <si>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</si>
  <si>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</si>
  <si>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</si>
  <si>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</si>
  <si>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</si>
  <si>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</si>
  <si>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</si>
  <si>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</si>
  <si>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</si>
  <si>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</si>
  <si>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</si>
  <si>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</si>
  <si>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</si>
  <si>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</si>
  <si>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</si>
  <si>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</si>
  <si>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</si>
  <si>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</si>
  <si>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</si>
  <si>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</si>
  <si>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</si>
  <si>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</si>
  <si>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</si>
  <si>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</si>
  <si>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</si>
  <si>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</si>
  <si>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</si>
  <si>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</si>
  <si>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</si>
  <si>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</si>
  <si>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</si>
  <si>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</si>
  <si>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</si>
  <si>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</si>
  <si>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</si>
  <si>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</si>
  <si>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</si>
  <si>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</si>
  <si>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</si>
  <si>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</si>
  <si>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</si>
  <si>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</si>
  <si>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</si>
  <si>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</si>
  <si>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</si>
  <si>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</si>
  <si>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</si>
  <si>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</si>
  <si>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</si>
  <si>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</si>
  <si>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</si>
  <si>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</si>
  <si>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</si>
  <si>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</si>
  <si>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</si>
  <si>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</si>
  <si>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</si>
  <si>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</si>
  <si>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</si>
  <si>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</si>
  <si>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</si>
  <si>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</si>
  <si>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</si>
  <si>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</si>
  <si>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</si>
  <si>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</si>
  <si>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</si>
  <si>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</si>
  <si>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</si>
  <si>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</si>
  <si>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</si>
  <si>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</si>
  <si>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</si>
  <si>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</si>
  <si>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</si>
  <si>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</si>
  <si>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</si>
  <si>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</si>
  <si>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</si>
  <si>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</si>
  <si>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</si>
  <si>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</si>
  <si>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</si>
  <si>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</si>
  <si>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</si>
  <si>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</si>
  <si>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</si>
  <si>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</si>
  <si>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</si>
  <si>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</si>
  <si>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</si>
  <si>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</si>
  <si>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</si>
  <si>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</si>
  <si>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</si>
  <si>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</si>
  <si>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</si>
  <si>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</si>
  <si>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</si>
  <si>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</si>
  <si>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</si>
  <si>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</si>
  <si>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</si>
  <si>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</si>
  <si>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</si>
  <si>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</si>
  <si>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</si>
  <si>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</si>
  <si>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</si>
  <si>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</si>
  <si>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</si>
  <si>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</si>
  <si>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</si>
  <si>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</si>
  <si>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</si>
  <si>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</si>
  <si>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</si>
  <si>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</si>
  <si>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</si>
  <si>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</si>
  <si>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</si>
  <si>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</si>
  <si>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</si>
  <si>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</si>
  <si>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</si>
  <si>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</si>
  <si>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</si>
  <si>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</si>
  <si>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</si>
  <si>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</si>
  <si>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</si>
  <si>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</si>
  <si>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</si>
  <si>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</si>
  <si>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</si>
  <si>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</si>
  <si>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</si>
  <si>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</si>
  <si>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</si>
  <si>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</si>
  <si>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</si>
  <si>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</si>
  <si>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</si>
  <si>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</si>
  <si>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</si>
  <si>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</si>
  <si>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</si>
  <si>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</si>
  <si>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</si>
  <si>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</si>
  <si>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</si>
  <si>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</si>
  <si>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</si>
  <si>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</si>
  <si>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</si>
  <si>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</si>
  <si>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</si>
  <si>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</si>
  <si>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</si>
  <si>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</si>
  <si>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</si>
  <si>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</si>
  <si>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</si>
  <si>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</si>
  <si>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</si>
  <si>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</si>
  <si>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</si>
  <si>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</si>
  <si>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</si>
  <si>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</si>
  <si>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</si>
  <si>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</si>
  <si>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</si>
  <si>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</si>
  <si>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</si>
  <si>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</si>
  <si>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</si>
  <si>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</si>
  <si>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</si>
  <si>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</si>
  <si>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</si>
  <si>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</si>
  <si>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</si>
  <si>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</si>
  <si>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</si>
  <si>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</si>
  <si>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</si>
  <si>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</si>
  <si>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</si>
  <si>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</si>
  <si>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</si>
  <si>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</si>
  <si>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</si>
  <si>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</si>
  <si>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</si>
  <si>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</si>
  <si>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</si>
  <si>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</si>
  <si>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</si>
  <si>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</si>
  <si>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</si>
  <si>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</si>
  <si>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</si>
  <si>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</si>
  <si>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</si>
  <si>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</si>
  <si>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</si>
  <si>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</si>
  <si>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</si>
  <si>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</si>
  <si>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</si>
  <si>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</si>
  <si>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</si>
  <si>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</si>
  <si>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</si>
  <si>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</si>
  <si>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</si>
  <si>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</si>
  <si>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</si>
  <si>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</si>
  <si>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</si>
  <si>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</si>
  <si>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</si>
  <si>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</si>
  <si>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</si>
  <si>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</si>
  <si>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</si>
  <si>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</si>
  <si>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</si>
  <si>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</si>
  <si>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</si>
  <si>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</si>
  <si>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</si>
  <si>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</si>
  <si>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</si>
  <si>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</si>
  <si>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</si>
  <si>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</si>
  <si>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</si>
  <si>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</si>
  <si>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</si>
  <si>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</si>
  <si>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</si>
  <si>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</si>
  <si>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</si>
  <si>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</si>
  <si>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</si>
  <si>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</si>
  <si>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</si>
  <si>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</si>
  <si>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</si>
  <si>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</si>
  <si>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</si>
  <si>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</si>
  <si>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</si>
  <si>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</si>
  <si>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</si>
  <si>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</si>
  <si>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</si>
  <si>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</si>
  <si>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</si>
  <si>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</si>
  <si>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</si>
  <si>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</si>
  <si>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</si>
  <si>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</si>
  <si>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</si>
  <si>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</si>
  <si>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</si>
  <si>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</si>
  <si>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</si>
  <si>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</si>
  <si>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</si>
  <si>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</si>
  <si>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</si>
  <si>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</si>
  <si>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</si>
  <si>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</si>
  <si>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</si>
  <si>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</si>
  <si>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</si>
  <si>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</si>
  <si>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</si>
  <si>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</si>
  <si>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</si>
  <si>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</si>
  <si>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</si>
  <si>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</si>
  <si>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</si>
  <si>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</si>
  <si>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</si>
  <si>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</si>
  <si>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</si>
  <si>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</si>
  <si>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</si>
  <si>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</si>
  <si>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</si>
  <si>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</si>
  <si>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</si>
  <si>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</si>
  <si>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</si>
  <si>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</si>
  <si>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</si>
  <si>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</si>
  <si>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</si>
  <si>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</si>
  <si>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</si>
  <si>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</si>
  <si>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</si>
  <si>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</si>
  <si>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</si>
  <si>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</si>
  <si>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</si>
  <si>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</si>
  <si>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</si>
  <si>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</si>
  <si>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</si>
  <si>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</si>
  <si>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</si>
  <si>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</si>
  <si>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</si>
  <si>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</si>
  <si>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</si>
  <si>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</si>
  <si>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</si>
  <si>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</si>
  <si>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</si>
  <si>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</si>
  <si>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</si>
  <si>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</si>
  <si>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</si>
  <si>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</si>
  <si>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</si>
  <si>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</si>
  <si>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</si>
  <si>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</si>
  <si>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</si>
  <si>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</si>
  <si>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</si>
  <si>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</si>
  <si>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</si>
  <si>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</si>
  <si>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</si>
  <si>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</si>
  <si>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</si>
  <si>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</si>
  <si>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</si>
  <si>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</si>
  <si>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</si>
  <si>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</si>
  <si>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</si>
  <si>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</si>
  <si>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</si>
  <si>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</si>
  <si>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</si>
  <si>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</si>
  <si>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</si>
  <si>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</si>
  <si>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</si>
  <si>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</si>
  <si>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</si>
  <si>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</si>
  <si>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</si>
  <si>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</si>
  <si>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</si>
  <si>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</si>
  <si>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</si>
  <si>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</si>
  <si>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</si>
  <si>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</si>
  <si>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</si>
  <si>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</si>
  <si>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</si>
  <si>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</si>
  <si>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</si>
  <si>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</si>
  <si>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</si>
  <si>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</si>
  <si>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</si>
  <si>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</si>
  <si>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</si>
  <si>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</si>
  <si>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</si>
  <si>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</si>
  <si>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</si>
  <si>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</si>
  <si>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</si>
  <si>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</si>
  <si>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</si>
  <si>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</si>
  <si>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</si>
  <si>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</si>
  <si>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</si>
  <si>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</si>
  <si>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</si>
  <si>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</si>
  <si>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</si>
  <si>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</si>
  <si>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</si>
  <si>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</si>
  <si>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</si>
  <si>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</si>
  <si>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</si>
  <si>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</si>
  <si>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</si>
  <si>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</si>
  <si>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</si>
  <si>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</si>
  <si>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</si>
  <si>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</si>
  <si>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</si>
  <si>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</si>
  <si>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</si>
  <si>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</si>
  <si>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</si>
  <si>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</si>
  <si>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</si>
  <si>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</si>
  <si>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</si>
  <si>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</si>
  <si>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</si>
  <si>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</si>
  <si>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</si>
  <si>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</si>
  <si>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</si>
  <si>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</si>
  <si>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</si>
  <si>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</si>
  <si>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</si>
  <si>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</si>
  <si>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</si>
  <si>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</si>
  <si>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</si>
  <si>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</si>
  <si>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</si>
  <si>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</si>
  <si>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</si>
  <si>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</si>
  <si>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</si>
  <si>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</si>
  <si>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</si>
  <si>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</si>
  <si>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</si>
  <si>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</si>
  <si>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</si>
  <si>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</si>
  <si>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</si>
  <si>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</si>
  <si>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</si>
  <si>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</si>
  <si>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</si>
  <si>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</si>
  <si>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</si>
  <si>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</si>
  <si>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</si>
  <si>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</si>
  <si>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</si>
  <si>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</si>
  <si>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</si>
  <si>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</si>
  <si>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</si>
  <si>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</si>
  <si>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</si>
  <si>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</si>
  <si>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</si>
  <si>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</si>
  <si>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</si>
  <si>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</si>
  <si>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</si>
  <si>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</si>
  <si>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</si>
  <si>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</si>
  <si>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</si>
  <si>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</si>
  <si>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</si>
  <si>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</si>
  <si>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</si>
  <si>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</si>
  <si>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</si>
  <si>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</si>
  <si>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</si>
  <si>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</si>
  <si>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</si>
  <si>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</si>
  <si>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</si>
  <si>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</si>
  <si>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</si>
  <si>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</si>
  <si>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</si>
  <si>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</si>
  <si>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</si>
  <si>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</si>
  <si>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</si>
  <si>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</si>
  <si>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</si>
  <si>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</si>
  <si>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</si>
  <si>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</si>
  <si>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</si>
  <si>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</si>
  <si>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</si>
  <si>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</si>
  <si>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</si>
  <si>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</si>
  <si>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</si>
  <si>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</si>
  <si>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</si>
  <si>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</si>
  <si>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</si>
  <si>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</si>
  <si>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</si>
  <si>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</si>
  <si>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</si>
  <si>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</si>
  <si>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</si>
  <si>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</si>
  <si>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</si>
  <si>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</si>
  <si>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</si>
  <si>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</si>
  <si>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</si>
  <si>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</si>
  <si>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</si>
  <si>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</si>
  <si>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</si>
  <si>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</si>
  <si>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</si>
  <si>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</si>
  <si>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</si>
  <si>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</si>
  <si>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</si>
  <si>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</si>
  <si>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</si>
  <si>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</si>
  <si>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</si>
  <si>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</si>
  <si>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</si>
  <si>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</si>
  <si>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</si>
  <si>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</si>
  <si>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</si>
  <si>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</si>
  <si>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</si>
  <si>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</si>
  <si>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</si>
  <si>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</si>
  <si>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</si>
  <si>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</si>
  <si>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</si>
  <si>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</si>
  <si>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</si>
  <si>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</si>
  <si>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</si>
  <si>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</si>
  <si>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</si>
  <si>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</si>
  <si>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</si>
  <si>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</si>
  <si>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</si>
  <si>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</si>
  <si>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</si>
  <si>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</si>
  <si>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</si>
  <si>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</si>
  <si>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</si>
  <si>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</si>
  <si>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</si>
  <si>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</si>
  <si>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</si>
  <si>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</si>
  <si>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</si>
  <si>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</si>
  <si>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</si>
  <si>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</si>
  <si>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</si>
  <si>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</si>
  <si>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</si>
  <si>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</si>
  <si>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</si>
  <si>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</si>
  <si>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</si>
  <si>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</si>
  <si>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</si>
  <si>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</si>
  <si>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</si>
  <si>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</si>
  <si>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</si>
  <si>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</si>
  <si>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</si>
  <si>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</si>
  <si>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</si>
  <si>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</si>
  <si>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</si>
  <si>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</si>
  <si>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</si>
  <si>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</si>
  <si>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</si>
  <si>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</si>
  <si>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</si>
  <si>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</si>
  <si>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</si>
  <si>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</si>
  <si>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</si>
  <si>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</si>
  <si>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</si>
  <si>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</si>
  <si>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</si>
  <si>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</si>
  <si>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</si>
  <si>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</si>
  <si>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</si>
  <si>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</si>
  <si>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</si>
  <si>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</si>
  <si>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</si>
  <si>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</si>
  <si>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</si>
  <si>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</si>
  <si>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</si>
  <si>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</si>
  <si>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</si>
  <si>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</si>
  <si>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</si>
  <si>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</si>
  <si>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</si>
  <si>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</si>
  <si>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</si>
  <si>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</si>
  <si>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</si>
  <si>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</si>
  <si>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</si>
  <si>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</si>
  <si>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</si>
  <si>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</si>
  <si>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</si>
  <si>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</si>
  <si>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</si>
  <si>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</si>
  <si>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</si>
  <si>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</si>
  <si>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</si>
  <si>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</si>
  <si>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</si>
  <si>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</si>
  <si>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</si>
  <si>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</si>
  <si>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</si>
  <si>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</si>
  <si>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</si>
  <si>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</si>
  <si>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</si>
  <si>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</si>
  <si>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</si>
  <si>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</si>
  <si>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</si>
  <si>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</si>
  <si>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</si>
  <si>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</si>
  <si>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</si>
  <si>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</si>
  <si>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</si>
  <si>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</si>
  <si>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</si>
  <si>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</si>
  <si>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</si>
  <si>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</si>
  <si>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</si>
  <si>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</si>
  <si>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</si>
  <si>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</si>
  <si>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</si>
  <si>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</si>
  <si>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</si>
  <si>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</si>
  <si>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</si>
  <si>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</si>
  <si>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</si>
  <si>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</si>
  <si>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</si>
  <si>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</si>
  <si>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</si>
  <si>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</si>
  <si>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</si>
  <si>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</si>
  <si>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</si>
  <si>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</si>
  <si>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</si>
  <si>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</si>
  <si>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</si>
  <si>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</si>
  <si>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</si>
  <si>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</si>
  <si>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</si>
  <si>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</si>
  <si>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</si>
  <si>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</si>
  <si>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</si>
  <si>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</si>
  <si>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</si>
  <si>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</si>
  <si>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</si>
  <si>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</si>
  <si>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</si>
  <si>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</si>
  <si>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</si>
  <si>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</si>
  <si>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</si>
  <si>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</si>
  <si>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</si>
  <si>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</si>
  <si>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</si>
  <si>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</si>
  <si>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</si>
  <si>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</si>
  <si>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</si>
  <si>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</si>
  <si>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</si>
  <si>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</si>
  <si>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</si>
  <si>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</si>
  <si>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</si>
  <si>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</si>
  <si>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</si>
  <si>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</si>
  <si>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</si>
  <si>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</si>
  <si>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</si>
  <si>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</si>
  <si>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</si>
  <si>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</si>
  <si>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</si>
  <si>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</si>
  <si>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</si>
  <si>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</si>
  <si>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</si>
  <si>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</si>
  <si>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</si>
  <si>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</si>
  <si>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</si>
  <si>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</si>
  <si>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</si>
  <si>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</si>
  <si>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</si>
  <si>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</si>
  <si>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</si>
  <si>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</si>
  <si>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</si>
  <si>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</si>
  <si>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</si>
  <si>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</si>
  <si>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</si>
  <si>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</si>
  <si>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</si>
  <si>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</si>
  <si>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</si>
  <si>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</si>
  <si>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</si>
  <si>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</si>
  <si>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</si>
  <si>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</si>
  <si>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</si>
  <si>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</si>
  <si>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</si>
  <si>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</si>
  <si>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</si>
  <si>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</si>
  <si>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</si>
  <si>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</si>
  <si>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</si>
  <si>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</si>
  <si>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</si>
  <si>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</si>
  <si>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</si>
  <si>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</si>
  <si>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</si>
  <si>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</si>
  <si>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</si>
  <si>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</si>
  <si>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</si>
  <si>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Special Ed Reserve &amp; Investment Interest</t>
  </si>
  <si>
    <t>Freedom School District</t>
  </si>
  <si>
    <t>07/01</t>
  </si>
  <si>
    <t>07/11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</si>
</sst>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BE79-4F1A-49AB-9902-9E391AC1F6F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895</v>
      </c>
      <c r="B2" s="21">
        <v>187</v>
      </c>
      <c r="C2" s="21">
        <v>187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18193.12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62330.62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f>75000+9245</f>
        <v>84245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6976.47</v>
      </c>
      <c r="G12" s="18"/>
      <c r="H12" s="18">
        <v>12024.05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2092.2600000000002</v>
      </c>
      <c r="G13" s="18"/>
      <c r="H13" s="18">
        <v>4420.22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111506.84999999999</v>
      </c>
      <c r="G19" s="41">
        <f>SUM(G9:G18)</f>
        <v>0</v>
      </c>
      <c r="H19" s="41">
        <f>SUM(H9:H18)</f>
        <v>16444.27</v>
      </c>
      <c r="I19" s="41">
        <f>SUM(I9:I18)</f>
        <v>0</v>
      </c>
      <c r="J19" s="41">
        <f>SUM(J9:J18)</f>
        <v>62330.62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5134.08</v>
      </c>
      <c r="G23" s="18"/>
      <c r="H23" s="18">
        <v>13866.44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39285.46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1847.95</v>
      </c>
      <c r="G26" s="145"/>
      <c r="H26" s="18">
        <f>2159.24-116.4</f>
        <v>2042.8399999999997</v>
      </c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46267.49</v>
      </c>
      <c r="G33" s="41">
        <f>SUM(G23:G32)</f>
        <v>0</v>
      </c>
      <c r="H33" s="41">
        <f>SUM(H23:H32)</f>
        <v>15909.28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534.99</v>
      </c>
      <c r="I41" s="18"/>
      <c r="J41" s="13">
        <f>SUM(I449)</f>
        <v>62330.62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65239.360000000001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65239.360000000001</v>
      </c>
      <c r="G43" s="41">
        <f>SUM(G35:G42)</f>
        <v>0</v>
      </c>
      <c r="H43" s="41">
        <f>SUM(H35:H42)</f>
        <v>534.99</v>
      </c>
      <c r="I43" s="41">
        <f>SUM(I35:I42)</f>
        <v>0</v>
      </c>
      <c r="J43" s="41">
        <f>SUM(J35:J42)</f>
        <v>62330.62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111506.85</v>
      </c>
      <c r="G44" s="41">
        <f>G43+G33</f>
        <v>0</v>
      </c>
      <c r="H44" s="41">
        <f>H43+H33</f>
        <v>16444.27</v>
      </c>
      <c r="I44" s="41">
        <f>I43+I33</f>
        <v>0</v>
      </c>
      <c r="J44" s="41">
        <f>J43+J33</f>
        <v>62330.62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2145014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75000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2220014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6623.75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6623.75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395.34</v>
      </c>
      <c r="G88" s="18"/>
      <c r="H88" s="18"/>
      <c r="I88" s="18"/>
      <c r="J88" s="18">
        <v>720.52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242.07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637.41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720.52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2227275.16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720.52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1170869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1170869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63157.9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63157.9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1234026.8999999999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25019.15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698.43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7816.01+4376.92</f>
        <v>12192.93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1566.73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1566.73</v>
      </c>
      <c r="G154" s="41">
        <f>SUM(G142:G153)</f>
        <v>0</v>
      </c>
      <c r="H154" s="41">
        <f>SUM(H142:H153)</f>
        <v>37910.51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1566.73</v>
      </c>
      <c r="G161" s="41">
        <f>G139+G154+SUM(G155:G160)</f>
        <v>0</v>
      </c>
      <c r="H161" s="41">
        <f>H139+H154+SUM(H155:H160)</f>
        <v>37910.51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3462868.79</v>
      </c>
      <c r="G185" s="47">
        <f>G104+G132+G161+G184</f>
        <v>0</v>
      </c>
      <c r="H185" s="47">
        <f>H104+H132+H161+H184</f>
        <v>37910.51</v>
      </c>
      <c r="I185" s="47">
        <f>I104+I132+I161+I184</f>
        <v>0</v>
      </c>
      <c r="J185" s="47">
        <f>J104+J132+J184</f>
        <v>10720.52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418519.94</v>
      </c>
      <c r="G189" s="18">
        <v>139295.38</v>
      </c>
      <c r="H189" s="18">
        <f>1329964.5-518192-783420</f>
        <v>28352.5</v>
      </c>
      <c r="I189" s="18">
        <v>12089.55</v>
      </c>
      <c r="J189" s="18">
        <v>211.79</v>
      </c>
      <c r="K189" s="18">
        <v>381.55</v>
      </c>
      <c r="L189" s="19">
        <f>SUM(F189:K189)</f>
        <v>598850.7100000002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127843.97</v>
      </c>
      <c r="G190" s="18">
        <v>39082.910000000003</v>
      </c>
      <c r="H190" s="18"/>
      <c r="I190" s="18"/>
      <c r="J190" s="18"/>
      <c r="K190" s="18"/>
      <c r="L190" s="19">
        <f>SUM(F190:K190)</f>
        <v>166926.88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>
        <v>5500</v>
      </c>
      <c r="I192" s="18"/>
      <c r="J192" s="18"/>
      <c r="K192" s="18"/>
      <c r="L192" s="19">
        <f>SUM(F192:K192)</f>
        <v>5500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25952+39276+30252</f>
        <v>95480</v>
      </c>
      <c r="G194" s="18">
        <v>29408.44</v>
      </c>
      <c r="H194" s="18">
        <f>1500+44480.75</f>
        <v>45980.75</v>
      </c>
      <c r="I194" s="18">
        <f>616.67+218.75</f>
        <v>835.42</v>
      </c>
      <c r="J194" s="18">
        <v>244.25</v>
      </c>
      <c r="K194" s="18">
        <v>315</v>
      </c>
      <c r="L194" s="19">
        <f t="shared" ref="L194:L200" si="0">SUM(F194:K194)</f>
        <v>172263.86000000002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4475.24</v>
      </c>
      <c r="G195" s="18">
        <v>3388.16</v>
      </c>
      <c r="H195" s="18">
        <v>2660.2</v>
      </c>
      <c r="I195" s="18">
        <v>13929.17</v>
      </c>
      <c r="J195" s="18"/>
      <c r="K195" s="18"/>
      <c r="L195" s="19">
        <f t="shared" si="0"/>
        <v>24452.769999999997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f>169137.68-46416.47-70173.83</f>
        <v>52547.37999999999</v>
      </c>
      <c r="I196" s="18"/>
      <c r="J196" s="18"/>
      <c r="K196" s="18">
        <v>2811.49</v>
      </c>
      <c r="L196" s="19">
        <f t="shared" si="0"/>
        <v>55358.869999999988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96028.33+7813.08</f>
        <v>103841.41</v>
      </c>
      <c r="G197" s="18">
        <f>38060.1+597.69</f>
        <v>38657.79</v>
      </c>
      <c r="H197" s="18">
        <f>9432.43+8803.33</f>
        <v>18235.760000000002</v>
      </c>
      <c r="I197" s="18">
        <f>619.07+871.97</f>
        <v>1491.04</v>
      </c>
      <c r="J197" s="18">
        <v>6535.29</v>
      </c>
      <c r="K197" s="18">
        <v>455</v>
      </c>
      <c r="L197" s="19">
        <f t="shared" si="0"/>
        <v>169216.29000000004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37876.5</v>
      </c>
      <c r="G199" s="18">
        <v>14408.71</v>
      </c>
      <c r="H199" s="18">
        <f>13705.3+8951.25</f>
        <v>22656.55</v>
      </c>
      <c r="I199" s="18">
        <v>34835.65</v>
      </c>
      <c r="J199" s="18">
        <v>6845.75</v>
      </c>
      <c r="K199" s="18"/>
      <c r="L199" s="19">
        <f t="shared" si="0"/>
        <v>116623.16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29245.82</v>
      </c>
      <c r="G200" s="18">
        <v>20121.32</v>
      </c>
      <c r="H200" s="18">
        <v>6958.37</v>
      </c>
      <c r="I200" s="18">
        <v>23007.02</v>
      </c>
      <c r="J200" s="18"/>
      <c r="K200" s="18"/>
      <c r="L200" s="19">
        <f t="shared" si="0"/>
        <v>79332.53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817282.88</v>
      </c>
      <c r="G203" s="41">
        <f t="shared" si="1"/>
        <v>284362.71000000002</v>
      </c>
      <c r="H203" s="41">
        <f t="shared" si="1"/>
        <v>182891.50999999998</v>
      </c>
      <c r="I203" s="41">
        <f t="shared" si="1"/>
        <v>86187.85</v>
      </c>
      <c r="J203" s="41">
        <f t="shared" si="1"/>
        <v>13837.08</v>
      </c>
      <c r="K203" s="41">
        <f t="shared" si="1"/>
        <v>3963.04</v>
      </c>
      <c r="L203" s="41">
        <f t="shared" si="1"/>
        <v>1388525.0700000003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518192</v>
      </c>
      <c r="I207" s="18"/>
      <c r="J207" s="18"/>
      <c r="K207" s="18"/>
      <c r="L207" s="19">
        <f>SUM(F207:K207)</f>
        <v>518192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16489.11</v>
      </c>
      <c r="I208" s="18"/>
      <c r="J208" s="18"/>
      <c r="K208" s="18"/>
      <c r="L208" s="19">
        <f>SUM(F208:K208)</f>
        <v>16489.11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46406.47</v>
      </c>
      <c r="I214" s="18"/>
      <c r="J214" s="18"/>
      <c r="K214" s="18"/>
      <c r="L214" s="19">
        <f t="shared" si="2"/>
        <v>46406.47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28134.13</v>
      </c>
      <c r="G218" s="18">
        <v>19356.47</v>
      </c>
      <c r="H218" s="18">
        <v>6693.86</v>
      </c>
      <c r="I218" s="18">
        <v>22132.49</v>
      </c>
      <c r="J218" s="18"/>
      <c r="K218" s="18"/>
      <c r="L218" s="19">
        <f t="shared" si="2"/>
        <v>76316.950000000012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28134.13</v>
      </c>
      <c r="G221" s="41">
        <f>SUM(G207:G220)</f>
        <v>19356.47</v>
      </c>
      <c r="H221" s="41">
        <f>SUM(H207:H220)</f>
        <v>587781.43999999994</v>
      </c>
      <c r="I221" s="41">
        <f>SUM(I207:I220)</f>
        <v>22132.49</v>
      </c>
      <c r="J221" s="41">
        <f>SUM(J207:J220)</f>
        <v>0</v>
      </c>
      <c r="K221" s="41">
        <f t="shared" si="3"/>
        <v>0</v>
      </c>
      <c r="L221" s="41">
        <f t="shared" si="3"/>
        <v>657404.53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783420</v>
      </c>
      <c r="I225" s="18"/>
      <c r="J225" s="18"/>
      <c r="K225" s="18"/>
      <c r="L225" s="19">
        <f>SUM(F225:K225)</f>
        <v>783420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26023.75</v>
      </c>
      <c r="I226" s="18"/>
      <c r="J226" s="18"/>
      <c r="K226" s="18"/>
      <c r="L226" s="19">
        <f>SUM(F226:K226)</f>
        <v>26023.75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70173.83</v>
      </c>
      <c r="I232" s="18"/>
      <c r="J232" s="18"/>
      <c r="K232" s="18"/>
      <c r="L232" s="19">
        <f t="shared" si="4"/>
        <v>70173.83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28134.13</v>
      </c>
      <c r="G236" s="18">
        <v>19356.47</v>
      </c>
      <c r="H236" s="18">
        <v>6693.86</v>
      </c>
      <c r="I236" s="18">
        <v>22132.49</v>
      </c>
      <c r="J236" s="18"/>
      <c r="K236" s="18"/>
      <c r="L236" s="19">
        <f t="shared" si="4"/>
        <v>76316.950000000012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28134.13</v>
      </c>
      <c r="G239" s="41">
        <f t="shared" si="5"/>
        <v>19356.47</v>
      </c>
      <c r="H239" s="41">
        <f t="shared" si="5"/>
        <v>886311.44</v>
      </c>
      <c r="I239" s="41">
        <f t="shared" si="5"/>
        <v>22132.49</v>
      </c>
      <c r="J239" s="41">
        <f t="shared" si="5"/>
        <v>0</v>
      </c>
      <c r="K239" s="41">
        <f t="shared" si="5"/>
        <v>0</v>
      </c>
      <c r="L239" s="41">
        <f t="shared" si="5"/>
        <v>955934.53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873551.14</v>
      </c>
      <c r="G249" s="41">
        <f t="shared" si="8"/>
        <v>323075.65000000002</v>
      </c>
      <c r="H249" s="41">
        <f t="shared" si="8"/>
        <v>1656984.39</v>
      </c>
      <c r="I249" s="41">
        <f t="shared" si="8"/>
        <v>130452.83000000002</v>
      </c>
      <c r="J249" s="41">
        <f t="shared" si="8"/>
        <v>13837.08</v>
      </c>
      <c r="K249" s="41">
        <f t="shared" si="8"/>
        <v>3963.04</v>
      </c>
      <c r="L249" s="41">
        <f t="shared" si="8"/>
        <v>3001864.1300000004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500724.32</v>
      </c>
      <c r="L252" s="19">
        <f>SUM(F252:K252)</f>
        <v>500724.32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21128.080000000002</v>
      </c>
      <c r="L253" s="19">
        <f>SUM(F253:K253)</f>
        <v>21128.080000000002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531852.4</v>
      </c>
      <c r="L262" s="41">
        <f t="shared" si="9"/>
        <v>531852.4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873551.14</v>
      </c>
      <c r="G263" s="42">
        <f t="shared" si="11"/>
        <v>323075.65000000002</v>
      </c>
      <c r="H263" s="42">
        <f t="shared" si="11"/>
        <v>1656984.39</v>
      </c>
      <c r="I263" s="42">
        <f t="shared" si="11"/>
        <v>130452.83000000002</v>
      </c>
      <c r="J263" s="42">
        <f t="shared" si="11"/>
        <v>13837.08</v>
      </c>
      <c r="K263" s="42">
        <f t="shared" si="11"/>
        <v>535815.44000000006</v>
      </c>
      <c r="L263" s="42">
        <f t="shared" si="11"/>
        <v>3533716.5300000003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9224.94</v>
      </c>
      <c r="G268" s="18">
        <v>705.74</v>
      </c>
      <c r="H268" s="18">
        <v>25019.15</v>
      </c>
      <c r="I268" s="18">
        <f>2542.09</f>
        <v>2542.09</v>
      </c>
      <c r="J268" s="18">
        <v>2592</v>
      </c>
      <c r="K268" s="18"/>
      <c r="L268" s="19">
        <f>SUM(F268:K268)</f>
        <v>40083.919999999998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9224.94</v>
      </c>
      <c r="G282" s="42">
        <f t="shared" si="13"/>
        <v>705.74</v>
      </c>
      <c r="H282" s="42">
        <f t="shared" si="13"/>
        <v>25019.15</v>
      </c>
      <c r="I282" s="42">
        <f t="shared" si="13"/>
        <v>2542.09</v>
      </c>
      <c r="J282" s="42">
        <f t="shared" si="13"/>
        <v>2592</v>
      </c>
      <c r="K282" s="42">
        <f t="shared" si="13"/>
        <v>0</v>
      </c>
      <c r="L282" s="41">
        <f t="shared" si="13"/>
        <v>40083.919999999998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9224.94</v>
      </c>
      <c r="G330" s="41">
        <f t="shared" si="20"/>
        <v>705.74</v>
      </c>
      <c r="H330" s="41">
        <f t="shared" si="20"/>
        <v>25019.15</v>
      </c>
      <c r="I330" s="41">
        <f t="shared" si="20"/>
        <v>2542.09</v>
      </c>
      <c r="J330" s="41">
        <f t="shared" si="20"/>
        <v>2592</v>
      </c>
      <c r="K330" s="41">
        <f t="shared" si="20"/>
        <v>0</v>
      </c>
      <c r="L330" s="41">
        <f t="shared" si="20"/>
        <v>40083.919999999998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9224.94</v>
      </c>
      <c r="G344" s="41">
        <f>G330</f>
        <v>705.74</v>
      </c>
      <c r="H344" s="41">
        <f>H330</f>
        <v>25019.15</v>
      </c>
      <c r="I344" s="41">
        <f>I330</f>
        <v>2542.09</v>
      </c>
      <c r="J344" s="41">
        <f>J330</f>
        <v>2592</v>
      </c>
      <c r="K344" s="47">
        <f>K330+K343</f>
        <v>0</v>
      </c>
      <c r="L344" s="41">
        <f>L330+L343</f>
        <v>40083.919999999998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7000</v>
      </c>
      <c r="H381" s="18">
        <v>123.41</v>
      </c>
      <c r="I381" s="18"/>
      <c r="J381" s="24" t="s">
        <v>312</v>
      </c>
      <c r="K381" s="24" t="s">
        <v>312</v>
      </c>
      <c r="L381" s="56">
        <f t="shared" si="25"/>
        <v>7123.41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>
        <v>199.04</v>
      </c>
      <c r="I382" s="18"/>
      <c r="J382" s="24" t="s">
        <v>312</v>
      </c>
      <c r="K382" s="24" t="s">
        <v>312</v>
      </c>
      <c r="L382" s="56">
        <f t="shared" si="25"/>
        <v>199.04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7000</v>
      </c>
      <c r="H385" s="139">
        <f>SUM(H379:H384)</f>
        <v>322.45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7322.45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3000</v>
      </c>
      <c r="H389" s="18">
        <v>398.07</v>
      </c>
      <c r="I389" s="18"/>
      <c r="J389" s="24" t="s">
        <v>312</v>
      </c>
      <c r="K389" s="24" t="s">
        <v>312</v>
      </c>
      <c r="L389" s="56">
        <f t="shared" si="26"/>
        <v>3398.07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3000</v>
      </c>
      <c r="H393" s="47">
        <f>SUM(H387:H392)</f>
        <v>398.07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3398.07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720.52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10720.52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62330.62</v>
      </c>
      <c r="G432" s="18"/>
      <c r="H432" s="18"/>
      <c r="I432" s="56">
        <f t="shared" si="33"/>
        <v>62330.62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62330.62</v>
      </c>
      <c r="G438" s="13">
        <f>SUM(G431:G437)</f>
        <v>0</v>
      </c>
      <c r="H438" s="13">
        <f>SUM(H431:H437)</f>
        <v>0</v>
      </c>
      <c r="I438" s="13">
        <f>SUM(I431:I437)</f>
        <v>62330.62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62330.62</v>
      </c>
      <c r="G449" s="18"/>
      <c r="H449" s="18"/>
      <c r="I449" s="56">
        <f>SUM(F449:H449)</f>
        <v>62330.62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62330.62</v>
      </c>
      <c r="G450" s="83">
        <f>SUM(G446:G449)</f>
        <v>0</v>
      </c>
      <c r="H450" s="83">
        <f>SUM(H446:H449)</f>
        <v>0</v>
      </c>
      <c r="I450" s="83">
        <f>SUM(I446:I449)</f>
        <v>62330.62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62330.62</v>
      </c>
      <c r="G451" s="42">
        <f>G444+G450</f>
        <v>0</v>
      </c>
      <c r="H451" s="42">
        <f>H444+H450</f>
        <v>0</v>
      </c>
      <c r="I451" s="42">
        <f>I444+I450</f>
        <v>62330.62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f>136126.1-39</f>
        <v>136087.1</v>
      </c>
      <c r="G455" s="18"/>
      <c r="H455" s="18">
        <v>2708.4</v>
      </c>
      <c r="I455" s="18"/>
      <c r="J455" s="18">
        <v>51610.1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3462868.79</v>
      </c>
      <c r="G458" s="18">
        <f>G185</f>
        <v>0</v>
      </c>
      <c r="H458" s="18">
        <f>H185</f>
        <v>37910.51</v>
      </c>
      <c r="I458" s="18"/>
      <c r="J458" s="18">
        <v>10720.52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3462868.79</v>
      </c>
      <c r="G460" s="53">
        <f>SUM(G458:G459)</f>
        <v>0</v>
      </c>
      <c r="H460" s="53">
        <f>SUM(H458:H459)</f>
        <v>37910.51</v>
      </c>
      <c r="I460" s="53">
        <f>SUM(I458:I459)</f>
        <v>0</v>
      </c>
      <c r="J460" s="53">
        <f>SUM(J458:J459)</f>
        <v>10720.52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3533716.5300000003</v>
      </c>
      <c r="G462" s="18">
        <f>L354</f>
        <v>0</v>
      </c>
      <c r="H462" s="18">
        <f>L344</f>
        <v>40083.919999999998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3533716.5300000003</v>
      </c>
      <c r="G464" s="53">
        <f>SUM(G462:G463)</f>
        <v>0</v>
      </c>
      <c r="H464" s="53">
        <f>SUM(H462:H463)</f>
        <v>40083.919999999998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65239.35999999987</v>
      </c>
      <c r="G466" s="53">
        <f>(G455+G460)- G464</f>
        <v>0</v>
      </c>
      <c r="H466" s="53">
        <f>(H455+H460)- H464</f>
        <v>534.99000000000524</v>
      </c>
      <c r="I466" s="53">
        <f>(I455+I460)- I464</f>
        <v>0</v>
      </c>
      <c r="J466" s="53">
        <f>(J455+J460)- J464</f>
        <v>62330.619999999995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894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2000000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1">
        <v>4.6900000000000004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526315.76</v>
      </c>
      <c r="G485" s="18"/>
      <c r="H485" s="18"/>
      <c r="I485" s="18"/>
      <c r="J485" s="18"/>
      <c r="K485" s="53">
        <f>SUM(F485:J485)</f>
        <v>526315.76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210527</v>
      </c>
      <c r="G487" s="18"/>
      <c r="H487" s="18"/>
      <c r="I487" s="18"/>
      <c r="J487" s="18"/>
      <c r="K487" s="53">
        <f t="shared" si="34"/>
        <v>210527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315788.76</v>
      </c>
      <c r="G488" s="205"/>
      <c r="H488" s="205"/>
      <c r="I488" s="205"/>
      <c r="J488" s="205"/>
      <c r="K488" s="206">
        <f t="shared" si="34"/>
        <v>315788.76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14769</v>
      </c>
      <c r="G489" s="18"/>
      <c r="H489" s="18"/>
      <c r="I489" s="18"/>
      <c r="J489" s="18"/>
      <c r="K489" s="53">
        <f t="shared" si="34"/>
        <v>14769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330557.76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330557.76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210527</v>
      </c>
      <c r="G491" s="205"/>
      <c r="H491" s="205"/>
      <c r="I491" s="205"/>
      <c r="J491" s="205"/>
      <c r="K491" s="206">
        <f t="shared" si="34"/>
        <v>210527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12322</v>
      </c>
      <c r="G492" s="18"/>
      <c r="H492" s="18"/>
      <c r="I492" s="18"/>
      <c r="J492" s="18"/>
      <c r="K492" s="53">
        <f t="shared" si="34"/>
        <v>12322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222849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222849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>
        <f>F497</f>
        <v>0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127843.97</v>
      </c>
      <c r="G511" s="18">
        <v>39082.910000000003</v>
      </c>
      <c r="H511" s="18"/>
      <c r="I511" s="18"/>
      <c r="J511" s="18"/>
      <c r="K511" s="18"/>
      <c r="L511" s="88">
        <f>SUM(F511:K511)</f>
        <v>166926.88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16489.11</v>
      </c>
      <c r="I512" s="18"/>
      <c r="J512" s="18"/>
      <c r="K512" s="18"/>
      <c r="L512" s="88">
        <f>SUM(F512:K512)</f>
        <v>16489.11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26023.75</v>
      </c>
      <c r="I513" s="18"/>
      <c r="J513" s="18"/>
      <c r="K513" s="18"/>
      <c r="L513" s="88">
        <f>SUM(F513:K513)</f>
        <v>26023.75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127843.97</v>
      </c>
      <c r="G514" s="108">
        <f t="shared" ref="G514:L514" si="35">SUM(G511:G513)</f>
        <v>39082.910000000003</v>
      </c>
      <c r="H514" s="108">
        <f t="shared" si="35"/>
        <v>42512.86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209439.74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30252</v>
      </c>
      <c r="G516" s="18">
        <v>13575.94</v>
      </c>
      <c r="H516" s="18">
        <v>44480.75</v>
      </c>
      <c r="I516" s="18">
        <v>835.42</v>
      </c>
      <c r="J516" s="18"/>
      <c r="K516" s="18"/>
      <c r="L516" s="88">
        <f>SUM(F516:K516)</f>
        <v>89144.11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30252</v>
      </c>
      <c r="G519" s="89">
        <f t="shared" ref="G519:L519" si="36">SUM(G516:G518)</f>
        <v>13575.94</v>
      </c>
      <c r="H519" s="89">
        <f t="shared" si="36"/>
        <v>44480.75</v>
      </c>
      <c r="I519" s="89">
        <f t="shared" si="36"/>
        <v>835.42</v>
      </c>
      <c r="J519" s="89">
        <f t="shared" si="36"/>
        <v>0</v>
      </c>
      <c r="K519" s="89">
        <f t="shared" si="36"/>
        <v>0</v>
      </c>
      <c r="L519" s="89">
        <f t="shared" si="36"/>
        <v>89144.11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23844.54</v>
      </c>
      <c r="I521" s="18"/>
      <c r="J521" s="18"/>
      <c r="K521" s="18"/>
      <c r="L521" s="88">
        <f>SUM(F521:K521)</f>
        <v>23844.54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3179.27</v>
      </c>
      <c r="I522" s="18"/>
      <c r="J522" s="18"/>
      <c r="K522" s="18"/>
      <c r="L522" s="88">
        <f>SUM(F522:K522)</f>
        <v>3179.27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4768.91</v>
      </c>
      <c r="I523" s="18"/>
      <c r="J523" s="18"/>
      <c r="K523" s="18"/>
      <c r="L523" s="88">
        <f>SUM(F523:K523)</f>
        <v>4768.91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31792.720000000001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31792.720000000001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1694.44</v>
      </c>
      <c r="I531" s="18"/>
      <c r="J531" s="18"/>
      <c r="K531" s="18"/>
      <c r="L531" s="88">
        <f>SUM(F531:K531)</f>
        <v>1694.44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1694.44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1694.44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158095.97</v>
      </c>
      <c r="G535" s="89">
        <f t="shared" ref="G535:L535" si="40">G514+G519+G524+G529+G534</f>
        <v>52658.850000000006</v>
      </c>
      <c r="H535" s="89">
        <f t="shared" si="40"/>
        <v>120480.77</v>
      </c>
      <c r="I535" s="89">
        <f t="shared" si="40"/>
        <v>835.42</v>
      </c>
      <c r="J535" s="89">
        <f t="shared" si="40"/>
        <v>0</v>
      </c>
      <c r="K535" s="89">
        <f t="shared" si="40"/>
        <v>0</v>
      </c>
      <c r="L535" s="89">
        <f t="shared" si="40"/>
        <v>332071.00999999995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166926.88</v>
      </c>
      <c r="G539" s="87">
        <f>L516</f>
        <v>89144.11</v>
      </c>
      <c r="H539" s="87">
        <f>L521</f>
        <v>23844.54</v>
      </c>
      <c r="I539" s="87">
        <f>L526</f>
        <v>0</v>
      </c>
      <c r="J539" s="87">
        <f>L531</f>
        <v>1694.44</v>
      </c>
      <c r="K539" s="87">
        <f>SUM(F539:J539)</f>
        <v>281609.96999999997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16489.11</v>
      </c>
      <c r="G540" s="87">
        <f>L517</f>
        <v>0</v>
      </c>
      <c r="H540" s="87">
        <f>L522</f>
        <v>3179.27</v>
      </c>
      <c r="I540" s="87">
        <f>L527</f>
        <v>0</v>
      </c>
      <c r="J540" s="87">
        <f>L532</f>
        <v>0</v>
      </c>
      <c r="K540" s="87">
        <f>SUM(F540:J540)</f>
        <v>19668.38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26023.75</v>
      </c>
      <c r="G541" s="87">
        <f>L518</f>
        <v>0</v>
      </c>
      <c r="H541" s="87">
        <f>L523</f>
        <v>4768.91</v>
      </c>
      <c r="I541" s="87">
        <f>L528</f>
        <v>0</v>
      </c>
      <c r="J541" s="87">
        <f>L533</f>
        <v>0</v>
      </c>
      <c r="K541" s="87">
        <f>SUM(F541:J541)</f>
        <v>30792.66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209439.74</v>
      </c>
      <c r="G542" s="89">
        <f t="shared" si="41"/>
        <v>89144.11</v>
      </c>
      <c r="H542" s="89">
        <f t="shared" si="41"/>
        <v>31792.720000000001</v>
      </c>
      <c r="I542" s="89">
        <f t="shared" si="41"/>
        <v>0</v>
      </c>
      <c r="J542" s="89">
        <f t="shared" si="41"/>
        <v>1694.44</v>
      </c>
      <c r="K542" s="89">
        <f t="shared" si="41"/>
        <v>332071.00999999995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518192</v>
      </c>
      <c r="H565" s="18">
        <v>783420</v>
      </c>
      <c r="I565" s="87">
        <f>SUM(F565:H565)</f>
        <v>1301612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16489.11</v>
      </c>
      <c r="H569" s="18"/>
      <c r="I569" s="87">
        <f t="shared" si="46"/>
        <v>16489.11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26023.75</v>
      </c>
      <c r="I572" s="87">
        <f t="shared" si="46"/>
        <v>26023.75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77638.09</v>
      </c>
      <c r="I581" s="18">
        <v>76316.95</v>
      </c>
      <c r="J581" s="18">
        <v>76316.95</v>
      </c>
      <c r="K581" s="104">
        <f t="shared" ref="K581:K587" si="47">SUM(H581:J581)</f>
        <v>230271.99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1694.44</v>
      </c>
      <c r="I582" s="18"/>
      <c r="J582" s="18"/>
      <c r="K582" s="104">
        <f t="shared" si="47"/>
        <v>1694.44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79332.53</v>
      </c>
      <c r="I588" s="108">
        <f>SUM(I581:I587)</f>
        <v>76316.95</v>
      </c>
      <c r="J588" s="108">
        <f>SUM(J581:J587)</f>
        <v>76316.95</v>
      </c>
      <c r="K588" s="108">
        <f>SUM(K581:K587)</f>
        <v>231966.43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16429.080000000002</v>
      </c>
      <c r="I594" s="18"/>
      <c r="J594" s="18"/>
      <c r="K594" s="104">
        <f>SUM(H594:J594)</f>
        <v>16429.080000000002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16429.080000000002</v>
      </c>
      <c r="I595" s="108">
        <f>SUM(I592:I594)</f>
        <v>0</v>
      </c>
      <c r="J595" s="108">
        <f>SUM(J592:J594)</f>
        <v>0</v>
      </c>
      <c r="K595" s="108">
        <f>SUM(K592:K594)</f>
        <v>16429.080000000002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111506.84999999999</v>
      </c>
      <c r="H607" s="109">
        <f>SUM(F44)</f>
        <v>111506.85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16444.27</v>
      </c>
      <c r="H609" s="109">
        <f>SUM(H44)</f>
        <v>16444.27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62330.62</v>
      </c>
      <c r="H611" s="109">
        <f>SUM(J44)</f>
        <v>62330.62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65239.360000000001</v>
      </c>
      <c r="H612" s="109">
        <f>F466</f>
        <v>65239.35999999987</v>
      </c>
      <c r="I612" s="121" t="s">
        <v>106</v>
      </c>
      <c r="J612" s="109">
        <f t="shared" ref="J612:J645" si="49">G612-H612</f>
        <v>1.3096723705530167E-10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534.99</v>
      </c>
      <c r="H614" s="109">
        <f>H466</f>
        <v>534.99000000000524</v>
      </c>
      <c r="I614" s="121" t="s">
        <v>110</v>
      </c>
      <c r="J614" s="109">
        <f t="shared" si="49"/>
        <v>-5.2295945351943374E-12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62330.62</v>
      </c>
      <c r="H616" s="109">
        <f>J466</f>
        <v>62330.619999999995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3462868.79</v>
      </c>
      <c r="H617" s="104">
        <f>SUM(F458)</f>
        <v>3462868.79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37910.51</v>
      </c>
      <c r="H619" s="104">
        <f>SUM(H458)</f>
        <v>37910.51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10720.52</v>
      </c>
      <c r="H621" s="104">
        <f>SUM(J458)</f>
        <v>10720.52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3533716.5300000003</v>
      </c>
      <c r="H622" s="104">
        <f>SUM(F462)</f>
        <v>3533716.5300000003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40083.919999999998</v>
      </c>
      <c r="H623" s="104">
        <f>SUM(H462)</f>
        <v>40083.919999999998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10720.52</v>
      </c>
      <c r="H627" s="164">
        <f>SUM(J458)</f>
        <v>10720.52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62330.62</v>
      </c>
      <c r="H629" s="104">
        <f>SUM(F451)</f>
        <v>62330.62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62330.62</v>
      </c>
      <c r="H632" s="104">
        <f>SUM(I451)</f>
        <v>62330.62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720.52</v>
      </c>
      <c r="H634" s="104">
        <f>H400</f>
        <v>720.52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10720.52</v>
      </c>
      <c r="H636" s="104">
        <f>L400</f>
        <v>10720.52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231966.43</v>
      </c>
      <c r="H637" s="104">
        <f>L200+L218+L236</f>
        <v>231966.43000000002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16429.080000000002</v>
      </c>
      <c r="H638" s="104">
        <f>(J249+J330)-(J247+J328)</f>
        <v>16429.080000000002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79332.53</v>
      </c>
      <c r="H639" s="104">
        <f>H588</f>
        <v>79332.53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76316.950000000012</v>
      </c>
      <c r="H640" s="104">
        <f>I588</f>
        <v>76316.95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76316.950000000012</v>
      </c>
      <c r="H641" s="104">
        <f>J588</f>
        <v>76316.95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1428608.9900000002</v>
      </c>
      <c r="G650" s="19">
        <f>(L221+L301+L351)</f>
        <v>657404.53</v>
      </c>
      <c r="H650" s="19">
        <f>(L239+L320+L352)</f>
        <v>955934.53</v>
      </c>
      <c r="I650" s="19">
        <f>SUM(F650:H650)</f>
        <v>3041948.0500000003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79332.53</v>
      </c>
      <c r="G652" s="19">
        <f>(L218+L298)-(J218+J298)</f>
        <v>76316.950000000012</v>
      </c>
      <c r="H652" s="19">
        <f>(L236+L317)-(J236+J317)</f>
        <v>76316.950000000012</v>
      </c>
      <c r="I652" s="19">
        <f>SUM(F652:H652)</f>
        <v>231966.43000000002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16429.080000000002</v>
      </c>
      <c r="G653" s="200">
        <f>SUM(G565:G577)+SUM(I592:I594)+L602</f>
        <v>534681.11</v>
      </c>
      <c r="H653" s="200">
        <f>SUM(H565:H577)+SUM(J592:J594)+L603</f>
        <v>809443.75</v>
      </c>
      <c r="I653" s="19">
        <f>SUM(F653:H653)</f>
        <v>1360553.94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1332847.3800000001</v>
      </c>
      <c r="G654" s="19">
        <f>G650-SUM(G651:G653)</f>
        <v>46406.469999999972</v>
      </c>
      <c r="H654" s="19">
        <f>H650-SUM(H651:H653)</f>
        <v>70173.830000000075</v>
      </c>
      <c r="I654" s="19">
        <f>I650-SUM(I651:I653)</f>
        <v>1449427.6800000004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81.17</v>
      </c>
      <c r="G655" s="249"/>
      <c r="H655" s="249"/>
      <c r="I655" s="19">
        <f>SUM(F655:H655)</f>
        <v>81.17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16420.439999999999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17856.689999999999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-46406.47</v>
      </c>
      <c r="H659" s="18">
        <v>-70173.83</v>
      </c>
      <c r="I659" s="19">
        <f>SUM(F659:H659)</f>
        <v>-116580.3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16420.439999999999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16420.439999999999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DD19-A72F-4BF4-A024-8C1D76A21930}">
  <sheetPr>
    <tabColor indexed="20"/>
  </sheetPr>
  <dimension ref="A1:C52"/>
  <sheetViews>
    <sheetView topLeftCell="A7" workbookViewId="0">
      <selection activeCell="C45" sqref="C4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Freedom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427744.88</v>
      </c>
      <c r="C9" s="230">
        <f>'DOE25'!G189+'DOE25'!G207+'DOE25'!G225+'DOE25'!G268+'DOE25'!G287+'DOE25'!G306</f>
        <v>140001.12</v>
      </c>
    </row>
    <row r="10" spans="1:3" x14ac:dyDescent="0.2">
      <c r="A10" t="s">
        <v>813</v>
      </c>
      <c r="B10" s="241">
        <v>403399.76</v>
      </c>
      <c r="C10" s="241">
        <v>139295.38</v>
      </c>
    </row>
    <row r="11" spans="1:3" x14ac:dyDescent="0.2">
      <c r="A11" t="s">
        <v>814</v>
      </c>
      <c r="B11" s="241">
        <f>15120.18+9224.94</f>
        <v>24345.120000000003</v>
      </c>
      <c r="C11" s="241">
        <v>705.74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427744.88</v>
      </c>
      <c r="C13" s="232">
        <f>SUM(C10:C12)</f>
        <v>140001.12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127843.97</v>
      </c>
      <c r="C18" s="230">
        <f>'DOE25'!G190+'DOE25'!G208+'DOE25'!G226+'DOE25'!G269+'DOE25'!G288+'DOE25'!G307</f>
        <v>39082.910000000003</v>
      </c>
    </row>
    <row r="19" spans="1:3" x14ac:dyDescent="0.2">
      <c r="A19" t="s">
        <v>813</v>
      </c>
      <c r="B19" s="241">
        <v>101825.8</v>
      </c>
      <c r="C19" s="241">
        <v>39082.910000000003</v>
      </c>
    </row>
    <row r="20" spans="1:3" x14ac:dyDescent="0.2">
      <c r="A20" t="s">
        <v>814</v>
      </c>
      <c r="B20" s="241">
        <v>26018.17</v>
      </c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127843.97</v>
      </c>
      <c r="C22" s="232">
        <f>SUM(C19:C21)</f>
        <v>39082.910000000003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581C-DEF9-4BAF-ADE8-1B12CAAE62DF}">
  <sheetPr>
    <tabColor indexed="11"/>
  </sheetPr>
  <dimension ref="A1:I51"/>
  <sheetViews>
    <sheetView workbookViewId="0">
      <pane ySplit="4" topLeftCell="A7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Freedom School District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2115402.4500000002</v>
      </c>
      <c r="D5" s="20">
        <f>SUM('DOE25'!L189:L192)+SUM('DOE25'!L207:L210)+SUM('DOE25'!L225:L228)-F5-G5</f>
        <v>2114809.1100000003</v>
      </c>
      <c r="E5" s="244"/>
      <c r="F5" s="256">
        <f>SUM('DOE25'!J189:J192)+SUM('DOE25'!J207:J210)+SUM('DOE25'!J225:J228)</f>
        <v>211.79</v>
      </c>
      <c r="G5" s="53">
        <f>SUM('DOE25'!K189:K192)+SUM('DOE25'!K207:K210)+SUM('DOE25'!K225:K228)</f>
        <v>381.55</v>
      </c>
      <c r="H5" s="260"/>
    </row>
    <row r="6" spans="1:9" x14ac:dyDescent="0.2">
      <c r="A6" s="32">
        <v>2100</v>
      </c>
      <c r="B6" t="s">
        <v>835</v>
      </c>
      <c r="C6" s="246">
        <f t="shared" si="0"/>
        <v>172263.86000000002</v>
      </c>
      <c r="D6" s="20">
        <f>'DOE25'!L194+'DOE25'!L212+'DOE25'!L230-F6-G6</f>
        <v>171704.61000000002</v>
      </c>
      <c r="E6" s="244"/>
      <c r="F6" s="256">
        <f>'DOE25'!J194+'DOE25'!J212+'DOE25'!J230</f>
        <v>244.25</v>
      </c>
      <c r="G6" s="53">
        <f>'DOE25'!K194+'DOE25'!K212+'DOE25'!K230</f>
        <v>315</v>
      </c>
      <c r="H6" s="260"/>
    </row>
    <row r="7" spans="1:9" x14ac:dyDescent="0.2">
      <c r="A7" s="32">
        <v>2200</v>
      </c>
      <c r="B7" t="s">
        <v>868</v>
      </c>
      <c r="C7" s="246">
        <f t="shared" si="0"/>
        <v>24452.769999999997</v>
      </c>
      <c r="D7" s="20">
        <f>'DOE25'!L195+'DOE25'!L213+'DOE25'!L231-F7-G7</f>
        <v>24452.769999999997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112360.96999999999</v>
      </c>
      <c r="D8" s="244"/>
      <c r="E8" s="20">
        <f>'DOE25'!L196+'DOE25'!L214+'DOE25'!L232-F8-G8-D9-D11</f>
        <v>109549.47999999998</v>
      </c>
      <c r="F8" s="256">
        <f>'DOE25'!J196+'DOE25'!J214+'DOE25'!J232</f>
        <v>0</v>
      </c>
      <c r="G8" s="53">
        <f>'DOE25'!K196+'DOE25'!K214+'DOE25'!K232</f>
        <v>2811.49</v>
      </c>
      <c r="H8" s="260"/>
    </row>
    <row r="9" spans="1:9" x14ac:dyDescent="0.2">
      <c r="A9" s="32">
        <v>2310</v>
      </c>
      <c r="B9" t="s">
        <v>852</v>
      </c>
      <c r="C9" s="246">
        <f t="shared" si="0"/>
        <v>13060.76</v>
      </c>
      <c r="D9" s="245">
        <f>3750+210+920.75+3968.52+1250+150+2811.49</f>
        <v>13060.76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6956.46</v>
      </c>
      <c r="D10" s="244"/>
      <c r="E10" s="245">
        <f>4875+2081.46</f>
        <v>6956.46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46517.440000000002</v>
      </c>
      <c r="D11" s="245">
        <v>46517.440000000002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169216.29000000004</v>
      </c>
      <c r="D12" s="20">
        <f>'DOE25'!L197+'DOE25'!L215+'DOE25'!L233-F12-G12</f>
        <v>162226.00000000003</v>
      </c>
      <c r="E12" s="244"/>
      <c r="F12" s="256">
        <f>'DOE25'!J197+'DOE25'!J215+'DOE25'!J233</f>
        <v>6535.29</v>
      </c>
      <c r="G12" s="53">
        <f>'DOE25'!K197+'DOE25'!K215+'DOE25'!K233</f>
        <v>455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116623.16</v>
      </c>
      <c r="D14" s="20">
        <f>'DOE25'!L199+'DOE25'!L217+'DOE25'!L235-F14-G14</f>
        <v>109777.41</v>
      </c>
      <c r="E14" s="244"/>
      <c r="F14" s="256">
        <f>'DOE25'!J199+'DOE25'!J217+'DOE25'!J235</f>
        <v>6845.75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231966.43000000002</v>
      </c>
      <c r="D15" s="20">
        <f>'DOE25'!L200+'DOE25'!L218+'DOE25'!L236-F15-G15</f>
        <v>231966.43000000002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521852.4</v>
      </c>
      <c r="D25" s="244"/>
      <c r="E25" s="244"/>
      <c r="F25" s="259"/>
      <c r="G25" s="257"/>
      <c r="H25" s="258">
        <f>'DOE25'!L252+'DOE25'!L253+'DOE25'!L333+'DOE25'!L334</f>
        <v>521852.4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40083.919999999998</v>
      </c>
      <c r="D31" s="20">
        <f>'DOE25'!L282+'DOE25'!L301+'DOE25'!L320+'DOE25'!L325+'DOE25'!L326+'DOE25'!L327-F31-G31</f>
        <v>37491.919999999998</v>
      </c>
      <c r="E31" s="244"/>
      <c r="F31" s="256">
        <f>'DOE25'!J282+'DOE25'!J301+'DOE25'!J320+'DOE25'!J325+'DOE25'!J326+'DOE25'!J327</f>
        <v>2592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2912006.45</v>
      </c>
      <c r="E33" s="247">
        <f>SUM(E5:E31)</f>
        <v>116505.93999999999</v>
      </c>
      <c r="F33" s="247">
        <f>SUM(F5:F31)</f>
        <v>16429.080000000002</v>
      </c>
      <c r="G33" s="247">
        <f>SUM(G5:G31)</f>
        <v>3963.04</v>
      </c>
      <c r="H33" s="247">
        <f>SUM(H5:H31)</f>
        <v>521852.4</v>
      </c>
    </row>
    <row r="35" spans="2:8" ht="12" thickBot="1" x14ac:dyDescent="0.25">
      <c r="B35" s="254" t="s">
        <v>881</v>
      </c>
      <c r="D35" s="255">
        <f>E33</f>
        <v>116505.93999999999</v>
      </c>
      <c r="E35" s="250"/>
    </row>
    <row r="36" spans="2:8" ht="12" thickTop="1" x14ac:dyDescent="0.2">
      <c r="B36" t="s">
        <v>849</v>
      </c>
      <c r="D36" s="20">
        <f>D33</f>
        <v>2912006.45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E478-285F-4339-9940-B4BC4AC5782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9" sqref="C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Freedom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18193.12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62330.62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84245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6976.47</v>
      </c>
      <c r="D12" s="95">
        <f>'DOE25'!G12</f>
        <v>0</v>
      </c>
      <c r="E12" s="95">
        <f>'DOE25'!H12</f>
        <v>12024.05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2092.2600000000002</v>
      </c>
      <c r="D13" s="95">
        <f>'DOE25'!G13</f>
        <v>0</v>
      </c>
      <c r="E13" s="95">
        <f>'DOE25'!H13</f>
        <v>4420.22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111506.84999999999</v>
      </c>
      <c r="D19" s="41">
        <f>SUM(D9:D18)</f>
        <v>0</v>
      </c>
      <c r="E19" s="41">
        <f>SUM(E9:E18)</f>
        <v>16444.27</v>
      </c>
      <c r="F19" s="41">
        <f>SUM(F9:F18)</f>
        <v>0</v>
      </c>
      <c r="G19" s="41">
        <f>SUM(G9:G18)</f>
        <v>62330.62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5134.08</v>
      </c>
      <c r="D22" s="95">
        <f>'DOE25'!G23</f>
        <v>0</v>
      </c>
      <c r="E22" s="95">
        <f>'DOE25'!H23</f>
        <v>13866.44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39285.46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1847.95</v>
      </c>
      <c r="D25" s="95">
        <f>'DOE25'!G26</f>
        <v>0</v>
      </c>
      <c r="E25" s="95">
        <f>'DOE25'!H26</f>
        <v>2042.8399999999997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46267.49</v>
      </c>
      <c r="D32" s="41">
        <f>SUM(D22:D31)</f>
        <v>0</v>
      </c>
      <c r="E32" s="41">
        <f>SUM(E22:E31)</f>
        <v>15909.28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534.99</v>
      </c>
      <c r="F40" s="95">
        <f>'DOE25'!I41</f>
        <v>0</v>
      </c>
      <c r="G40" s="95">
        <f>'DOE25'!J41</f>
        <v>62330.62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65239.360000000001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65239.360000000001</v>
      </c>
      <c r="D42" s="41">
        <f>SUM(D34:D41)</f>
        <v>0</v>
      </c>
      <c r="E42" s="41">
        <f>SUM(E34:E41)</f>
        <v>534.99</v>
      </c>
      <c r="F42" s="41">
        <f>SUM(F34:F41)</f>
        <v>0</v>
      </c>
      <c r="G42" s="41">
        <f>SUM(G34:G41)</f>
        <v>62330.62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111506.85</v>
      </c>
      <c r="D43" s="41">
        <f>D42+D32</f>
        <v>0</v>
      </c>
      <c r="E43" s="41">
        <f>E42+E32</f>
        <v>16444.27</v>
      </c>
      <c r="F43" s="41">
        <f>F42+F32</f>
        <v>0</v>
      </c>
      <c r="G43" s="41">
        <f>G42+G32</f>
        <v>62330.62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2220014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6623.75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395.34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720.52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242.07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7261.16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720.52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2227275.16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720.52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1170869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1170869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63157.9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63157.9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1234026.8999999999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25019.15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1566.73</v>
      </c>
      <c r="D80" s="95">
        <f>SUM('DOE25'!G145:G153)</f>
        <v>0</v>
      </c>
      <c r="E80" s="95">
        <f>SUM('DOE25'!H145:H153)</f>
        <v>12891.36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1566.73</v>
      </c>
      <c r="D83" s="131">
        <f>SUM(D77:D82)</f>
        <v>0</v>
      </c>
      <c r="E83" s="131">
        <f>SUM(E77:E82)</f>
        <v>37910.51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797</v>
      </c>
      <c r="C96" s="86">
        <f>C55+C73+C83+C95</f>
        <v>3462868.79</v>
      </c>
      <c r="D96" s="86">
        <f>D55+D73+D83+D95</f>
        <v>0</v>
      </c>
      <c r="E96" s="86">
        <f>E55+E73+E83+E95</f>
        <v>37910.51</v>
      </c>
      <c r="F96" s="86">
        <f>F55+F73+F83+F95</f>
        <v>0</v>
      </c>
      <c r="G96" s="86">
        <f>G55+G73+G95</f>
        <v>10720.52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1900462.7100000002</v>
      </c>
      <c r="D101" s="24" t="s">
        <v>312</v>
      </c>
      <c r="E101" s="95">
        <f>('DOE25'!L268)+('DOE25'!L287)+('DOE25'!L306)</f>
        <v>40083.919999999998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209439.74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5500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2115402.4500000002</v>
      </c>
      <c r="D107" s="86">
        <f>SUM(D101:D106)</f>
        <v>0</v>
      </c>
      <c r="E107" s="86">
        <f>SUM(E101:E106)</f>
        <v>40083.919999999998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172263.86000000002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24452.769999999997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171939.16999999998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169216.29000000004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116623.16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231966.43000000002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886461.68000000017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500724.32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21128.080000000002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7322.45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3398.07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-720.52000000000044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531852.39999999991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3533716.5300000003</v>
      </c>
      <c r="D137" s="86">
        <f>(D107+D120+D136)</f>
        <v>0</v>
      </c>
      <c r="E137" s="86">
        <f>(E107+E120+E136)</f>
        <v>40083.919999999998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2000000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4.6900000000000004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526315.76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526315.76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210527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210527</v>
      </c>
    </row>
    <row r="151" spans="1:7" x14ac:dyDescent="0.2">
      <c r="A151" s="22" t="s">
        <v>35</v>
      </c>
      <c r="B151" s="137">
        <f>'DOE25'!F488</f>
        <v>315788.76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315788.76</v>
      </c>
    </row>
    <row r="152" spans="1:7" x14ac:dyDescent="0.2">
      <c r="A152" s="22" t="s">
        <v>36</v>
      </c>
      <c r="B152" s="137">
        <f>'DOE25'!F489</f>
        <v>14769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14769</v>
      </c>
    </row>
    <row r="153" spans="1:7" x14ac:dyDescent="0.2">
      <c r="A153" s="22" t="s">
        <v>37</v>
      </c>
      <c r="B153" s="137">
        <f>'DOE25'!F490</f>
        <v>330557.76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330557.76</v>
      </c>
    </row>
    <row r="154" spans="1:7" x14ac:dyDescent="0.2">
      <c r="A154" s="22" t="s">
        <v>38</v>
      </c>
      <c r="B154" s="137">
        <f>'DOE25'!F491</f>
        <v>210527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210527</v>
      </c>
    </row>
    <row r="155" spans="1:7" x14ac:dyDescent="0.2">
      <c r="A155" s="22" t="s">
        <v>39</v>
      </c>
      <c r="B155" s="137">
        <f>'DOE25'!F492</f>
        <v>12322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12322</v>
      </c>
    </row>
    <row r="156" spans="1:7" x14ac:dyDescent="0.2">
      <c r="A156" s="22" t="s">
        <v>269</v>
      </c>
      <c r="B156" s="137">
        <f>'DOE25'!F493</f>
        <v>222849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222849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1109-9E9A-4ECE-B03C-3AFB86B7DC01}">
  <sheetPr codeName="Sheet3">
    <tabColor indexed="43"/>
  </sheetPr>
  <dimension ref="A1:D42"/>
  <sheetViews>
    <sheetView topLeftCell="A11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Freedom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16420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16420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1940547</v>
      </c>
      <c r="D10" s="182">
        <f>ROUND((C10/$C$28)*100,1)</f>
        <v>63.4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209440</v>
      </c>
      <c r="D11" s="182">
        <f>ROUND((C11/$C$28)*100,1)</f>
        <v>6.8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5500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172264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24453</v>
      </c>
      <c r="D16" s="182">
        <f t="shared" si="0"/>
        <v>0.8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171939</v>
      </c>
      <c r="D17" s="182">
        <f t="shared" si="0"/>
        <v>5.6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169216</v>
      </c>
      <c r="D18" s="182">
        <f t="shared" si="0"/>
        <v>5.5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116623</v>
      </c>
      <c r="D20" s="182">
        <f t="shared" si="0"/>
        <v>3.8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231966</v>
      </c>
      <c r="D21" s="182">
        <f t="shared" si="0"/>
        <v>7.6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21128</v>
      </c>
      <c r="D25" s="182">
        <f t="shared" si="0"/>
        <v>0.7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3063076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3063076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500724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2220014</v>
      </c>
      <c r="D35" s="182">
        <f t="shared" ref="D35:D40" si="1">ROUND((C35/$C$41)*100,1)</f>
        <v>63.4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7981.6800000001676</v>
      </c>
      <c r="D36" s="182">
        <f t="shared" si="1"/>
        <v>0.2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1170869</v>
      </c>
      <c r="D37" s="182">
        <f t="shared" si="1"/>
        <v>33.4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63158</v>
      </c>
      <c r="D38" s="182">
        <f t="shared" si="1"/>
        <v>1.8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39477</v>
      </c>
      <c r="D39" s="182">
        <f t="shared" si="1"/>
        <v>1.1000000000000001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3501499.68</v>
      </c>
      <c r="D41" s="184">
        <f>SUM(D35:D40)</f>
        <v>99.899999999999991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02BE-6738-4A96-B438-9037396B11E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Freedom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2010-11-04T17:10:25Z</cp:lastPrinted>
  <dcterms:created xsi:type="dcterms:W3CDTF">1997-12-04T19:04:30Z</dcterms:created>
  <dcterms:modified xsi:type="dcterms:W3CDTF">2025-01-09T20:03:35Z</dcterms:modified>
</cp:coreProperties>
</file>