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1B6BE81A-48AF-4646-B7D5-8CEE9C7FBCDD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74707192-EB78-43B0-B8D3-FF62E92A003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" i="1" l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L216" i="1"/>
  <c r="L234" i="1"/>
  <c r="L239" i="1" s="1"/>
  <c r="H650" i="1" s="1"/>
  <c r="H654" i="1" s="1"/>
  <c r="F16" i="13"/>
  <c r="G16" i="13"/>
  <c r="L201" i="1"/>
  <c r="E16" i="13" s="1"/>
  <c r="C16" i="13" s="1"/>
  <c r="L219" i="1"/>
  <c r="L237" i="1"/>
  <c r="F5" i="13"/>
  <c r="G5" i="13"/>
  <c r="G33" i="13" s="1"/>
  <c r="L189" i="1"/>
  <c r="L203" i="1" s="1"/>
  <c r="L190" i="1"/>
  <c r="C102" i="2" s="1"/>
  <c r="L191" i="1"/>
  <c r="C103" i="2" s="1"/>
  <c r="L192" i="1"/>
  <c r="C13" i="10" s="1"/>
  <c r="L207" i="1"/>
  <c r="L208" i="1"/>
  <c r="L209" i="1"/>
  <c r="L210" i="1"/>
  <c r="L225" i="1"/>
  <c r="L226" i="1"/>
  <c r="L227" i="1"/>
  <c r="L228" i="1"/>
  <c r="D5" i="13"/>
  <c r="F6" i="13"/>
  <c r="G6" i="13"/>
  <c r="L194" i="1"/>
  <c r="D6" i="13" s="1"/>
  <c r="C6" i="13" s="1"/>
  <c r="L212" i="1"/>
  <c r="L230" i="1"/>
  <c r="F7" i="13"/>
  <c r="G7" i="13"/>
  <c r="L195" i="1"/>
  <c r="C16" i="10" s="1"/>
  <c r="L213" i="1"/>
  <c r="L231" i="1"/>
  <c r="D7" i="13"/>
  <c r="C7" i="13" s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D14" i="13"/>
  <c r="C14" i="13" s="1"/>
  <c r="F15" i="13"/>
  <c r="G15" i="13"/>
  <c r="L200" i="1"/>
  <c r="H637" i="1" s="1"/>
  <c r="L218" i="1"/>
  <c r="G652" i="1" s="1"/>
  <c r="L236" i="1"/>
  <c r="H652" i="1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I359" i="1"/>
  <c r="D29" i="13" s="1"/>
  <c r="C29" i="13" s="1"/>
  <c r="J282" i="1"/>
  <c r="F31" i="13" s="1"/>
  <c r="J301" i="1"/>
  <c r="J320" i="1"/>
  <c r="K282" i="1"/>
  <c r="K301" i="1"/>
  <c r="K320" i="1"/>
  <c r="G31" i="13"/>
  <c r="L268" i="1"/>
  <c r="L269" i="1"/>
  <c r="L282" i="1" s="1"/>
  <c r="L270" i="1"/>
  <c r="L271" i="1"/>
  <c r="L273" i="1"/>
  <c r="L274" i="1"/>
  <c r="L275" i="1"/>
  <c r="L276" i="1"/>
  <c r="L277" i="1"/>
  <c r="L278" i="1"/>
  <c r="L279" i="1"/>
  <c r="L280" i="1"/>
  <c r="L287" i="1"/>
  <c r="L288" i="1"/>
  <c r="E102" i="2" s="1"/>
  <c r="L289" i="1"/>
  <c r="L290" i="1"/>
  <c r="L292" i="1"/>
  <c r="L293" i="1"/>
  <c r="L294" i="1"/>
  <c r="L295" i="1"/>
  <c r="L296" i="1"/>
  <c r="L297" i="1"/>
  <c r="L298" i="1"/>
  <c r="L299" i="1"/>
  <c r="L306" i="1"/>
  <c r="E101" i="2" s="1"/>
  <c r="E107" i="2" s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L252" i="1"/>
  <c r="L253" i="1"/>
  <c r="L333" i="1"/>
  <c r="L334" i="1"/>
  <c r="L343" i="1" s="1"/>
  <c r="H25" i="13"/>
  <c r="H33" i="13" s="1"/>
  <c r="L247" i="1"/>
  <c r="C122" i="2" s="1"/>
  <c r="L328" i="1"/>
  <c r="E122" i="2" s="1"/>
  <c r="C11" i="13"/>
  <c r="C10" i="13"/>
  <c r="C9" i="13"/>
  <c r="C5" i="13"/>
  <c r="L353" i="1"/>
  <c r="L354" i="1" s="1"/>
  <c r="B4" i="12"/>
  <c r="B36" i="12"/>
  <c r="A40" i="12" s="1"/>
  <c r="C36" i="12"/>
  <c r="B40" i="12"/>
  <c r="C40" i="12"/>
  <c r="B27" i="12"/>
  <c r="C27" i="12"/>
  <c r="B31" i="12"/>
  <c r="C31" i="12"/>
  <c r="A31" i="12" s="1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5" i="2" s="1"/>
  <c r="G96" i="2" s="1"/>
  <c r="G51" i="2"/>
  <c r="G53" i="2"/>
  <c r="G54" i="2"/>
  <c r="F2" i="11"/>
  <c r="L603" i="1"/>
  <c r="H653" i="1"/>
  <c r="L602" i="1"/>
  <c r="G653" i="1"/>
  <c r="L601" i="1"/>
  <c r="F653" i="1" s="1"/>
  <c r="I653" i="1" s="1"/>
  <c r="C40" i="10"/>
  <c r="F52" i="1"/>
  <c r="C48" i="2" s="1"/>
  <c r="G52" i="1"/>
  <c r="H52" i="1"/>
  <c r="E48" i="2" s="1"/>
  <c r="E55" i="2" s="1"/>
  <c r="I52" i="1"/>
  <c r="F71" i="1"/>
  <c r="F86" i="1"/>
  <c r="F103" i="1"/>
  <c r="G103" i="1"/>
  <c r="G104" i="1" s="1"/>
  <c r="H71" i="1"/>
  <c r="H86" i="1"/>
  <c r="H103" i="1"/>
  <c r="I103" i="1"/>
  <c r="I104" i="1"/>
  <c r="J103" i="1"/>
  <c r="C37" i="10"/>
  <c r="F113" i="1"/>
  <c r="F132" i="1" s="1"/>
  <c r="F128" i="1"/>
  <c r="G113" i="1"/>
  <c r="G128" i="1"/>
  <c r="G132" i="1"/>
  <c r="H113" i="1"/>
  <c r="H128" i="1"/>
  <c r="H132" i="1" s="1"/>
  <c r="I113" i="1"/>
  <c r="I132" i="1" s="1"/>
  <c r="I185" i="1" s="1"/>
  <c r="G620" i="1" s="1"/>
  <c r="J620" i="1" s="1"/>
  <c r="I128" i="1"/>
  <c r="J113" i="1"/>
  <c r="J132" i="1" s="1"/>
  <c r="J128" i="1"/>
  <c r="F139" i="1"/>
  <c r="F161" i="1" s="1"/>
  <c r="C39" i="10" s="1"/>
  <c r="F154" i="1"/>
  <c r="G139" i="1"/>
  <c r="G154" i="1"/>
  <c r="G161" i="1"/>
  <c r="H139" i="1"/>
  <c r="H154" i="1"/>
  <c r="H161" i="1"/>
  <c r="I139" i="1"/>
  <c r="F77" i="2" s="1"/>
  <c r="F83" i="2" s="1"/>
  <c r="I154" i="1"/>
  <c r="I161" i="1"/>
  <c r="C10" i="10"/>
  <c r="C11" i="10"/>
  <c r="C12" i="10"/>
  <c r="C15" i="10"/>
  <c r="L242" i="1"/>
  <c r="C23" i="10" s="1"/>
  <c r="L324" i="1"/>
  <c r="E105" i="2" s="1"/>
  <c r="L246" i="1"/>
  <c r="C25" i="10"/>
  <c r="L260" i="1"/>
  <c r="L261" i="1"/>
  <c r="C26" i="10" s="1"/>
  <c r="L341" i="1"/>
  <c r="L342" i="1"/>
  <c r="E135" i="2" s="1"/>
  <c r="I655" i="1"/>
  <c r="I660" i="1"/>
  <c r="L221" i="1"/>
  <c r="F651" i="1"/>
  <c r="G651" i="1"/>
  <c r="H651" i="1"/>
  <c r="I651" i="1"/>
  <c r="I659" i="1"/>
  <c r="C6" i="10"/>
  <c r="C5" i="10"/>
  <c r="C42" i="10"/>
  <c r="C3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L513" i="1"/>
  <c r="F541" i="1"/>
  <c r="K541" i="1" s="1"/>
  <c r="L516" i="1"/>
  <c r="G539" i="1" s="1"/>
  <c r="L517" i="1"/>
  <c r="G540" i="1" s="1"/>
  <c r="L518" i="1"/>
  <c r="G541" i="1"/>
  <c r="L521" i="1"/>
  <c r="H539" i="1"/>
  <c r="H542" i="1" s="1"/>
  <c r="L522" i="1"/>
  <c r="H540" i="1"/>
  <c r="L523" i="1"/>
  <c r="H541" i="1"/>
  <c r="L526" i="1"/>
  <c r="I539" i="1" s="1"/>
  <c r="I542" i="1" s="1"/>
  <c r="L527" i="1"/>
  <c r="I540" i="1"/>
  <c r="L528" i="1"/>
  <c r="L529" i="1" s="1"/>
  <c r="I541" i="1"/>
  <c r="L531" i="1"/>
  <c r="J539" i="1"/>
  <c r="J542" i="1" s="1"/>
  <c r="L532" i="1"/>
  <c r="J540" i="1"/>
  <c r="L533" i="1"/>
  <c r="J541" i="1"/>
  <c r="E124" i="2"/>
  <c r="E123" i="2"/>
  <c r="K262" i="1"/>
  <c r="L262" i="1" s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E19" i="2" s="1"/>
  <c r="F9" i="2"/>
  <c r="I431" i="1"/>
  <c r="J9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/>
  <c r="C13" i="2"/>
  <c r="D13" i="2"/>
  <c r="D19" i="2" s="1"/>
  <c r="E13" i="2"/>
  <c r="F13" i="2"/>
  <c r="I434" i="1"/>
  <c r="I438" i="1" s="1"/>
  <c r="G632" i="1" s="1"/>
  <c r="C14" i="2"/>
  <c r="D14" i="2"/>
  <c r="E14" i="2"/>
  <c r="F14" i="2"/>
  <c r="I435" i="1"/>
  <c r="J14" i="1"/>
  <c r="G14" i="2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D23" i="2"/>
  <c r="D32" i="2" s="1"/>
  <c r="E23" i="2"/>
  <c r="F23" i="2"/>
  <c r="F32" i="2" s="1"/>
  <c r="I441" i="1"/>
  <c r="J24" i="1" s="1"/>
  <c r="C24" i="2"/>
  <c r="C32" i="2" s="1"/>
  <c r="C43" i="2" s="1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E32" i="2"/>
  <c r="C34" i="2"/>
  <c r="D34" i="2"/>
  <c r="E34" i="2"/>
  <c r="F34" i="2"/>
  <c r="C35" i="2"/>
  <c r="D35" i="2"/>
  <c r="E35" i="2"/>
  <c r="F35" i="2"/>
  <c r="C36" i="2"/>
  <c r="D36" i="2"/>
  <c r="D42" i="2" s="1"/>
  <c r="E36" i="2"/>
  <c r="F36" i="2"/>
  <c r="I446" i="1"/>
  <c r="J37" i="1"/>
  <c r="G36" i="2" s="1"/>
  <c r="C37" i="2"/>
  <c r="D37" i="2"/>
  <c r="E37" i="2"/>
  <c r="F37" i="2"/>
  <c r="I447" i="1"/>
  <c r="J38" i="1" s="1"/>
  <c r="C38" i="2"/>
  <c r="D38" i="2"/>
  <c r="E38" i="2"/>
  <c r="F38" i="2"/>
  <c r="I448" i="1"/>
  <c r="J40" i="1"/>
  <c r="G39" i="2"/>
  <c r="C40" i="2"/>
  <c r="D40" i="2"/>
  <c r="E40" i="2"/>
  <c r="E42" i="2" s="1"/>
  <c r="E43" i="2" s="1"/>
  <c r="F40" i="2"/>
  <c r="I449" i="1"/>
  <c r="J41" i="1"/>
  <c r="G40" i="2" s="1"/>
  <c r="C41" i="2"/>
  <c r="D41" i="2"/>
  <c r="E41" i="2"/>
  <c r="F41" i="2"/>
  <c r="C42" i="2"/>
  <c r="F42" i="2"/>
  <c r="F43" i="2" s="1"/>
  <c r="D48" i="2"/>
  <c r="F48" i="2"/>
  <c r="F55" i="2" s="1"/>
  <c r="C49" i="2"/>
  <c r="E49" i="2"/>
  <c r="C50" i="2"/>
  <c r="E50" i="2"/>
  <c r="C51" i="2"/>
  <c r="C54" i="2" s="1"/>
  <c r="D51" i="2"/>
  <c r="E51" i="2"/>
  <c r="F51" i="2"/>
  <c r="D52" i="2"/>
  <c r="C53" i="2"/>
  <c r="D53" i="2"/>
  <c r="D54" i="2" s="1"/>
  <c r="E53" i="2"/>
  <c r="F53" i="2"/>
  <c r="E54" i="2"/>
  <c r="F54" i="2"/>
  <c r="C58" i="2"/>
  <c r="C59" i="2"/>
  <c r="C61" i="2"/>
  <c r="D61" i="2"/>
  <c r="D62" i="2" s="1"/>
  <c r="E61" i="2"/>
  <c r="E62" i="2" s="1"/>
  <c r="F61" i="2"/>
  <c r="G61" i="2"/>
  <c r="G62" i="2" s="1"/>
  <c r="C62" i="2"/>
  <c r="F62" i="2"/>
  <c r="C64" i="2"/>
  <c r="F64" i="2"/>
  <c r="F70" i="2" s="1"/>
  <c r="F73" i="2" s="1"/>
  <c r="C65" i="2"/>
  <c r="F65" i="2"/>
  <c r="C66" i="2"/>
  <c r="C70" i="2" s="1"/>
  <c r="C73" i="2" s="1"/>
  <c r="C67" i="2"/>
  <c r="C68" i="2"/>
  <c r="E68" i="2"/>
  <c r="E70" i="2" s="1"/>
  <c r="E73" i="2" s="1"/>
  <c r="F68" i="2"/>
  <c r="C69" i="2"/>
  <c r="D69" i="2"/>
  <c r="E69" i="2"/>
  <c r="F69" i="2"/>
  <c r="G69" i="2"/>
  <c r="D70" i="2"/>
  <c r="D73" i="2" s="1"/>
  <c r="G70" i="2"/>
  <c r="G73" i="2" s="1"/>
  <c r="C71" i="2"/>
  <c r="D71" i="2"/>
  <c r="E71" i="2"/>
  <c r="C72" i="2"/>
  <c r="E72" i="2"/>
  <c r="C77" i="2"/>
  <c r="C83" i="2" s="1"/>
  <c r="D77" i="2"/>
  <c r="D83" i="2" s="1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F95" i="2" s="1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3" i="2"/>
  <c r="C104" i="2"/>
  <c r="E104" i="2"/>
  <c r="C105" i="2"/>
  <c r="C106" i="2"/>
  <c r="E106" i="2"/>
  <c r="D107" i="2"/>
  <c r="F107" i="2"/>
  <c r="G107" i="2"/>
  <c r="C110" i="2"/>
  <c r="E110" i="2"/>
  <c r="E120" i="2" s="1"/>
  <c r="C111" i="2"/>
  <c r="E111" i="2"/>
  <c r="E112" i="2"/>
  <c r="C113" i="2"/>
  <c r="E113" i="2"/>
  <c r="E114" i="2"/>
  <c r="C115" i="2"/>
  <c r="E115" i="2"/>
  <c r="C116" i="2"/>
  <c r="E116" i="2"/>
  <c r="C117" i="2"/>
  <c r="E117" i="2"/>
  <c r="D119" i="2"/>
  <c r="D120" i="2"/>
  <c r="F120" i="2"/>
  <c r="G120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 s="1"/>
  <c r="L257" i="1"/>
  <c r="C129" i="2" s="1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G149" i="2" s="1"/>
  <c r="C149" i="2"/>
  <c r="D149" i="2"/>
  <c r="E149" i="2"/>
  <c r="F149" i="2"/>
  <c r="B150" i="2"/>
  <c r="C150" i="2"/>
  <c r="D150" i="2"/>
  <c r="E150" i="2"/>
  <c r="F150" i="2"/>
  <c r="G150" i="2" s="1"/>
  <c r="B151" i="2"/>
  <c r="G151" i="2" s="1"/>
  <c r="C151" i="2"/>
  <c r="D151" i="2"/>
  <c r="E151" i="2"/>
  <c r="F151" i="2"/>
  <c r="B152" i="2"/>
  <c r="C152" i="2"/>
  <c r="D152" i="2"/>
  <c r="E152" i="2"/>
  <c r="F152" i="2"/>
  <c r="G152" i="2" s="1"/>
  <c r="F490" i="1"/>
  <c r="K490" i="1" s="1"/>
  <c r="G490" i="1"/>
  <c r="C153" i="2"/>
  <c r="H490" i="1"/>
  <c r="D153" i="2" s="1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 s="1"/>
  <c r="H493" i="1"/>
  <c r="K493" i="1" s="1"/>
  <c r="D156" i="2"/>
  <c r="I493" i="1"/>
  <c r="E156" i="2"/>
  <c r="J493" i="1"/>
  <c r="F156" i="2" s="1"/>
  <c r="F19" i="1"/>
  <c r="G19" i="1"/>
  <c r="H19" i="1"/>
  <c r="G609" i="1" s="1"/>
  <c r="I19" i="1"/>
  <c r="F33" i="1"/>
  <c r="F44" i="1" s="1"/>
  <c r="H607" i="1" s="1"/>
  <c r="J607" i="1" s="1"/>
  <c r="G33" i="1"/>
  <c r="H33" i="1"/>
  <c r="I33" i="1"/>
  <c r="F43" i="1"/>
  <c r="G43" i="1"/>
  <c r="G44" i="1" s="1"/>
  <c r="H608" i="1" s="1"/>
  <c r="H43" i="1"/>
  <c r="I43" i="1"/>
  <c r="H44" i="1"/>
  <c r="H609" i="1" s="1"/>
  <c r="I44" i="1"/>
  <c r="H610" i="1" s="1"/>
  <c r="F169" i="1"/>
  <c r="F184" i="1" s="1"/>
  <c r="I169" i="1"/>
  <c r="I184" i="1" s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F203" i="1"/>
  <c r="G203" i="1"/>
  <c r="G249" i="1" s="1"/>
  <c r="G263" i="1" s="1"/>
  <c r="H203" i="1"/>
  <c r="I203" i="1"/>
  <c r="J203" i="1"/>
  <c r="J249" i="1" s="1"/>
  <c r="K203" i="1"/>
  <c r="F221" i="1"/>
  <c r="G221" i="1"/>
  <c r="H221" i="1"/>
  <c r="H249" i="1" s="1"/>
  <c r="H263" i="1" s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K249" i="1"/>
  <c r="K263" i="1" s="1"/>
  <c r="F282" i="1"/>
  <c r="F330" i="1" s="1"/>
  <c r="F344" i="1" s="1"/>
  <c r="G282" i="1"/>
  <c r="H282" i="1"/>
  <c r="I282" i="1"/>
  <c r="I330" i="1" s="1"/>
  <c r="I344" i="1" s="1"/>
  <c r="F301" i="1"/>
  <c r="G301" i="1"/>
  <c r="H301" i="1"/>
  <c r="I301" i="1"/>
  <c r="F320" i="1"/>
  <c r="G320" i="1"/>
  <c r="G330" i="1" s="1"/>
  <c r="G344" i="1" s="1"/>
  <c r="H320" i="1"/>
  <c r="I320" i="1"/>
  <c r="F329" i="1"/>
  <c r="G329" i="1"/>
  <c r="H329" i="1"/>
  <c r="I329" i="1"/>
  <c r="L329" i="1" s="1"/>
  <c r="J329" i="1"/>
  <c r="K329" i="1"/>
  <c r="K330" i="1" s="1"/>
  <c r="K344" i="1" s="1"/>
  <c r="H330" i="1"/>
  <c r="H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I393" i="1"/>
  <c r="F399" i="1"/>
  <c r="G399" i="1"/>
  <c r="H399" i="1"/>
  <c r="I399" i="1"/>
  <c r="I400" i="1" s="1"/>
  <c r="H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H426" i="1"/>
  <c r="F438" i="1"/>
  <c r="G438" i="1"/>
  <c r="H438" i="1"/>
  <c r="F444" i="1"/>
  <c r="F451" i="1" s="1"/>
  <c r="H629" i="1" s="1"/>
  <c r="G444" i="1"/>
  <c r="G451" i="1" s="1"/>
  <c r="H630" i="1" s="1"/>
  <c r="H444" i="1"/>
  <c r="I444" i="1"/>
  <c r="F450" i="1"/>
  <c r="G450" i="1"/>
  <c r="H450" i="1"/>
  <c r="H451" i="1"/>
  <c r="H631" i="1" s="1"/>
  <c r="J631" i="1" s="1"/>
  <c r="F460" i="1"/>
  <c r="G460" i="1"/>
  <c r="H460" i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F466" i="1"/>
  <c r="H612" i="1" s="1"/>
  <c r="G466" i="1"/>
  <c r="H613" i="1" s="1"/>
  <c r="H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K514" i="1"/>
  <c r="K535" i="1" s="1"/>
  <c r="L514" i="1"/>
  <c r="F519" i="1"/>
  <c r="G519" i="1"/>
  <c r="H519" i="1"/>
  <c r="I519" i="1"/>
  <c r="J519" i="1"/>
  <c r="J535" i="1" s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G535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J561" i="1" s="1"/>
  <c r="K555" i="1"/>
  <c r="K561" i="1" s="1"/>
  <c r="L557" i="1"/>
  <c r="L558" i="1"/>
  <c r="L559" i="1"/>
  <c r="F560" i="1"/>
  <c r="G560" i="1"/>
  <c r="H560" i="1"/>
  <c r="I560" i="1"/>
  <c r="J560" i="1"/>
  <c r="K560" i="1"/>
  <c r="L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 s="1"/>
  <c r="J639" i="1" s="1"/>
  <c r="I588" i="1"/>
  <c r="H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10" i="1"/>
  <c r="J610" i="1" s="1"/>
  <c r="G612" i="1"/>
  <c r="G613" i="1"/>
  <c r="J613" i="1" s="1"/>
  <c r="G614" i="1"/>
  <c r="J614" i="1" s="1"/>
  <c r="H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G631" i="1"/>
  <c r="G633" i="1"/>
  <c r="G634" i="1"/>
  <c r="J634" i="1" s="1"/>
  <c r="H634" i="1"/>
  <c r="G635" i="1"/>
  <c r="G639" i="1"/>
  <c r="G640" i="1"/>
  <c r="J640" i="1" s="1"/>
  <c r="G641" i="1"/>
  <c r="J641" i="1" s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G542" i="1" l="1"/>
  <c r="G185" i="1"/>
  <c r="G618" i="1" s="1"/>
  <c r="J618" i="1" s="1"/>
  <c r="L400" i="1"/>
  <c r="C130" i="2"/>
  <c r="C133" i="2" s="1"/>
  <c r="E136" i="2"/>
  <c r="E137" i="2" s="1"/>
  <c r="D33" i="13"/>
  <c r="D36" i="13" s="1"/>
  <c r="L249" i="1"/>
  <c r="L263" i="1" s="1"/>
  <c r="G622" i="1" s="1"/>
  <c r="J622" i="1" s="1"/>
  <c r="F650" i="1"/>
  <c r="J263" i="1"/>
  <c r="H638" i="1"/>
  <c r="J638" i="1" s="1"/>
  <c r="G9" i="2"/>
  <c r="J633" i="1"/>
  <c r="F96" i="2"/>
  <c r="C136" i="2"/>
  <c r="J43" i="1"/>
  <c r="G37" i="2"/>
  <c r="G42" i="2" s="1"/>
  <c r="G156" i="2"/>
  <c r="J609" i="1"/>
  <c r="D137" i="2"/>
  <c r="D55" i="2"/>
  <c r="D96" i="2" s="1"/>
  <c r="G23" i="2"/>
  <c r="G32" i="2" s="1"/>
  <c r="J33" i="1"/>
  <c r="J630" i="1"/>
  <c r="K540" i="1"/>
  <c r="J629" i="1"/>
  <c r="G650" i="1"/>
  <c r="G654" i="1" s="1"/>
  <c r="C38" i="10"/>
  <c r="K539" i="1"/>
  <c r="K542" i="1" s="1"/>
  <c r="F542" i="1"/>
  <c r="E96" i="2"/>
  <c r="D43" i="2"/>
  <c r="C55" i="2"/>
  <c r="C96" i="2" s="1"/>
  <c r="J185" i="1"/>
  <c r="C27" i="10"/>
  <c r="G625" i="1"/>
  <c r="J625" i="1" s="1"/>
  <c r="J637" i="1"/>
  <c r="H662" i="1"/>
  <c r="H657" i="1"/>
  <c r="J624" i="1"/>
  <c r="J612" i="1"/>
  <c r="D31" i="13"/>
  <c r="C31" i="13" s="1"/>
  <c r="I450" i="1"/>
  <c r="I451" i="1" s="1"/>
  <c r="H632" i="1" s="1"/>
  <c r="J632" i="1" s="1"/>
  <c r="C19" i="10"/>
  <c r="J608" i="1"/>
  <c r="J330" i="1"/>
  <c r="J344" i="1" s="1"/>
  <c r="C114" i="2"/>
  <c r="C120" i="2" s="1"/>
  <c r="C18" i="10"/>
  <c r="C25" i="13"/>
  <c r="L519" i="1"/>
  <c r="L535" i="1" s="1"/>
  <c r="C101" i="2"/>
  <c r="C107" i="2" s="1"/>
  <c r="C17" i="10"/>
  <c r="C35" i="10"/>
  <c r="J13" i="1"/>
  <c r="G13" i="2" s="1"/>
  <c r="F652" i="1"/>
  <c r="I652" i="1" s="1"/>
  <c r="D15" i="13"/>
  <c r="C15" i="13" s="1"/>
  <c r="E8" i="13"/>
  <c r="I361" i="1"/>
  <c r="H624" i="1" s="1"/>
  <c r="C24" i="10"/>
  <c r="F22" i="13"/>
  <c r="C22" i="13" s="1"/>
  <c r="H104" i="1"/>
  <c r="H185" i="1" s="1"/>
  <c r="G619" i="1" s="1"/>
  <c r="J619" i="1" s="1"/>
  <c r="B153" i="2"/>
  <c r="G153" i="2" s="1"/>
  <c r="E13" i="13"/>
  <c r="C13" i="13" s="1"/>
  <c r="L374" i="1"/>
  <c r="G626" i="1" s="1"/>
  <c r="J626" i="1" s="1"/>
  <c r="C29" i="10"/>
  <c r="C21" i="10"/>
  <c r="F104" i="1"/>
  <c r="F185" i="1" s="1"/>
  <c r="G617" i="1" s="1"/>
  <c r="J617" i="1" s="1"/>
  <c r="L301" i="1"/>
  <c r="L330" i="1" s="1"/>
  <c r="L344" i="1" s="1"/>
  <c r="G623" i="1" s="1"/>
  <c r="J623" i="1" s="1"/>
  <c r="G43" i="2" l="1"/>
  <c r="G19" i="2"/>
  <c r="C28" i="10"/>
  <c r="D21" i="10" s="1"/>
  <c r="G662" i="1"/>
  <c r="G657" i="1"/>
  <c r="J19" i="1"/>
  <c r="G611" i="1" s="1"/>
  <c r="E33" i="13"/>
  <c r="D35" i="13" s="1"/>
  <c r="C8" i="13"/>
  <c r="F33" i="13"/>
  <c r="I650" i="1"/>
  <c r="I654" i="1" s="1"/>
  <c r="F654" i="1"/>
  <c r="D27" i="10"/>
  <c r="G627" i="1"/>
  <c r="J627" i="1" s="1"/>
  <c r="H636" i="1"/>
  <c r="C137" i="2"/>
  <c r="J44" i="1"/>
  <c r="H611" i="1" s="1"/>
  <c r="G616" i="1"/>
  <c r="J616" i="1" s="1"/>
  <c r="C36" i="10"/>
  <c r="G636" i="1"/>
  <c r="G621" i="1"/>
  <c r="J621" i="1" s="1"/>
  <c r="D24" i="10" l="1"/>
  <c r="C41" i="10"/>
  <c r="J611" i="1"/>
  <c r="H646" i="1"/>
  <c r="D22" i="10"/>
  <c r="C30" i="10"/>
  <c r="D11" i="10"/>
  <c r="D23" i="10"/>
  <c r="D16" i="10"/>
  <c r="D26" i="10"/>
  <c r="D25" i="10"/>
  <c r="D15" i="10"/>
  <c r="D20" i="10"/>
  <c r="D10" i="10"/>
  <c r="D12" i="10"/>
  <c r="D13" i="10"/>
  <c r="D19" i="10"/>
  <c r="D18" i="10"/>
  <c r="J636" i="1"/>
  <c r="F662" i="1"/>
  <c r="C4" i="10" s="1"/>
  <c r="F657" i="1"/>
  <c r="D17" i="10"/>
  <c r="I662" i="1"/>
  <c r="C7" i="10" s="1"/>
  <c r="I657" i="1"/>
  <c r="D28" i="10" l="1"/>
  <c r="D37" i="10"/>
  <c r="D39" i="10"/>
  <c r="D40" i="10"/>
  <c r="D35" i="10"/>
  <c r="D38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B68F575-D752-4476-BBA2-A795F3D6B19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8026116-297D-4AAF-9F59-2E9B2815CD9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BAA4534-CF41-4C71-BE17-6AF2B75935B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A77BEA6-DF9D-473E-9732-2DCD9D977B7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E7D2E1C-D84F-4DC6-BEC1-76CB46A6A9D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A0E1C35-A66F-448A-9EF4-29B05197496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4AF6208-1575-4F15-8579-E2442621763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93F0E2C-5400-494B-BF93-D588B3DBC65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E09C5C6-FF4D-4C1E-91CA-0DF0F28BAAD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BFF53A7-3E3D-4A3C-AC1B-BA2FF122513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B6CAAEC-2E4A-4763-943A-B991B76B579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9B4B59E-17C9-433E-8FB6-0A290D56A4B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<sst xmlns="http://schemas.openxmlformats.org/spreadsheetml/2006/main" count="3864" uniqueCount="900">
  <si>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</si>
  <si>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</si>
  <si>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</si>
  <si>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</si>
  <si>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</si>
  <si>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</si>
  <si>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</si>
  <si>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</si>
  <si>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</si>
  <si>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</si>
  <si>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</si>
  <si>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</si>
  <si>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</si>
  <si>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</si>
  <si>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</si>
  <si>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</si>
  <si>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</si>
  <si>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</si>
  <si>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</si>
  <si>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</si>
  <si>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</si>
  <si>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</si>
  <si>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</si>
  <si>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</si>
  <si>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</si>
  <si>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</si>
  <si>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</si>
  <si>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</si>
  <si>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</si>
  <si>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</si>
  <si>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</si>
  <si>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</si>
  <si>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</si>
  <si>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</si>
  <si>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</si>
  <si>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</si>
  <si>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</si>
  <si>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</si>
  <si>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</si>
  <si>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</si>
  <si>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</si>
  <si>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</si>
  <si>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</si>
  <si>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</si>
  <si>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</si>
  <si>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</si>
  <si>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</si>
  <si>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</si>
  <si>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</si>
  <si>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</si>
  <si>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</si>
  <si>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</si>
  <si>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</si>
  <si>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</si>
  <si>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</si>
  <si>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</si>
  <si>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</si>
  <si>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</si>
  <si>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</si>
  <si>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</si>
  <si>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</si>
  <si>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</si>
  <si>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</si>
  <si>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</si>
  <si>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</si>
  <si>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</si>
  <si>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</si>
  <si>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</si>
  <si>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</si>
  <si>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</si>
  <si>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</si>
  <si>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</si>
  <si>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</si>
  <si>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</si>
  <si>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</si>
  <si>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</si>
  <si>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</si>
  <si>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</si>
  <si>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</si>
  <si>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</si>
  <si>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</si>
  <si>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</si>
  <si>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</si>
  <si>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</si>
  <si>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</si>
  <si>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</si>
  <si>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</si>
  <si>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</si>
  <si>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</si>
  <si>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</si>
  <si>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</si>
  <si>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</si>
  <si>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</si>
  <si>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</si>
  <si>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</si>
  <si>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</si>
  <si>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</si>
  <si>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</si>
  <si>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</si>
  <si>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</si>
  <si>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</si>
  <si>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</si>
  <si>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</si>
  <si>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</si>
  <si>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</si>
  <si>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</si>
  <si>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</si>
  <si>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</si>
  <si>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</si>
  <si>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</si>
  <si>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</si>
  <si>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</si>
  <si>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</si>
  <si>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</si>
  <si>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</si>
  <si>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</si>
  <si>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</si>
  <si>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</si>
  <si>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</si>
  <si>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</si>
  <si>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</si>
  <si>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</si>
  <si>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</si>
  <si>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</si>
  <si>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</si>
  <si>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</si>
  <si>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</si>
  <si>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</si>
  <si>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</si>
  <si>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</si>
  <si>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</si>
  <si>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</si>
  <si>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</si>
  <si>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</si>
  <si>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</si>
  <si>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</si>
  <si>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</si>
  <si>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</si>
  <si>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</si>
  <si>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</si>
  <si>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</si>
  <si>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</si>
  <si>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</si>
  <si>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</si>
  <si>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</si>
  <si>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</si>
  <si>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</si>
  <si>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</si>
  <si>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</si>
  <si>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</si>
  <si>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</si>
  <si>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</si>
  <si>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</si>
  <si>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</si>
  <si>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</si>
  <si>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</si>
  <si>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</si>
  <si>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</si>
  <si>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</si>
  <si>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</si>
  <si>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</si>
  <si>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</si>
  <si>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</si>
  <si>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</si>
  <si>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</si>
  <si>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</si>
  <si>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</si>
  <si>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</si>
  <si>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</si>
  <si>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</si>
  <si>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</si>
  <si>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</si>
  <si>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</si>
  <si>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</si>
  <si>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</si>
  <si>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</si>
  <si>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</si>
  <si>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</si>
  <si>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</si>
  <si>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</si>
  <si>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</si>
  <si>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</si>
  <si>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</si>
  <si>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</si>
  <si>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</si>
  <si>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</si>
  <si>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</si>
  <si>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</si>
  <si>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</si>
  <si>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</si>
  <si>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</si>
  <si>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</si>
  <si>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</si>
  <si>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</si>
  <si>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</si>
  <si>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</si>
  <si>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</si>
  <si>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</si>
  <si>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</si>
  <si>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</si>
  <si>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</si>
  <si>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</si>
  <si>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</si>
  <si>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</si>
  <si>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</si>
  <si>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</si>
  <si>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</si>
  <si>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</si>
  <si>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</si>
  <si>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</si>
  <si>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</si>
  <si>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</si>
  <si>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</si>
  <si>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</si>
  <si>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</si>
  <si>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</si>
  <si>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</si>
  <si>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</si>
  <si>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</si>
  <si>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</si>
  <si>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</si>
  <si>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</si>
  <si>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</si>
  <si>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</si>
  <si>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</si>
  <si>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</si>
  <si>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</si>
  <si>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</si>
  <si>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</si>
  <si>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</si>
  <si>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</si>
  <si>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</si>
  <si>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</si>
  <si>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</si>
  <si>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</si>
  <si>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</si>
  <si>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</si>
  <si>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</si>
  <si>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</si>
  <si>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</si>
  <si>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</si>
  <si>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</si>
  <si>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</si>
  <si>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</si>
  <si>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</si>
  <si>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</si>
  <si>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</si>
  <si>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</si>
  <si>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</si>
  <si>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</si>
  <si>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</si>
  <si>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</si>
  <si>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</si>
  <si>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</si>
  <si>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</si>
  <si>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</si>
  <si>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</si>
  <si>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</si>
  <si>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</si>
  <si>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</si>
  <si>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</si>
  <si>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</si>
  <si>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</si>
  <si>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</si>
  <si>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</si>
  <si>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</si>
  <si>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</si>
  <si>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</si>
  <si>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</si>
  <si>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</si>
  <si>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</si>
  <si>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</si>
  <si>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</si>
  <si>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</si>
  <si>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</si>
  <si>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</si>
  <si>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</si>
  <si>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</si>
  <si>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</si>
  <si>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</si>
  <si>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</si>
  <si>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</si>
  <si>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</si>
  <si>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</si>
  <si>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</si>
  <si>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</si>
  <si>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</si>
  <si>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</si>
  <si>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</si>
  <si>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</si>
  <si>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</si>
  <si>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</si>
  <si>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</si>
  <si>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</si>
  <si>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</si>
  <si>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</si>
  <si>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</si>
  <si>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</si>
  <si>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</si>
  <si>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</si>
  <si>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</si>
  <si>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</si>
  <si>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</si>
  <si>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</si>
  <si>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</si>
  <si>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</si>
  <si>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</si>
  <si>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</si>
  <si>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</si>
  <si>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</si>
  <si>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</si>
  <si>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</si>
  <si>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</si>
  <si>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</si>
  <si>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</si>
  <si>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</si>
  <si>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</si>
  <si>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</si>
  <si>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</si>
  <si>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</si>
  <si>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</si>
  <si>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</si>
  <si>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</si>
  <si>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</si>
  <si>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</si>
  <si>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</si>
  <si>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</si>
  <si>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</si>
  <si>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</si>
  <si>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</si>
  <si>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</si>
  <si>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</si>
  <si>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</si>
  <si>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</si>
  <si>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</si>
  <si>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</si>
  <si>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</si>
  <si>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</si>
  <si>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</si>
  <si>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</si>
  <si>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</si>
  <si>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</si>
  <si>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</si>
  <si>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</si>
  <si>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</si>
  <si>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</si>
  <si>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</si>
  <si>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</si>
  <si>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</si>
  <si>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</si>
  <si>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</si>
  <si>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</si>
  <si>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</si>
  <si>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</si>
  <si>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</si>
  <si>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</si>
  <si>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</si>
  <si>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</si>
  <si>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</si>
  <si>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</si>
  <si>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</si>
  <si>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</si>
  <si>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</si>
  <si>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</si>
  <si>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</si>
  <si>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</si>
  <si>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</si>
  <si>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</si>
  <si>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</si>
  <si>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</si>
  <si>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</si>
  <si>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</si>
  <si>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</si>
  <si>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</si>
  <si>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</si>
  <si>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</si>
  <si>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</si>
  <si>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</si>
  <si>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</si>
  <si>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</si>
  <si>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</si>
  <si>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</si>
  <si>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</si>
  <si>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</si>
  <si>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</si>
  <si>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</si>
  <si>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</si>
  <si>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</si>
  <si>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</si>
  <si>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</si>
  <si>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</si>
  <si>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</si>
  <si>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</si>
  <si>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</si>
  <si>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</si>
  <si>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</si>
  <si>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</si>
  <si>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</si>
  <si>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</si>
  <si>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</si>
  <si>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</si>
  <si>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</si>
  <si>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</si>
  <si>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</si>
  <si>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</si>
  <si>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</si>
  <si>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</si>
  <si>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</si>
  <si>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</si>
  <si>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</si>
  <si>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</si>
  <si>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</si>
  <si>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</si>
  <si>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</si>
  <si>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</si>
  <si>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</si>
  <si>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</si>
  <si>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</si>
  <si>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</si>
  <si>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</si>
  <si>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</si>
  <si>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</si>
  <si>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</si>
  <si>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</si>
  <si>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</si>
  <si>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</si>
  <si>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</si>
  <si>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</si>
  <si>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</si>
  <si>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</si>
  <si>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</si>
  <si>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</si>
  <si>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</si>
  <si>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</si>
  <si>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</si>
  <si>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</si>
  <si>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</si>
  <si>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</si>
  <si>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</si>
  <si>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</si>
  <si>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</si>
  <si>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</si>
  <si>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</si>
  <si>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</si>
  <si>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</si>
  <si>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</si>
  <si>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</si>
  <si>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</si>
  <si>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</si>
  <si>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</si>
  <si>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</si>
  <si>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</si>
  <si>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</si>
  <si>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</si>
  <si>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</si>
  <si>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</si>
  <si>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</si>
  <si>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</si>
  <si>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</si>
  <si>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</si>
  <si>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</si>
  <si>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</si>
  <si>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</si>
  <si>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</si>
  <si>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</si>
  <si>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</si>
  <si>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</si>
  <si>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</si>
  <si>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</si>
  <si>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</si>
  <si>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</si>
  <si>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</si>
  <si>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</si>
  <si>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</si>
  <si>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</si>
  <si>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</si>
  <si>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</si>
  <si>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</si>
  <si>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</si>
  <si>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</si>
  <si>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</si>
  <si>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</si>
  <si>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</si>
  <si>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</si>
  <si>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</si>
  <si>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</si>
  <si>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</si>
  <si>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</si>
  <si>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</si>
  <si>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</si>
  <si>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</si>
  <si>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</si>
  <si>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</si>
  <si>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</si>
  <si>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</si>
  <si>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</si>
  <si>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</si>
  <si>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</si>
  <si>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</si>
  <si>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</si>
  <si>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</si>
  <si>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</si>
  <si>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</si>
  <si>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</si>
  <si>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</si>
  <si>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</si>
  <si>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</si>
  <si>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</si>
  <si>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</si>
  <si>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</si>
  <si>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</si>
  <si>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</si>
  <si>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</si>
  <si>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</si>
  <si>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</si>
  <si>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</si>
  <si>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</si>
  <si>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</si>
  <si>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</si>
  <si>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</si>
  <si>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</si>
  <si>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</si>
  <si>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</si>
  <si>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</si>
  <si>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</si>
  <si>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</si>
  <si>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</si>
  <si>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</si>
  <si>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</si>
  <si>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</si>
  <si>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</si>
  <si>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</si>
  <si>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</si>
  <si>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</si>
  <si>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</si>
  <si>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</si>
  <si>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</si>
  <si>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</si>
  <si>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</si>
  <si>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</si>
  <si>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</si>
  <si>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</si>
  <si>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</si>
  <si>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</si>
  <si>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</si>
  <si>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</si>
  <si>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</si>
  <si>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</si>
  <si>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</si>
  <si>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</si>
  <si>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</si>
  <si>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</si>
  <si>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</si>
  <si>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</si>
  <si>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</si>
  <si>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</si>
  <si>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</si>
  <si>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</si>
  <si>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</si>
  <si>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</si>
  <si>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</si>
  <si>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</si>
  <si>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</si>
  <si>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</si>
  <si>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</si>
  <si>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</si>
  <si>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</si>
  <si>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</si>
  <si>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</si>
  <si>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</si>
  <si>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</si>
  <si>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</si>
  <si>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</si>
  <si>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</si>
  <si>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</si>
  <si>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</si>
  <si>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</si>
  <si>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</si>
  <si>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</si>
  <si>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</si>
  <si>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</si>
  <si>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</si>
  <si>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</si>
  <si>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</si>
  <si>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</si>
  <si>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</si>
  <si>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</si>
  <si>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</si>
  <si>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</si>
  <si>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</si>
  <si>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</si>
  <si>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</si>
  <si>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</si>
  <si>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</si>
  <si>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</si>
  <si>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</si>
  <si>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</si>
  <si>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</si>
  <si>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</si>
  <si>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</si>
  <si>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</si>
  <si>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</si>
  <si>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</si>
  <si>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</si>
  <si>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</si>
  <si>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</si>
  <si>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</si>
  <si>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</si>
  <si>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</si>
  <si>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</si>
  <si>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</si>
  <si>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</si>
  <si>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</si>
  <si>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</si>
  <si>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</si>
  <si>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</si>
  <si>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</si>
  <si>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</si>
  <si>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</si>
  <si>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</si>
  <si>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</si>
  <si>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</si>
  <si>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</si>
  <si>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</si>
  <si>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</si>
  <si>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</si>
  <si>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</si>
  <si>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</si>
  <si>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</si>
  <si>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</si>
  <si>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</si>
  <si>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</si>
  <si>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</si>
  <si>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</si>
  <si>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</si>
  <si>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</si>
  <si>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</si>
  <si>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</si>
  <si>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</si>
  <si>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</si>
  <si>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</si>
  <si>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</si>
  <si>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</si>
  <si>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</si>
  <si>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</si>
  <si>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</si>
  <si>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</si>
  <si>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</si>
  <si>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</si>
  <si>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</si>
  <si>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</si>
  <si>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</si>
  <si>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</si>
  <si>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</si>
  <si>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</si>
  <si>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</si>
  <si>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</si>
  <si>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</si>
  <si>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</si>
  <si>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</si>
  <si>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</si>
  <si>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</si>
  <si>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</si>
  <si>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</si>
  <si>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</si>
  <si>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</si>
  <si>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</si>
  <si>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</si>
  <si>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</si>
  <si>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</si>
  <si>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</si>
  <si>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</si>
  <si>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</si>
  <si>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</si>
  <si>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</si>
  <si>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</si>
  <si>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</si>
  <si>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</si>
  <si>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</si>
  <si>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</si>
  <si>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</si>
  <si>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</si>
  <si>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</si>
  <si>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</si>
  <si>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</si>
  <si>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</si>
  <si>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</si>
  <si>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</si>
  <si>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</si>
  <si>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</si>
  <si>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</si>
  <si>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</si>
  <si>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</si>
  <si>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</si>
  <si>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</si>
  <si>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</si>
  <si>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</si>
  <si>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</si>
  <si>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</si>
  <si>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</si>
  <si>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</si>
  <si>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</si>
  <si>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</si>
  <si>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</si>
  <si>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</si>
  <si>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</si>
  <si>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</si>
  <si>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</si>
  <si>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</si>
  <si>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</si>
  <si>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</si>
  <si>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</si>
  <si>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</si>
  <si>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</si>
  <si>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</si>
  <si>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</si>
  <si>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</si>
  <si>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</si>
  <si>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</si>
  <si>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</si>
  <si>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</si>
  <si>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</si>
  <si>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</si>
  <si>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</si>
  <si>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</si>
  <si>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</si>
  <si>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</si>
  <si>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</si>
  <si>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</si>
  <si>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</si>
  <si>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</si>
  <si>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</si>
  <si>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</si>
  <si>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</si>
  <si>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</si>
  <si>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</si>
  <si>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</si>
  <si>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</si>
  <si>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</si>
  <si>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</si>
  <si>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</si>
  <si>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</si>
  <si>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</si>
  <si>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</si>
  <si>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</si>
  <si>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</si>
  <si>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</si>
  <si>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</si>
  <si>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</si>
  <si>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</si>
  <si>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</si>
  <si>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</si>
  <si>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</si>
  <si>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</si>
  <si>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</si>
  <si>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</si>
  <si>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</si>
  <si>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</si>
  <si>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</si>
  <si>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</si>
  <si>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</si>
  <si>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</si>
  <si>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</si>
  <si>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</si>
  <si>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</si>
  <si>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</si>
  <si>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</si>
  <si>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</si>
  <si>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</si>
  <si>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</si>
  <si>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</si>
  <si>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</si>
  <si>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</si>
  <si>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</si>
  <si>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</si>
  <si>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</si>
  <si>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</si>
  <si>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</si>
  <si>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</si>
  <si>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</si>
  <si>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</si>
  <si>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</si>
  <si>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</si>
  <si>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</si>
  <si>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</si>
  <si>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</si>
  <si>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</si>
  <si>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</si>
  <si>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</si>
  <si>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</si>
  <si>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</si>
  <si>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</si>
  <si>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</si>
  <si>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</si>
  <si>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</si>
  <si>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</si>
  <si>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</si>
  <si>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</si>
  <si>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</si>
  <si>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</si>
  <si>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</si>
  <si>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</si>
  <si>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</si>
  <si>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</si>
  <si>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</si>
  <si>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</si>
  <si>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</si>
  <si>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</si>
  <si>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</si>
  <si>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</si>
  <si>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</si>
  <si>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</si>
  <si>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</si>
  <si>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</si>
  <si>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</si>
  <si>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</si>
  <si>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</si>
  <si>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</si>
  <si>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</si>
  <si>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</si>
  <si>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</si>
  <si>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</si>
  <si>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</si>
  <si>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</si>
  <si>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</si>
  <si>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</si>
  <si>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</si>
  <si>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</si>
  <si>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</si>
  <si>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</si>
  <si>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</si>
  <si>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</si>
  <si>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</si>
  <si>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</si>
  <si>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</si>
  <si>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</si>
  <si>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</si>
  <si>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</si>
  <si>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</si>
  <si>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</si>
  <si>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</si>
  <si>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</si>
  <si>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</si>
  <si>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</si>
  <si>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</si>
  <si>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</si>
  <si>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</si>
  <si>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</si>
  <si>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</si>
  <si>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</si>
  <si>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</si>
  <si>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</si>
  <si>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</si>
  <si>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</si>
  <si>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</si>
  <si>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</si>
  <si>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</si>
  <si>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</si>
  <si>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</si>
  <si>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</si>
  <si>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</si>
  <si>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</si>
  <si>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</si>
  <si>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</si>
  <si>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</si>
  <si>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</si>
  <si>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</si>
  <si>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</si>
  <si>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</si>
  <si>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</si>
  <si>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</si>
  <si>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</si>
  <si>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</si>
  <si>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</si>
  <si>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</si>
  <si>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</si>
  <si>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</si>
  <si>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</si>
  <si>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</si>
  <si>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</si>
  <si>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</si>
  <si>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</si>
  <si>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</si>
  <si>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</si>
  <si>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</si>
  <si>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</si>
  <si>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</si>
  <si>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</si>
  <si>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</si>
  <si>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</si>
  <si>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</si>
  <si>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</si>
  <si>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</si>
  <si>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</si>
  <si>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08/03</t>
  </si>
  <si>
    <t>08/04</t>
  </si>
  <si>
    <t>08/13</t>
  </si>
  <si>
    <t>08/14</t>
  </si>
  <si>
    <t>7/09</t>
  </si>
  <si>
    <t>Fremont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</si>
</sst>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D0C-8F42-47CE-A882-102E7351350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189</v>
      </c>
      <c r="C2" s="21">
        <v>189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360384.12</v>
      </c>
      <c r="G9" s="18">
        <v>11166.7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37735.65</v>
      </c>
      <c r="G10" s="18"/>
      <c r="H10" s="18"/>
      <c r="I10" s="18"/>
      <c r="J10" s="67">
        <f>SUM(I432)</f>
        <v>78154.73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147844.72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22781.94</v>
      </c>
      <c r="G13" s="18"/>
      <c r="H13" s="18">
        <v>78534.399999999994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14033.57</v>
      </c>
      <c r="G14" s="18">
        <v>1710.35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343.71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583123.70999999985</v>
      </c>
      <c r="G19" s="41">
        <f>SUM(G9:G18)</f>
        <v>12877.050000000001</v>
      </c>
      <c r="H19" s="41">
        <f>SUM(H9:H18)</f>
        <v>78534.399999999994</v>
      </c>
      <c r="I19" s="41">
        <f>SUM(I9:I18)</f>
        <v>0</v>
      </c>
      <c r="J19" s="41">
        <f>SUM(J9:J18)</f>
        <v>78154.73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6519.48</v>
      </c>
      <c r="H23" s="18">
        <v>76322.240000000005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42917.17</v>
      </c>
      <c r="G25" s="18"/>
      <c r="H25" s="18">
        <v>-1271.97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33275.17</v>
      </c>
      <c r="G29" s="18">
        <v>4637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-986.49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1720.57</v>
      </c>
      <c r="H31" s="18">
        <v>3484.13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75205.849999999991</v>
      </c>
      <c r="G33" s="41">
        <f>SUM(G23:G32)</f>
        <v>12877.05</v>
      </c>
      <c r="H33" s="41">
        <f>SUM(H23:H32)</f>
        <v>78534.400000000009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36753.919999999998</v>
      </c>
      <c r="G37" s="18">
        <v>0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78154.73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471163.94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507917.86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78154.73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583123.71</v>
      </c>
      <c r="G44" s="41">
        <f>G43+G33</f>
        <v>12877.05</v>
      </c>
      <c r="H44" s="41">
        <f>H43+H33</f>
        <v>78534.400000000009</v>
      </c>
      <c r="I44" s="41">
        <f>I43+I33</f>
        <v>0</v>
      </c>
      <c r="J44" s="41">
        <f>J43+J33</f>
        <v>78154.73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7135135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7135135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15807.5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15807.5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1545.1</v>
      </c>
      <c r="G88" s="18"/>
      <c r="H88" s="18"/>
      <c r="I88" s="18"/>
      <c r="J88" s="18">
        <v>204.35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110193.9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7089.42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22477.7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31112.22</v>
      </c>
      <c r="G103" s="41">
        <f>SUM(G88:G102)</f>
        <v>110193.9</v>
      </c>
      <c r="H103" s="41">
        <f>SUM(H88:H102)</f>
        <v>0</v>
      </c>
      <c r="I103" s="41">
        <f>SUM(I88:I102)</f>
        <v>0</v>
      </c>
      <c r="J103" s="41">
        <f>SUM(J88:J102)</f>
        <v>204.35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7182054.7199999997</v>
      </c>
      <c r="G104" s="41">
        <f>G52+G103</f>
        <v>110193.9</v>
      </c>
      <c r="H104" s="41">
        <f>H52+H71+H86+H103</f>
        <v>0</v>
      </c>
      <c r="I104" s="41">
        <f>I52+I103</f>
        <v>0</v>
      </c>
      <c r="J104" s="41">
        <f>J52+J103</f>
        <v>204.35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1263739.6200000001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923257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484858.38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2671855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88485.51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103500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56464.3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1938.78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248449.81</v>
      </c>
      <c r="G128" s="41">
        <f>SUM(G115:G127)</f>
        <v>1938.78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2920304.81</v>
      </c>
      <c r="G132" s="41">
        <f>G113+SUM(G128:G129)</f>
        <v>1938.78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38084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50573.65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46734.28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168689.87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24733.27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53135.4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24733.27</v>
      </c>
      <c r="G154" s="41">
        <f>SUM(G142:G153)</f>
        <v>46734.28</v>
      </c>
      <c r="H154" s="41">
        <f>SUM(H142:H153)</f>
        <v>310482.92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24733.27</v>
      </c>
      <c r="G161" s="41">
        <f>G139+G154+SUM(G155:G160)</f>
        <v>46734.28</v>
      </c>
      <c r="H161" s="41">
        <f>H139+H154+SUM(H155:H160)</f>
        <v>310482.92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10127092.799999999</v>
      </c>
      <c r="G185" s="47">
        <f>G104+G132+G161+G184</f>
        <v>158866.96</v>
      </c>
      <c r="H185" s="47">
        <f>H104+H132+H161+H184</f>
        <v>310482.92</v>
      </c>
      <c r="I185" s="47">
        <f>I104+I132+I161+I184</f>
        <v>0</v>
      </c>
      <c r="J185" s="47">
        <f>J104+J132+J184</f>
        <v>204.35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1548424.13</v>
      </c>
      <c r="G189" s="18">
        <v>666035.41</v>
      </c>
      <c r="H189" s="18"/>
      <c r="I189" s="18">
        <v>79569.2</v>
      </c>
      <c r="J189" s="18">
        <v>7455.49</v>
      </c>
      <c r="K189" s="18">
        <v>155</v>
      </c>
      <c r="L189" s="19">
        <f>SUM(F189:K189)</f>
        <v>2301639.2300000004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629099.51</v>
      </c>
      <c r="G190" s="18">
        <v>151671.60999999999</v>
      </c>
      <c r="H190" s="18">
        <v>129812.24</v>
      </c>
      <c r="I190" s="18">
        <v>3906.11</v>
      </c>
      <c r="J190" s="18">
        <v>853</v>
      </c>
      <c r="K190" s="18"/>
      <c r="L190" s="19">
        <f>SUM(F190:K190)</f>
        <v>915342.47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32100.01</v>
      </c>
      <c r="G192" s="18">
        <v>2523.44</v>
      </c>
      <c r="H192" s="18">
        <v>5770.48</v>
      </c>
      <c r="I192" s="18">
        <v>11115.52</v>
      </c>
      <c r="J192" s="18">
        <v>1368.4</v>
      </c>
      <c r="K192" s="18"/>
      <c r="L192" s="19">
        <f>SUM(F192:K192)</f>
        <v>52877.85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466864.19</v>
      </c>
      <c r="G194" s="18">
        <v>211162.6</v>
      </c>
      <c r="H194" s="18">
        <v>100307.15</v>
      </c>
      <c r="I194" s="18">
        <v>7593.8</v>
      </c>
      <c r="J194" s="18">
        <v>9274.08</v>
      </c>
      <c r="K194" s="18">
        <v>80</v>
      </c>
      <c r="L194" s="19">
        <f t="shared" ref="L194:L200" si="0">SUM(F194:K194)</f>
        <v>795281.82000000007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88070.66</v>
      </c>
      <c r="G195" s="18">
        <v>44875.12</v>
      </c>
      <c r="H195" s="18">
        <v>6822.85</v>
      </c>
      <c r="I195" s="18">
        <v>16729.099999999999</v>
      </c>
      <c r="J195" s="18">
        <v>21341.88</v>
      </c>
      <c r="K195" s="18"/>
      <c r="L195" s="19">
        <f t="shared" si="0"/>
        <v>177839.61000000002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196499.49</v>
      </c>
      <c r="G196" s="18">
        <v>56215.28</v>
      </c>
      <c r="H196" s="18">
        <v>91436.42</v>
      </c>
      <c r="I196" s="18">
        <v>8527.7900000000009</v>
      </c>
      <c r="J196" s="18">
        <v>0</v>
      </c>
      <c r="K196" s="18">
        <v>19637.810000000001</v>
      </c>
      <c r="L196" s="19">
        <f t="shared" si="0"/>
        <v>372316.79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223939.95</v>
      </c>
      <c r="G197" s="18">
        <v>78462.66</v>
      </c>
      <c r="H197" s="18">
        <v>43124.99</v>
      </c>
      <c r="I197" s="18">
        <v>9561.8799999999992</v>
      </c>
      <c r="J197" s="18">
        <v>11035</v>
      </c>
      <c r="K197" s="18">
        <v>2396.9499999999998</v>
      </c>
      <c r="L197" s="19">
        <f t="shared" si="0"/>
        <v>368521.43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114258.9</v>
      </c>
      <c r="G199" s="18">
        <v>49377.11</v>
      </c>
      <c r="H199" s="18">
        <v>81645.009999999995</v>
      </c>
      <c r="I199" s="18">
        <v>147777.07999999999</v>
      </c>
      <c r="J199" s="18">
        <v>8059.71</v>
      </c>
      <c r="K199" s="18"/>
      <c r="L199" s="19">
        <f t="shared" si="0"/>
        <v>401117.81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398245.32</v>
      </c>
      <c r="I200" s="18"/>
      <c r="J200" s="18"/>
      <c r="K200" s="18"/>
      <c r="L200" s="19">
        <f t="shared" si="0"/>
        <v>398245.32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3299256.8399999994</v>
      </c>
      <c r="G203" s="41">
        <f t="shared" si="1"/>
        <v>1260323.23</v>
      </c>
      <c r="H203" s="41">
        <f t="shared" si="1"/>
        <v>857164.46</v>
      </c>
      <c r="I203" s="41">
        <f t="shared" si="1"/>
        <v>284780.48</v>
      </c>
      <c r="J203" s="41">
        <f t="shared" si="1"/>
        <v>59387.560000000005</v>
      </c>
      <c r="K203" s="41">
        <f t="shared" si="1"/>
        <v>22269.760000000002</v>
      </c>
      <c r="L203" s="41">
        <f t="shared" si="1"/>
        <v>5783182.3300000001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2897843.38</v>
      </c>
      <c r="I225" s="18"/>
      <c r="J225" s="18"/>
      <c r="K225" s="18"/>
      <c r="L225" s="19">
        <f>SUM(F225:K225)</f>
        <v>2897843.38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386613.42</v>
      </c>
      <c r="I226" s="18"/>
      <c r="J226" s="18"/>
      <c r="K226" s="18"/>
      <c r="L226" s="19">
        <f>SUM(F226:K226)</f>
        <v>386613.42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735+1437.5</f>
        <v>2172.5</v>
      </c>
      <c r="I230" s="18"/>
      <c r="J230" s="18"/>
      <c r="K230" s="18"/>
      <c r="L230" s="19">
        <f t="shared" ref="L230:L236" si="4">SUM(F230:K230)</f>
        <v>2172.5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74469</v>
      </c>
      <c r="G232" s="18">
        <v>16530.849999999999</v>
      </c>
      <c r="H232" s="18">
        <v>2590.89</v>
      </c>
      <c r="I232" s="18"/>
      <c r="J232" s="18"/>
      <c r="K232" s="18"/>
      <c r="L232" s="19">
        <f t="shared" si="4"/>
        <v>93590.74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200925.57</v>
      </c>
      <c r="I236" s="18"/>
      <c r="J236" s="18"/>
      <c r="K236" s="18"/>
      <c r="L236" s="19">
        <f t="shared" si="4"/>
        <v>200925.57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74469</v>
      </c>
      <c r="G239" s="41">
        <f t="shared" si="5"/>
        <v>16530.849999999999</v>
      </c>
      <c r="H239" s="41">
        <f t="shared" si="5"/>
        <v>3490145.76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3581145.61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3373725.8399999994</v>
      </c>
      <c r="G249" s="41">
        <f t="shared" si="8"/>
        <v>1276854.08</v>
      </c>
      <c r="H249" s="41">
        <f t="shared" si="8"/>
        <v>4347310.22</v>
      </c>
      <c r="I249" s="41">
        <f t="shared" si="8"/>
        <v>284780.48</v>
      </c>
      <c r="J249" s="41">
        <f t="shared" si="8"/>
        <v>59387.560000000005</v>
      </c>
      <c r="K249" s="41">
        <f t="shared" si="8"/>
        <v>22269.760000000002</v>
      </c>
      <c r="L249" s="41">
        <f t="shared" si="8"/>
        <v>9364327.9399999995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270000</v>
      </c>
      <c r="L252" s="19">
        <f>SUM(F252:K252)</f>
        <v>270000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71500</v>
      </c>
      <c r="L253" s="19">
        <f>SUM(F253:K253)</f>
        <v>71500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341500</v>
      </c>
      <c r="L262" s="41">
        <f t="shared" si="9"/>
        <v>341500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3373725.8399999994</v>
      </c>
      <c r="G263" s="42">
        <f t="shared" si="11"/>
        <v>1276854.08</v>
      </c>
      <c r="H263" s="42">
        <f t="shared" si="11"/>
        <v>4347310.22</v>
      </c>
      <c r="I263" s="42">
        <f t="shared" si="11"/>
        <v>284780.48</v>
      </c>
      <c r="J263" s="42">
        <f t="shared" si="11"/>
        <v>59387.560000000005</v>
      </c>
      <c r="K263" s="42">
        <f t="shared" si="11"/>
        <v>363769.76</v>
      </c>
      <c r="L263" s="42">
        <f t="shared" si="11"/>
        <v>9705827.9399999995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22421.119999999999</v>
      </c>
      <c r="G268" s="18"/>
      <c r="H268" s="18"/>
      <c r="I268" s="18">
        <v>18774</v>
      </c>
      <c r="J268" s="18"/>
      <c r="K268" s="18"/>
      <c r="L268" s="19">
        <f>SUM(F268:K268)</f>
        <v>41195.119999999995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211495.67</v>
      </c>
      <c r="G269" s="18">
        <v>2138.75</v>
      </c>
      <c r="H269" s="18"/>
      <c r="I269" s="18">
        <v>3042.48</v>
      </c>
      <c r="J269" s="18"/>
      <c r="K269" s="18"/>
      <c r="L269" s="19">
        <f>SUM(F269:K269)</f>
        <v>216676.90000000002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2412</v>
      </c>
      <c r="G273" s="18"/>
      <c r="H273" s="18">
        <v>24910.28</v>
      </c>
      <c r="I273" s="18">
        <v>1600</v>
      </c>
      <c r="J273" s="18"/>
      <c r="K273" s="18">
        <v>50</v>
      </c>
      <c r="L273" s="19">
        <f t="shared" ref="L273:L279" si="12">SUM(F273:K273)</f>
        <v>28972.28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3948.95</v>
      </c>
      <c r="I274" s="18"/>
      <c r="J274" s="18"/>
      <c r="K274" s="18"/>
      <c r="L274" s="19">
        <f t="shared" si="12"/>
        <v>3948.95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2705.43</v>
      </c>
      <c r="L275" s="19">
        <f t="shared" si="12"/>
        <v>2705.43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>
        <v>379.02</v>
      </c>
      <c r="J276" s="18">
        <v>3944.66</v>
      </c>
      <c r="K276" s="18"/>
      <c r="L276" s="19">
        <f t="shared" si="12"/>
        <v>4323.68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236328.79</v>
      </c>
      <c r="G282" s="42">
        <f t="shared" si="13"/>
        <v>2138.75</v>
      </c>
      <c r="H282" s="42">
        <f t="shared" si="13"/>
        <v>28859.23</v>
      </c>
      <c r="I282" s="42">
        <f t="shared" si="13"/>
        <v>23795.5</v>
      </c>
      <c r="J282" s="42">
        <f t="shared" si="13"/>
        <v>3944.66</v>
      </c>
      <c r="K282" s="42">
        <f t="shared" si="13"/>
        <v>2755.43</v>
      </c>
      <c r="L282" s="41">
        <f t="shared" si="13"/>
        <v>297822.36000000004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236328.79</v>
      </c>
      <c r="G330" s="41">
        <f t="shared" si="20"/>
        <v>2138.75</v>
      </c>
      <c r="H330" s="41">
        <f t="shared" si="20"/>
        <v>28859.23</v>
      </c>
      <c r="I330" s="41">
        <f t="shared" si="20"/>
        <v>23795.5</v>
      </c>
      <c r="J330" s="41">
        <f t="shared" si="20"/>
        <v>3944.66</v>
      </c>
      <c r="K330" s="41">
        <f t="shared" si="20"/>
        <v>2755.43</v>
      </c>
      <c r="L330" s="41">
        <f t="shared" si="20"/>
        <v>297822.36000000004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236328.79</v>
      </c>
      <c r="G344" s="41">
        <f>G330</f>
        <v>2138.75</v>
      </c>
      <c r="H344" s="41">
        <f>H330</f>
        <v>28859.23</v>
      </c>
      <c r="I344" s="41">
        <f>I330</f>
        <v>23795.5</v>
      </c>
      <c r="J344" s="41">
        <f>J330</f>
        <v>3944.66</v>
      </c>
      <c r="K344" s="47">
        <f>K330+K343</f>
        <v>2755.43</v>
      </c>
      <c r="L344" s="41">
        <f>L330+L343</f>
        <v>297822.36000000004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156693</v>
      </c>
      <c r="I350" s="18">
        <v>1428.69</v>
      </c>
      <c r="J350" s="18">
        <v>457.49</v>
      </c>
      <c r="K350" s="18"/>
      <c r="L350" s="13">
        <f>SUM(F350:K350)</f>
        <v>158579.18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156693</v>
      </c>
      <c r="I354" s="47">
        <f t="shared" si="22"/>
        <v>1428.69</v>
      </c>
      <c r="J354" s="47">
        <f t="shared" si="22"/>
        <v>457.49</v>
      </c>
      <c r="K354" s="47">
        <f t="shared" si="22"/>
        <v>0</v>
      </c>
      <c r="L354" s="47">
        <f t="shared" si="22"/>
        <v>158579.18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1428.69</v>
      </c>
      <c r="G360" s="63"/>
      <c r="H360" s="63"/>
      <c r="I360" s="56">
        <f>SUM(F360:H360)</f>
        <v>1428.69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1428.69</v>
      </c>
      <c r="G361" s="47">
        <f>SUM(G359:G360)</f>
        <v>0</v>
      </c>
      <c r="H361" s="47">
        <f>SUM(H359:H360)</f>
        <v>0</v>
      </c>
      <c r="I361" s="47">
        <f>SUM(I359:I360)</f>
        <v>1428.69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204.35</v>
      </c>
      <c r="I388" s="18"/>
      <c r="J388" s="24" t="s">
        <v>312</v>
      </c>
      <c r="K388" s="24" t="s">
        <v>312</v>
      </c>
      <c r="L388" s="56">
        <f t="shared" si="26"/>
        <v>204.35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204.35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204.35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204.35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204.35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78154.73</v>
      </c>
      <c r="H432" s="18"/>
      <c r="I432" s="56">
        <f t="shared" si="33"/>
        <v>78154.73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78154.73</v>
      </c>
      <c r="H438" s="13">
        <f>SUM(H431:H437)</f>
        <v>0</v>
      </c>
      <c r="I438" s="13">
        <f>SUM(I431:I437)</f>
        <v>78154.73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78154.73</v>
      </c>
      <c r="H449" s="18"/>
      <c r="I449" s="56">
        <f>SUM(F449:H449)</f>
        <v>78154.73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78154.73</v>
      </c>
      <c r="H450" s="83">
        <f>SUM(H446:H449)</f>
        <v>0</v>
      </c>
      <c r="I450" s="83">
        <f>SUM(I446:I449)</f>
        <v>78154.73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78154.73</v>
      </c>
      <c r="H451" s="42">
        <f>H444+H450</f>
        <v>0</v>
      </c>
      <c r="I451" s="42">
        <f>I444+I450</f>
        <v>78154.73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86653</v>
      </c>
      <c r="G455" s="18"/>
      <c r="H455" s="18"/>
      <c r="I455" s="18"/>
      <c r="J455" s="18">
        <v>77950.38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10127092.800000001</v>
      </c>
      <c r="G458" s="18">
        <v>158866.96</v>
      </c>
      <c r="H458" s="18">
        <v>310482.92</v>
      </c>
      <c r="I458" s="18"/>
      <c r="J458" s="18">
        <v>204.35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10127092.800000001</v>
      </c>
      <c r="G460" s="53">
        <f>SUM(G458:G459)</f>
        <v>158866.96</v>
      </c>
      <c r="H460" s="53">
        <f>SUM(H458:H459)</f>
        <v>310482.92</v>
      </c>
      <c r="I460" s="53">
        <f>SUM(I458:I459)</f>
        <v>0</v>
      </c>
      <c r="J460" s="53">
        <f>SUM(J458:J459)</f>
        <v>204.35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9705827.9399999995</v>
      </c>
      <c r="G462" s="18">
        <v>158579.18</v>
      </c>
      <c r="H462" s="18">
        <v>297822.36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287.77999999999997</v>
      </c>
      <c r="H463" s="18">
        <v>12660.56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9705827.9399999995</v>
      </c>
      <c r="G464" s="53">
        <f>SUM(G462:G463)</f>
        <v>158866.96</v>
      </c>
      <c r="H464" s="53">
        <f>SUM(H462:H463)</f>
        <v>310482.92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507917.86000000127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78154.73000000001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10</v>
      </c>
      <c r="H480" s="154">
        <v>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898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 t="s">
        <v>896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450000</v>
      </c>
      <c r="G483" s="18">
        <v>1565000</v>
      </c>
      <c r="H483" s="18">
        <v>82397.7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4.76</v>
      </c>
      <c r="G484" s="18">
        <v>3.63</v>
      </c>
      <c r="H484" s="18">
        <v>3.9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225000</v>
      </c>
      <c r="G485" s="18">
        <v>1340000</v>
      </c>
      <c r="H485" s="18"/>
      <c r="I485" s="18"/>
      <c r="J485" s="18"/>
      <c r="K485" s="53">
        <f>SUM(F485:J485)</f>
        <v>1565000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>
        <v>82397.7</v>
      </c>
      <c r="I486" s="18"/>
      <c r="J486" s="18"/>
      <c r="K486" s="53">
        <f t="shared" ref="K486:K493" si="34">SUM(F486:J486)</f>
        <v>82397.7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45000</v>
      </c>
      <c r="G487" s="18">
        <v>225000</v>
      </c>
      <c r="H487" s="18">
        <v>17342.73</v>
      </c>
      <c r="I487" s="18"/>
      <c r="J487" s="18"/>
      <c r="K487" s="53">
        <f t="shared" si="34"/>
        <v>287342.73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180000</v>
      </c>
      <c r="G488" s="205">
        <v>1115000</v>
      </c>
      <c r="H488" s="205">
        <v>65054.97</v>
      </c>
      <c r="I488" s="205"/>
      <c r="J488" s="205"/>
      <c r="K488" s="206">
        <f t="shared" si="34"/>
        <v>1360054.97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18000</v>
      </c>
      <c r="G489" s="18">
        <v>138625</v>
      </c>
      <c r="H489" s="18">
        <v>6464.15</v>
      </c>
      <c r="I489" s="18"/>
      <c r="J489" s="18"/>
      <c r="K489" s="53">
        <f t="shared" si="34"/>
        <v>163089.15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198000</v>
      </c>
      <c r="G490" s="42">
        <f>SUM(G488:G489)</f>
        <v>1253625</v>
      </c>
      <c r="H490" s="42">
        <f>SUM(H488:H489)</f>
        <v>71519.12</v>
      </c>
      <c r="I490" s="42">
        <f>SUM(I488:I489)</f>
        <v>0</v>
      </c>
      <c r="J490" s="42">
        <f>SUM(J488:J489)</f>
        <v>0</v>
      </c>
      <c r="K490" s="42">
        <f t="shared" si="34"/>
        <v>1523144.12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45000</v>
      </c>
      <c r="G491" s="205">
        <v>225000</v>
      </c>
      <c r="H491" s="205">
        <v>15342.64</v>
      </c>
      <c r="I491" s="205"/>
      <c r="J491" s="205"/>
      <c r="K491" s="206">
        <f t="shared" si="34"/>
        <v>285342.64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7875</v>
      </c>
      <c r="G492" s="18">
        <v>50125</v>
      </c>
      <c r="H492" s="18">
        <v>2537.14</v>
      </c>
      <c r="I492" s="18"/>
      <c r="J492" s="18"/>
      <c r="K492" s="53">
        <f t="shared" si="34"/>
        <v>60537.14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52875</v>
      </c>
      <c r="G493" s="42">
        <f>SUM(G491:G492)</f>
        <v>275125</v>
      </c>
      <c r="H493" s="42">
        <f>SUM(H491:H492)</f>
        <v>17879.78</v>
      </c>
      <c r="I493" s="42">
        <f>SUM(I491:I492)</f>
        <v>0</v>
      </c>
      <c r="J493" s="42">
        <f>SUM(J491:J492)</f>
        <v>0</v>
      </c>
      <c r="K493" s="42">
        <f t="shared" si="34"/>
        <v>345879.78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629099.51</v>
      </c>
      <c r="G511" s="18">
        <v>151671.60999999999</v>
      </c>
      <c r="H511" s="18">
        <v>291095.88</v>
      </c>
      <c r="I511" s="18">
        <v>3906.11</v>
      </c>
      <c r="J511" s="18">
        <v>853</v>
      </c>
      <c r="K511" s="18"/>
      <c r="L511" s="88">
        <f>SUM(F511:K511)</f>
        <v>1076626.1100000001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205936.78</v>
      </c>
      <c r="I513" s="18"/>
      <c r="J513" s="18"/>
      <c r="K513" s="18"/>
      <c r="L513" s="88">
        <f>SUM(F513:K513)</f>
        <v>205936.78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629099.51</v>
      </c>
      <c r="G514" s="108">
        <f t="shared" ref="G514:L514" si="35">SUM(G511:G513)</f>
        <v>151671.60999999999</v>
      </c>
      <c r="H514" s="108">
        <f t="shared" si="35"/>
        <v>497032.66000000003</v>
      </c>
      <c r="I514" s="108">
        <f t="shared" si="35"/>
        <v>3906.11</v>
      </c>
      <c r="J514" s="108">
        <f t="shared" si="35"/>
        <v>853</v>
      </c>
      <c r="K514" s="108">
        <f t="shared" si="35"/>
        <v>0</v>
      </c>
      <c r="L514" s="89">
        <f t="shared" si="35"/>
        <v>1282562.8900000001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2172.5</v>
      </c>
      <c r="I518" s="18"/>
      <c r="J518" s="18"/>
      <c r="K518" s="18"/>
      <c r="L518" s="88">
        <f>SUM(F518:K518)</f>
        <v>2172.5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2172.5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2172.5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74469</v>
      </c>
      <c r="G523" s="18">
        <v>16530.849999999999</v>
      </c>
      <c r="H523" s="18">
        <v>2590.89</v>
      </c>
      <c r="I523" s="18"/>
      <c r="J523" s="18"/>
      <c r="K523" s="18"/>
      <c r="L523" s="88">
        <f>SUM(F523:K523)</f>
        <v>93590.74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74469</v>
      </c>
      <c r="G524" s="89">
        <f t="shared" ref="G524:L524" si="37">SUM(G521:G523)</f>
        <v>16530.849999999999</v>
      </c>
      <c r="H524" s="89">
        <f t="shared" si="37"/>
        <v>2590.89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93590.74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87590.94</v>
      </c>
      <c r="I531" s="18"/>
      <c r="J531" s="18"/>
      <c r="K531" s="18"/>
      <c r="L531" s="88">
        <f>SUM(F531:K531)</f>
        <v>87590.94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126992.2</v>
      </c>
      <c r="I533" s="18"/>
      <c r="J533" s="18"/>
      <c r="K533" s="18"/>
      <c r="L533" s="88">
        <f>SUM(F533:K533)</f>
        <v>126992.2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214583.14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214583.14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703568.51</v>
      </c>
      <c r="G535" s="89">
        <f t="shared" ref="G535:L535" si="40">G514+G519+G524+G529+G534</f>
        <v>168202.46</v>
      </c>
      <c r="H535" s="89">
        <f t="shared" si="40"/>
        <v>716379.19000000006</v>
      </c>
      <c r="I535" s="89">
        <f t="shared" si="40"/>
        <v>3906.11</v>
      </c>
      <c r="J535" s="89">
        <f t="shared" si="40"/>
        <v>853</v>
      </c>
      <c r="K535" s="89">
        <f t="shared" si="40"/>
        <v>0</v>
      </c>
      <c r="L535" s="89">
        <f t="shared" si="40"/>
        <v>1592909.27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1076626.1100000001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87590.94</v>
      </c>
      <c r="K539" s="87">
        <f>SUM(F539:J539)</f>
        <v>1164217.05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205936.78</v>
      </c>
      <c r="G541" s="87">
        <f>L518</f>
        <v>2172.5</v>
      </c>
      <c r="H541" s="87">
        <f>L523</f>
        <v>93590.74</v>
      </c>
      <c r="I541" s="87">
        <f>L528</f>
        <v>0</v>
      </c>
      <c r="J541" s="87">
        <f>L533</f>
        <v>126992.2</v>
      </c>
      <c r="K541" s="87">
        <f>SUM(F541:J541)</f>
        <v>428692.22000000003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1282562.8900000001</v>
      </c>
      <c r="G542" s="89">
        <f t="shared" si="41"/>
        <v>2172.5</v>
      </c>
      <c r="H542" s="89">
        <f t="shared" si="41"/>
        <v>93590.74</v>
      </c>
      <c r="I542" s="89">
        <f t="shared" si="41"/>
        <v>0</v>
      </c>
      <c r="J542" s="89">
        <f t="shared" si="41"/>
        <v>214583.14</v>
      </c>
      <c r="K542" s="89">
        <f t="shared" si="41"/>
        <v>1592909.27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2897843.38</v>
      </c>
      <c r="I565" s="87">
        <f>SUM(F565:H565)</f>
        <v>2897843.38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4267.47</v>
      </c>
      <c r="G569" s="18"/>
      <c r="H569" s="18">
        <v>205936.78</v>
      </c>
      <c r="I569" s="87">
        <f t="shared" si="46"/>
        <v>210204.25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65252.67</v>
      </c>
      <c r="G572" s="18"/>
      <c r="H572" s="18">
        <v>180676.64</v>
      </c>
      <c r="I572" s="87">
        <f t="shared" si="46"/>
        <v>245929.31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300602.63</v>
      </c>
      <c r="I581" s="18"/>
      <c r="J581" s="18">
        <v>73933.37</v>
      </c>
      <c r="K581" s="104">
        <f t="shared" ref="K581:K587" si="47">SUM(H581:J581)</f>
        <v>374536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87590.94</v>
      </c>
      <c r="I582" s="18"/>
      <c r="J582" s="18">
        <v>126992.2</v>
      </c>
      <c r="K582" s="104">
        <f t="shared" si="47"/>
        <v>214583.14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3158.11</v>
      </c>
      <c r="I584" s="18"/>
      <c r="J584" s="18"/>
      <c r="K584" s="104">
        <f t="shared" si="47"/>
        <v>3158.11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6893.64</v>
      </c>
      <c r="I585" s="18"/>
      <c r="J585" s="18"/>
      <c r="K585" s="104">
        <f t="shared" si="47"/>
        <v>6893.64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398245.32</v>
      </c>
      <c r="I588" s="108">
        <f>SUM(I581:I587)</f>
        <v>0</v>
      </c>
      <c r="J588" s="108">
        <f>SUM(J581:J587)</f>
        <v>200925.57</v>
      </c>
      <c r="K588" s="108">
        <f>SUM(K581:K587)</f>
        <v>599170.89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63332.22</v>
      </c>
      <c r="I594" s="18"/>
      <c r="J594" s="18"/>
      <c r="K594" s="104">
        <f>SUM(H594:J594)</f>
        <v>63332.22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63332.22</v>
      </c>
      <c r="I595" s="108">
        <f>SUM(I592:I594)</f>
        <v>0</v>
      </c>
      <c r="J595" s="108">
        <f>SUM(J592:J594)</f>
        <v>0</v>
      </c>
      <c r="K595" s="108">
        <f>SUM(K592:K594)</f>
        <v>63332.22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583123.70999999985</v>
      </c>
      <c r="H607" s="109">
        <f>SUM(F44)</f>
        <v>583123.71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12877.050000000001</v>
      </c>
      <c r="H608" s="109">
        <f>SUM(G44)</f>
        <v>12877.05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78534.399999999994</v>
      </c>
      <c r="H609" s="109">
        <f>SUM(H44)</f>
        <v>78534.400000000009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78154.73</v>
      </c>
      <c r="H611" s="109">
        <f>SUM(J44)</f>
        <v>78154.73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507917.86</v>
      </c>
      <c r="H612" s="109">
        <f>F466</f>
        <v>507917.86000000127</v>
      </c>
      <c r="I612" s="121" t="s">
        <v>106</v>
      </c>
      <c r="J612" s="109">
        <f t="shared" ref="J612:J645" si="49">G612-H612</f>
        <v>-1.280568540096283E-9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78154.73</v>
      </c>
      <c r="H616" s="109">
        <f>J466</f>
        <v>78154.73000000001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10127092.799999999</v>
      </c>
      <c r="H617" s="104">
        <f>SUM(F458)</f>
        <v>10127092.800000001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158866.96</v>
      </c>
      <c r="H618" s="104">
        <f>SUM(G458)</f>
        <v>158866.96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310482.92</v>
      </c>
      <c r="H619" s="104">
        <f>SUM(H458)</f>
        <v>310482.92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204.35</v>
      </c>
      <c r="H621" s="104">
        <f>SUM(J458)</f>
        <v>204.35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9705827.9399999995</v>
      </c>
      <c r="H622" s="104">
        <f>SUM(F462)</f>
        <v>9705827.9399999995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297822.36000000004</v>
      </c>
      <c r="H623" s="104">
        <f>SUM(H462)</f>
        <v>297822.36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1428.69</v>
      </c>
      <c r="H624" s="104">
        <f>I361</f>
        <v>1428.69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158579.18</v>
      </c>
      <c r="H625" s="104">
        <f>SUM(G462)</f>
        <v>158579.18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204.35</v>
      </c>
      <c r="H627" s="164">
        <f>SUM(J458)</f>
        <v>204.35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78154.73</v>
      </c>
      <c r="H630" s="104">
        <f>SUM(G451)</f>
        <v>78154.73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78154.73</v>
      </c>
      <c r="H632" s="104">
        <f>SUM(I451)</f>
        <v>78154.73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204.35</v>
      </c>
      <c r="H634" s="104">
        <f>H400</f>
        <v>204.35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204.35</v>
      </c>
      <c r="H636" s="104">
        <f>L400</f>
        <v>204.35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599170.89</v>
      </c>
      <c r="H637" s="104">
        <f>L200+L218+L236</f>
        <v>599170.89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63332.22</v>
      </c>
      <c r="H638" s="104">
        <f>(J249+J330)-(J247+J328)</f>
        <v>63332.22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398245.32</v>
      </c>
      <c r="H639" s="104">
        <f>H588</f>
        <v>398245.32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200925.57</v>
      </c>
      <c r="H641" s="104">
        <f>J588</f>
        <v>200925.57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6239583.8700000001</v>
      </c>
      <c r="G650" s="19">
        <f>(L221+L301+L351)</f>
        <v>0</v>
      </c>
      <c r="H650" s="19">
        <f>(L239+L320+L352)</f>
        <v>3581145.61</v>
      </c>
      <c r="I650" s="19">
        <f>SUM(F650:H650)</f>
        <v>9820729.4800000004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110193.9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110193.9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398245.32</v>
      </c>
      <c r="G652" s="19">
        <f>(L218+L298)-(J218+J298)</f>
        <v>0</v>
      </c>
      <c r="H652" s="19">
        <f>(L236+L317)-(J236+J317)</f>
        <v>200925.57</v>
      </c>
      <c r="I652" s="19">
        <f>SUM(F652:H652)</f>
        <v>599170.89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132852.35999999999</v>
      </c>
      <c r="G653" s="200">
        <f>SUM(G565:G577)+SUM(I592:I594)+L602</f>
        <v>0</v>
      </c>
      <c r="H653" s="200">
        <f>SUM(H565:H577)+SUM(J592:J594)+L603</f>
        <v>3284456.8</v>
      </c>
      <c r="I653" s="19">
        <f>SUM(F653:H653)</f>
        <v>3417309.1599999997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5598292.29</v>
      </c>
      <c r="G654" s="19">
        <f>G650-SUM(G651:G653)</f>
        <v>0</v>
      </c>
      <c r="H654" s="19">
        <f>H650-SUM(H651:H653)</f>
        <v>95763.240000000224</v>
      </c>
      <c r="I654" s="19">
        <f>I650-SUM(I651:I653)</f>
        <v>5694055.5300000012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498.57</v>
      </c>
      <c r="G655" s="249"/>
      <c r="H655" s="249"/>
      <c r="I655" s="19">
        <f>SUM(F655:H655)</f>
        <v>498.57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11228.7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11420.77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-95763.24</v>
      </c>
      <c r="I659" s="19">
        <f>SUM(F659:H659)</f>
        <v>-95763.24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11228.7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11228.7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F3F6-3816-49EC-8DBE-CD911013DB5F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Fremont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1570845.25</v>
      </c>
      <c r="C9" s="230">
        <f>'DOE25'!G189+'DOE25'!G207+'DOE25'!G225+'DOE25'!G268+'DOE25'!G287+'DOE25'!G306</f>
        <v>666035.41</v>
      </c>
    </row>
    <row r="10" spans="1:3" x14ac:dyDescent="0.2">
      <c r="A10" t="s">
        <v>813</v>
      </c>
      <c r="B10" s="241">
        <v>1462399.4</v>
      </c>
      <c r="C10" s="241">
        <v>657739.30000000005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108445.85</v>
      </c>
      <c r="C12" s="241">
        <v>8296.11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1570845.25</v>
      </c>
      <c r="C13" s="232">
        <f>SUM(C10:C12)</f>
        <v>666035.41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840595.18</v>
      </c>
      <c r="C18" s="230">
        <f>'DOE25'!G190+'DOE25'!G208+'DOE25'!G226+'DOE25'!G269+'DOE25'!G288+'DOE25'!G307</f>
        <v>153810.35999999999</v>
      </c>
    </row>
    <row r="19" spans="1:3" x14ac:dyDescent="0.2">
      <c r="A19" t="s">
        <v>813</v>
      </c>
      <c r="B19" s="241">
        <v>386466.94</v>
      </c>
      <c r="C19" s="241">
        <v>111933.63</v>
      </c>
    </row>
    <row r="20" spans="1:3" x14ac:dyDescent="0.2">
      <c r="A20" t="s">
        <v>814</v>
      </c>
      <c r="B20" s="241">
        <v>454128.24</v>
      </c>
      <c r="C20" s="241">
        <v>41876.730000000003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840595.17999999993</v>
      </c>
      <c r="C22" s="232">
        <f>SUM(C19:C21)</f>
        <v>153810.36000000002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32100.01</v>
      </c>
      <c r="C36" s="236">
        <f>'DOE25'!G192+'DOE25'!G210+'DOE25'!G228+'DOE25'!G271+'DOE25'!G290+'DOE25'!G309</f>
        <v>2523.44</v>
      </c>
    </row>
    <row r="37" spans="1:3" x14ac:dyDescent="0.2">
      <c r="A37" t="s">
        <v>813</v>
      </c>
      <c r="B37" s="241">
        <v>31900.01</v>
      </c>
      <c r="C37" s="241">
        <v>2508.14</v>
      </c>
    </row>
    <row r="38" spans="1:3" x14ac:dyDescent="0.2">
      <c r="A38" t="s">
        <v>814</v>
      </c>
      <c r="B38" s="241">
        <v>200</v>
      </c>
      <c r="C38" s="241">
        <v>15.3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32100.01</v>
      </c>
      <c r="C40" s="232">
        <f>SUM(C37:C39)</f>
        <v>2523.44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C30E-ADB3-4533-99F5-EB36B56C4566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Fremont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6554316.3499999996</v>
      </c>
      <c r="D5" s="20">
        <f>SUM('DOE25'!L189:L192)+SUM('DOE25'!L207:L210)+SUM('DOE25'!L225:L228)-F5-G5</f>
        <v>6544484.46</v>
      </c>
      <c r="E5" s="244"/>
      <c r="F5" s="256">
        <f>SUM('DOE25'!J189:J192)+SUM('DOE25'!J207:J210)+SUM('DOE25'!J225:J228)</f>
        <v>9676.89</v>
      </c>
      <c r="G5" s="53">
        <f>SUM('DOE25'!K189:K192)+SUM('DOE25'!K207:K210)+SUM('DOE25'!K225:K228)</f>
        <v>155</v>
      </c>
      <c r="H5" s="260"/>
    </row>
    <row r="6" spans="1:9" x14ac:dyDescent="0.2">
      <c r="A6" s="32">
        <v>2100</v>
      </c>
      <c r="B6" t="s">
        <v>835</v>
      </c>
      <c r="C6" s="246">
        <f t="shared" si="0"/>
        <v>797454.32000000007</v>
      </c>
      <c r="D6" s="20">
        <f>'DOE25'!L194+'DOE25'!L212+'DOE25'!L230-F6-G6</f>
        <v>788100.24000000011</v>
      </c>
      <c r="E6" s="244"/>
      <c r="F6" s="256">
        <f>'DOE25'!J194+'DOE25'!J212+'DOE25'!J230</f>
        <v>9274.08</v>
      </c>
      <c r="G6" s="53">
        <f>'DOE25'!K194+'DOE25'!K212+'DOE25'!K230</f>
        <v>80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177839.61000000002</v>
      </c>
      <c r="D7" s="20">
        <f>'DOE25'!L195+'DOE25'!L213+'DOE25'!L231-F7-G7</f>
        <v>156497.73000000001</v>
      </c>
      <c r="E7" s="244"/>
      <c r="F7" s="256">
        <f>'DOE25'!J195+'DOE25'!J213+'DOE25'!J231</f>
        <v>21341.88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239027.88999999996</v>
      </c>
      <c r="D8" s="244"/>
      <c r="E8" s="20">
        <f>'DOE25'!L196+'DOE25'!L214+'DOE25'!L232-F8-G8-D9-D11</f>
        <v>219390.07999999996</v>
      </c>
      <c r="F8" s="256">
        <f>'DOE25'!J196+'DOE25'!J214+'DOE25'!J232</f>
        <v>0</v>
      </c>
      <c r="G8" s="53">
        <f>'DOE25'!K196+'DOE25'!K214+'DOE25'!K232</f>
        <v>19637.810000000001</v>
      </c>
      <c r="H8" s="260"/>
    </row>
    <row r="9" spans="1:9" x14ac:dyDescent="0.2">
      <c r="A9" s="32">
        <v>2310</v>
      </c>
      <c r="B9" t="s">
        <v>852</v>
      </c>
      <c r="C9" s="246">
        <f t="shared" si="0"/>
        <v>77794.64</v>
      </c>
      <c r="D9" s="245">
        <v>77794.64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11602.5</v>
      </c>
      <c r="D10" s="244"/>
      <c r="E10" s="245">
        <v>11602.5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149085</v>
      </c>
      <c r="D11" s="245">
        <v>149085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368521.43</v>
      </c>
      <c r="D12" s="20">
        <f>'DOE25'!L197+'DOE25'!L215+'DOE25'!L233-F12-G12</f>
        <v>355089.48</v>
      </c>
      <c r="E12" s="244"/>
      <c r="F12" s="256">
        <f>'DOE25'!J197+'DOE25'!J215+'DOE25'!J233</f>
        <v>11035</v>
      </c>
      <c r="G12" s="53">
        <f>'DOE25'!K197+'DOE25'!K215+'DOE25'!K233</f>
        <v>2396.9499999999998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401117.81</v>
      </c>
      <c r="D14" s="20">
        <f>'DOE25'!L199+'DOE25'!L217+'DOE25'!L235-F14-G14</f>
        <v>393058.1</v>
      </c>
      <c r="E14" s="244"/>
      <c r="F14" s="256">
        <f>'DOE25'!J199+'DOE25'!J217+'DOE25'!J235</f>
        <v>8059.71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599170.89</v>
      </c>
      <c r="D15" s="20">
        <f>'DOE25'!L200+'DOE25'!L218+'DOE25'!L236-F15-G15</f>
        <v>599170.89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341500</v>
      </c>
      <c r="D25" s="244"/>
      <c r="E25" s="244"/>
      <c r="F25" s="259"/>
      <c r="G25" s="257"/>
      <c r="H25" s="258">
        <f>'DOE25'!L252+'DOE25'!L253+'DOE25'!L333+'DOE25'!L334</f>
        <v>341500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158579.18</v>
      </c>
      <c r="D29" s="20">
        <f>'DOE25'!L350+'DOE25'!L351+'DOE25'!L352-'DOE25'!I359-F29-G29</f>
        <v>158121.69</v>
      </c>
      <c r="E29" s="244"/>
      <c r="F29" s="256">
        <f>'DOE25'!J350+'DOE25'!J351+'DOE25'!J352</f>
        <v>457.49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297822.36000000004</v>
      </c>
      <c r="D31" s="20">
        <f>'DOE25'!L282+'DOE25'!L301+'DOE25'!L320+'DOE25'!L325+'DOE25'!L326+'DOE25'!L327-F31-G31</f>
        <v>291122.27000000008</v>
      </c>
      <c r="E31" s="244"/>
      <c r="F31" s="256">
        <f>'DOE25'!J282+'DOE25'!J301+'DOE25'!J320+'DOE25'!J325+'DOE25'!J326+'DOE25'!J327</f>
        <v>3944.66</v>
      </c>
      <c r="G31" s="53">
        <f>'DOE25'!K282+'DOE25'!K301+'DOE25'!K320+'DOE25'!K325+'DOE25'!K326+'DOE25'!K327</f>
        <v>2755.43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9512524.5</v>
      </c>
      <c r="E33" s="247">
        <f>SUM(E5:E31)</f>
        <v>230992.57999999996</v>
      </c>
      <c r="F33" s="247">
        <f>SUM(F5:F31)</f>
        <v>63789.710000000006</v>
      </c>
      <c r="G33" s="247">
        <f>SUM(G5:G31)</f>
        <v>25025.190000000002</v>
      </c>
      <c r="H33" s="247">
        <f>SUM(H5:H31)</f>
        <v>341500</v>
      </c>
    </row>
    <row r="35" spans="2:8" ht="12" thickBot="1" x14ac:dyDescent="0.25">
      <c r="B35" s="254" t="s">
        <v>881</v>
      </c>
      <c r="D35" s="255">
        <f>E33</f>
        <v>230992.57999999996</v>
      </c>
      <c r="E35" s="250"/>
    </row>
    <row r="36" spans="2:8" ht="12" thickTop="1" x14ac:dyDescent="0.2">
      <c r="B36" t="s">
        <v>849</v>
      </c>
      <c r="D36" s="20">
        <f>D33</f>
        <v>9512524.5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27D-7022-43C0-A5F2-78F6CAA47B83}">
  <sheetPr transitionEvaluation="1" codeName="Sheet2">
    <tabColor indexed="10"/>
  </sheetPr>
  <dimension ref="A1:I156"/>
  <sheetViews>
    <sheetView zoomScale="75" workbookViewId="0">
      <pane ySplit="2" topLeftCell="A9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Fremont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360384.12</v>
      </c>
      <c r="D9" s="95">
        <f>'DOE25'!G9</f>
        <v>11166.7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37735.65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78154.73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147844.72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22781.94</v>
      </c>
      <c r="D13" s="95">
        <f>'DOE25'!G13</f>
        <v>0</v>
      </c>
      <c r="E13" s="95">
        <f>'DOE25'!H13</f>
        <v>78534.399999999994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14033.57</v>
      </c>
      <c r="D14" s="95">
        <f>'DOE25'!G14</f>
        <v>1710.35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343.71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583123.70999999985</v>
      </c>
      <c r="D19" s="41">
        <f>SUM(D9:D18)</f>
        <v>12877.050000000001</v>
      </c>
      <c r="E19" s="41">
        <f>SUM(E9:E18)</f>
        <v>78534.399999999994</v>
      </c>
      <c r="F19" s="41">
        <f>SUM(F9:F18)</f>
        <v>0</v>
      </c>
      <c r="G19" s="41">
        <f>SUM(G9:G18)</f>
        <v>78154.73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6519.48</v>
      </c>
      <c r="E22" s="95">
        <f>'DOE25'!H23</f>
        <v>76322.240000000005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42917.17</v>
      </c>
      <c r="D24" s="95">
        <f>'DOE25'!G25</f>
        <v>0</v>
      </c>
      <c r="E24" s="95">
        <f>'DOE25'!H25</f>
        <v>-1271.97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33275.17</v>
      </c>
      <c r="D28" s="95">
        <f>'DOE25'!G29</f>
        <v>4637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-986.49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1720.57</v>
      </c>
      <c r="E30" s="95">
        <f>'DOE25'!H31</f>
        <v>3484.13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75205.849999999991</v>
      </c>
      <c r="D32" s="41">
        <f>SUM(D22:D31)</f>
        <v>12877.05</v>
      </c>
      <c r="E32" s="41">
        <f>SUM(E22:E31)</f>
        <v>78534.400000000009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36753.919999999998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78154.73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471163.94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507917.86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78154.73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583123.71</v>
      </c>
      <c r="D43" s="41">
        <f>D42+D32</f>
        <v>12877.05</v>
      </c>
      <c r="E43" s="41">
        <f>E42+E32</f>
        <v>78534.400000000009</v>
      </c>
      <c r="F43" s="41">
        <f>F42+F32</f>
        <v>0</v>
      </c>
      <c r="G43" s="41">
        <f>G42+G32</f>
        <v>78154.73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7135135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15807.5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1545.1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204.35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110193.9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29567.120000000003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46919.72</v>
      </c>
      <c r="D54" s="130">
        <f>SUM(D49:D53)</f>
        <v>110193.9</v>
      </c>
      <c r="E54" s="130">
        <f>SUM(E49:E53)</f>
        <v>0</v>
      </c>
      <c r="F54" s="130">
        <f>SUM(F49:F53)</f>
        <v>0</v>
      </c>
      <c r="G54" s="130">
        <f>SUM(G49:G53)</f>
        <v>204.35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7182054.7199999997</v>
      </c>
      <c r="D55" s="22">
        <f>D48+D54</f>
        <v>110193.9</v>
      </c>
      <c r="E55" s="22">
        <f>E48+E54</f>
        <v>0</v>
      </c>
      <c r="F55" s="22">
        <f>F48+F54</f>
        <v>0</v>
      </c>
      <c r="G55" s="22">
        <f>G48+G54</f>
        <v>204.35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1263739.6200000001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923257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484858.38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2671855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88485.51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103500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56464.3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1938.78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248449.81</v>
      </c>
      <c r="D70" s="130">
        <f>SUM(D64:D69)</f>
        <v>1938.78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2920304.81</v>
      </c>
      <c r="D73" s="130">
        <f>SUM(D71:D72)+D70+D62</f>
        <v>1938.78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24733.27</v>
      </c>
      <c r="D80" s="95">
        <f>SUM('DOE25'!G145:G153)</f>
        <v>46734.28</v>
      </c>
      <c r="E80" s="95">
        <f>SUM('DOE25'!H145:H153)</f>
        <v>310482.92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24733.27</v>
      </c>
      <c r="D83" s="131">
        <f>SUM(D77:D82)</f>
        <v>46734.28</v>
      </c>
      <c r="E83" s="131">
        <f>SUM(E77:E82)</f>
        <v>310482.92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10127092.799999999</v>
      </c>
      <c r="D96" s="86">
        <f>D55+D73+D83+D95</f>
        <v>158866.96</v>
      </c>
      <c r="E96" s="86">
        <f>E55+E73+E83+E95</f>
        <v>310482.92</v>
      </c>
      <c r="F96" s="86">
        <f>F55+F73+F83+F95</f>
        <v>0</v>
      </c>
      <c r="G96" s="86">
        <f>G55+G73+G95</f>
        <v>204.35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5199482.6100000003</v>
      </c>
      <c r="D101" s="24" t="s">
        <v>312</v>
      </c>
      <c r="E101" s="95">
        <f>('DOE25'!L268)+('DOE25'!L287)+('DOE25'!L306)</f>
        <v>41195.119999999995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1301955.8899999999</v>
      </c>
      <c r="D102" s="24" t="s">
        <v>312</v>
      </c>
      <c r="E102" s="95">
        <f>('DOE25'!L269)+('DOE25'!L288)+('DOE25'!L307)</f>
        <v>216676.90000000002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52877.85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6554316.3499999996</v>
      </c>
      <c r="D107" s="86">
        <f>SUM(D101:D106)</f>
        <v>0</v>
      </c>
      <c r="E107" s="86">
        <f>SUM(E101:E106)</f>
        <v>257872.02000000002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797454.32000000007</v>
      </c>
      <c r="D110" s="24" t="s">
        <v>312</v>
      </c>
      <c r="E110" s="95">
        <f>+('DOE25'!L273)+('DOE25'!L292)+('DOE25'!L311)</f>
        <v>28972.28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177839.61000000002</v>
      </c>
      <c r="D111" s="24" t="s">
        <v>312</v>
      </c>
      <c r="E111" s="95">
        <f>+('DOE25'!L274)+('DOE25'!L293)+('DOE25'!L312)</f>
        <v>3948.95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465907.52999999997</v>
      </c>
      <c r="D112" s="24" t="s">
        <v>312</v>
      </c>
      <c r="E112" s="95">
        <f>+('DOE25'!L275)+('DOE25'!L294)+('DOE25'!L313)</f>
        <v>2705.43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368521.43</v>
      </c>
      <c r="D113" s="24" t="s">
        <v>312</v>
      </c>
      <c r="E113" s="95">
        <f>+('DOE25'!L276)+('DOE25'!L295)+('DOE25'!L314)</f>
        <v>4323.68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401117.81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599170.89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158579.18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2810011.59</v>
      </c>
      <c r="D120" s="86">
        <f>SUM(D110:D119)</f>
        <v>158579.18</v>
      </c>
      <c r="E120" s="86">
        <f>SUM(E110:E119)</f>
        <v>39950.339999999997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270000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71500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204.35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-204.35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341500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9705827.9399999995</v>
      </c>
      <c r="D137" s="86">
        <f>(D107+D120+D136)</f>
        <v>158579.18</v>
      </c>
      <c r="E137" s="86">
        <f>(E107+E120+E136)</f>
        <v>297822.36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10</v>
      </c>
      <c r="D143" s="153">
        <f>'DOE25'!H480</f>
        <v>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08/03</v>
      </c>
      <c r="C144" s="152" t="str">
        <f>'DOE25'!G481</f>
        <v>08/04</v>
      </c>
      <c r="D144" s="152" t="str">
        <f>'DOE25'!H481</f>
        <v>7/09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08/13</v>
      </c>
      <c r="C145" s="152" t="str">
        <f>'DOE25'!G482</f>
        <v>08/14</v>
      </c>
      <c r="D145" s="152" t="str">
        <f>'DOE25'!H482</f>
        <v>08/13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450000</v>
      </c>
      <c r="C146" s="137">
        <f>'DOE25'!G483</f>
        <v>1565000</v>
      </c>
      <c r="D146" s="137">
        <f>'DOE25'!H483</f>
        <v>82397.7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4.76</v>
      </c>
      <c r="C147" s="137">
        <f>'DOE25'!G484</f>
        <v>3.63</v>
      </c>
      <c r="D147" s="137">
        <f>'DOE25'!H484</f>
        <v>3.9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225000</v>
      </c>
      <c r="C148" s="137">
        <f>'DOE25'!G485</f>
        <v>1340000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1565000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82397.7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82397.7</v>
      </c>
    </row>
    <row r="150" spans="1:7" x14ac:dyDescent="0.2">
      <c r="A150" s="22" t="s">
        <v>34</v>
      </c>
      <c r="B150" s="137">
        <f>'DOE25'!F487</f>
        <v>45000</v>
      </c>
      <c r="C150" s="137">
        <f>'DOE25'!G487</f>
        <v>225000</v>
      </c>
      <c r="D150" s="137">
        <f>'DOE25'!H487</f>
        <v>17342.73</v>
      </c>
      <c r="E150" s="137">
        <f>'DOE25'!I487</f>
        <v>0</v>
      </c>
      <c r="F150" s="137">
        <f>'DOE25'!J487</f>
        <v>0</v>
      </c>
      <c r="G150" s="138">
        <f t="shared" si="0"/>
        <v>287342.73</v>
      </c>
    </row>
    <row r="151" spans="1:7" x14ac:dyDescent="0.2">
      <c r="A151" s="22" t="s">
        <v>35</v>
      </c>
      <c r="B151" s="137">
        <f>'DOE25'!F488</f>
        <v>180000</v>
      </c>
      <c r="C151" s="137">
        <f>'DOE25'!G488</f>
        <v>1115000</v>
      </c>
      <c r="D151" s="137">
        <f>'DOE25'!H488</f>
        <v>65054.97</v>
      </c>
      <c r="E151" s="137">
        <f>'DOE25'!I488</f>
        <v>0</v>
      </c>
      <c r="F151" s="137">
        <f>'DOE25'!J488</f>
        <v>0</v>
      </c>
      <c r="G151" s="138">
        <f t="shared" si="0"/>
        <v>1360054.97</v>
      </c>
    </row>
    <row r="152" spans="1:7" x14ac:dyDescent="0.2">
      <c r="A152" s="22" t="s">
        <v>36</v>
      </c>
      <c r="B152" s="137">
        <f>'DOE25'!F489</f>
        <v>18000</v>
      </c>
      <c r="C152" s="137">
        <f>'DOE25'!G489</f>
        <v>138625</v>
      </c>
      <c r="D152" s="137">
        <f>'DOE25'!H489</f>
        <v>6464.15</v>
      </c>
      <c r="E152" s="137">
        <f>'DOE25'!I489</f>
        <v>0</v>
      </c>
      <c r="F152" s="137">
        <f>'DOE25'!J489</f>
        <v>0</v>
      </c>
      <c r="G152" s="138">
        <f t="shared" si="0"/>
        <v>163089.15</v>
      </c>
    </row>
    <row r="153" spans="1:7" x14ac:dyDescent="0.2">
      <c r="A153" s="22" t="s">
        <v>37</v>
      </c>
      <c r="B153" s="137">
        <f>'DOE25'!F490</f>
        <v>198000</v>
      </c>
      <c r="C153" s="137">
        <f>'DOE25'!G490</f>
        <v>1253625</v>
      </c>
      <c r="D153" s="137">
        <f>'DOE25'!H490</f>
        <v>71519.12</v>
      </c>
      <c r="E153" s="137">
        <f>'DOE25'!I490</f>
        <v>0</v>
      </c>
      <c r="F153" s="137">
        <f>'DOE25'!J490</f>
        <v>0</v>
      </c>
      <c r="G153" s="138">
        <f t="shared" si="0"/>
        <v>1523144.12</v>
      </c>
    </row>
    <row r="154" spans="1:7" x14ac:dyDescent="0.2">
      <c r="A154" s="22" t="s">
        <v>38</v>
      </c>
      <c r="B154" s="137">
        <f>'DOE25'!F491</f>
        <v>45000</v>
      </c>
      <c r="C154" s="137">
        <f>'DOE25'!G491</f>
        <v>225000</v>
      </c>
      <c r="D154" s="137">
        <f>'DOE25'!H491</f>
        <v>15342.64</v>
      </c>
      <c r="E154" s="137">
        <f>'DOE25'!I491</f>
        <v>0</v>
      </c>
      <c r="F154" s="137">
        <f>'DOE25'!J491</f>
        <v>0</v>
      </c>
      <c r="G154" s="138">
        <f t="shared" si="0"/>
        <v>285342.64</v>
      </c>
    </row>
    <row r="155" spans="1:7" x14ac:dyDescent="0.2">
      <c r="A155" s="22" t="s">
        <v>39</v>
      </c>
      <c r="B155" s="137">
        <f>'DOE25'!F492</f>
        <v>7875</v>
      </c>
      <c r="C155" s="137">
        <f>'DOE25'!G492</f>
        <v>50125</v>
      </c>
      <c r="D155" s="137">
        <f>'DOE25'!H492</f>
        <v>2537.14</v>
      </c>
      <c r="E155" s="137">
        <f>'DOE25'!I492</f>
        <v>0</v>
      </c>
      <c r="F155" s="137">
        <f>'DOE25'!J492</f>
        <v>0</v>
      </c>
      <c r="G155" s="138">
        <f t="shared" si="0"/>
        <v>60537.14</v>
      </c>
    </row>
    <row r="156" spans="1:7" x14ac:dyDescent="0.2">
      <c r="A156" s="22" t="s">
        <v>269</v>
      </c>
      <c r="B156" s="137">
        <f>'DOE25'!F493</f>
        <v>52875</v>
      </c>
      <c r="C156" s="137">
        <f>'DOE25'!G493</f>
        <v>275125</v>
      </c>
      <c r="D156" s="137">
        <f>'DOE25'!H493</f>
        <v>17879.78</v>
      </c>
      <c r="E156" s="137">
        <f>'DOE25'!I493</f>
        <v>0</v>
      </c>
      <c r="F156" s="137">
        <f>'DOE25'!J493</f>
        <v>0</v>
      </c>
      <c r="G156" s="138">
        <f t="shared" si="0"/>
        <v>345879.78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1FC5-3421-4585-8E0A-3231D561FEEF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Fremont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11229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11229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5240678</v>
      </c>
      <c r="D10" s="182">
        <f>ROUND((C10/$C$28)*100,1)</f>
        <v>53.6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1518633</v>
      </c>
      <c r="D11" s="182">
        <f>ROUND((C11/$C$28)*100,1)</f>
        <v>15.5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52878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826427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181789</v>
      </c>
      <c r="D16" s="182">
        <f t="shared" si="0"/>
        <v>1.9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468613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372845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401118</v>
      </c>
      <c r="D20" s="182">
        <f t="shared" si="0"/>
        <v>4.0999999999999996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599171</v>
      </c>
      <c r="D21" s="182">
        <f t="shared" si="0"/>
        <v>6.1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71500</v>
      </c>
      <c r="D25" s="182">
        <f t="shared" si="0"/>
        <v>0.7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48385.100000000006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9782037.0999999996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9782037.0999999996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270000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7135135</v>
      </c>
      <c r="D35" s="182">
        <f t="shared" ref="D35:D40" si="1">ROUND((C35/$C$41)*100,1)</f>
        <v>68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47124.069999999367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2186997</v>
      </c>
      <c r="D37" s="182">
        <f t="shared" si="1"/>
        <v>20.9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735247</v>
      </c>
      <c r="D38" s="182">
        <f t="shared" si="1"/>
        <v>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381950</v>
      </c>
      <c r="D39" s="182">
        <f t="shared" si="1"/>
        <v>3.6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10486453.07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9D1-6FF5-4541-81EE-108E868CEF3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Fremont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2010-11-02T17:37:11Z</cp:lastPrinted>
  <dcterms:created xsi:type="dcterms:W3CDTF">1997-12-04T19:04:30Z</dcterms:created>
  <dcterms:modified xsi:type="dcterms:W3CDTF">2025-01-09T20:03:28Z</dcterms:modified>
</cp:coreProperties>
</file>