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60757BA-C957-4EB4-9A8E-9EF356AC702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56FA176D-78B0-43E7-AA18-5A82700E03C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2" l="1"/>
  <c r="G196" i="1"/>
  <c r="L196" i="1" s="1"/>
  <c r="G194" i="1"/>
  <c r="G190" i="1"/>
  <c r="G189" i="1"/>
  <c r="C9" i="12" s="1"/>
  <c r="A13" i="12" s="1"/>
  <c r="G518" i="1"/>
  <c r="H518" i="1"/>
  <c r="I518" i="1"/>
  <c r="J518" i="1"/>
  <c r="K518" i="1"/>
  <c r="F518" i="1"/>
  <c r="F519" i="1" s="1"/>
  <c r="G516" i="1"/>
  <c r="H516" i="1"/>
  <c r="J516" i="1"/>
  <c r="K516" i="1"/>
  <c r="F516" i="1"/>
  <c r="G513" i="1"/>
  <c r="H513" i="1"/>
  <c r="I513" i="1"/>
  <c r="J513" i="1"/>
  <c r="K513" i="1"/>
  <c r="F513" i="1"/>
  <c r="L513" i="1" s="1"/>
  <c r="F541" i="1" s="1"/>
  <c r="G511" i="1"/>
  <c r="G514" i="1" s="1"/>
  <c r="J511" i="1"/>
  <c r="K511" i="1"/>
  <c r="F511" i="1"/>
  <c r="H151" i="1"/>
  <c r="H147" i="1"/>
  <c r="H146" i="1"/>
  <c r="F189" i="1"/>
  <c r="I189" i="1"/>
  <c r="I203" i="1" s="1"/>
  <c r="I249" i="1" s="1"/>
  <c r="I263" i="1" s="1"/>
  <c r="I268" i="1"/>
  <c r="I511" i="1" s="1"/>
  <c r="I514" i="1" s="1"/>
  <c r="G273" i="1"/>
  <c r="G269" i="1"/>
  <c r="L269" i="1" s="1"/>
  <c r="E102" i="2" s="1"/>
  <c r="G89" i="1"/>
  <c r="F359" i="1"/>
  <c r="I350" i="1"/>
  <c r="L350" i="1" s="1"/>
  <c r="H350" i="1"/>
  <c r="G350" i="1"/>
  <c r="F350" i="1"/>
  <c r="I199" i="1"/>
  <c r="H199" i="1"/>
  <c r="H203" i="1" s="1"/>
  <c r="H249" i="1" s="1"/>
  <c r="H263" i="1" s="1"/>
  <c r="F199" i="1"/>
  <c r="L199" i="1" s="1"/>
  <c r="H198" i="1"/>
  <c r="K196" i="1"/>
  <c r="I196" i="1"/>
  <c r="H196" i="1"/>
  <c r="J195" i="1"/>
  <c r="F7" i="13" s="1"/>
  <c r="I194" i="1"/>
  <c r="L194" i="1" s="1"/>
  <c r="H190" i="1"/>
  <c r="H511" i="1" s="1"/>
  <c r="H514" i="1" s="1"/>
  <c r="H535" i="1" s="1"/>
  <c r="F190" i="1"/>
  <c r="J189" i="1"/>
  <c r="H189" i="1"/>
  <c r="C60" i="2"/>
  <c r="B2" i="13"/>
  <c r="F8" i="13"/>
  <c r="G8" i="13"/>
  <c r="L214" i="1"/>
  <c r="L232" i="1"/>
  <c r="D39" i="13"/>
  <c r="F13" i="13"/>
  <c r="G13" i="13"/>
  <c r="L198" i="1"/>
  <c r="C19" i="10" s="1"/>
  <c r="L216" i="1"/>
  <c r="L234" i="1"/>
  <c r="F16" i="13"/>
  <c r="G16" i="13"/>
  <c r="L201" i="1"/>
  <c r="L219" i="1"/>
  <c r="E16" i="13" s="1"/>
  <c r="C16" i="13" s="1"/>
  <c r="L237" i="1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F6" i="13"/>
  <c r="G6" i="13"/>
  <c r="G33" i="13" s="1"/>
  <c r="L212" i="1"/>
  <c r="L230" i="1"/>
  <c r="F12" i="13"/>
  <c r="F14" i="13"/>
  <c r="F15" i="13"/>
  <c r="F17" i="13"/>
  <c r="F18" i="13"/>
  <c r="F19" i="13"/>
  <c r="F22" i="13"/>
  <c r="C22" i="13" s="1"/>
  <c r="F29" i="13"/>
  <c r="G7" i="13"/>
  <c r="L213" i="1"/>
  <c r="L231" i="1"/>
  <c r="G12" i="13"/>
  <c r="L197" i="1"/>
  <c r="L215" i="1"/>
  <c r="L221" i="1" s="1"/>
  <c r="L233" i="1"/>
  <c r="L239" i="1" s="1"/>
  <c r="H650" i="1" s="1"/>
  <c r="G14" i="13"/>
  <c r="L217" i="1"/>
  <c r="L235" i="1"/>
  <c r="G15" i="13"/>
  <c r="L200" i="1"/>
  <c r="C21" i="10" s="1"/>
  <c r="L218" i="1"/>
  <c r="L236" i="1"/>
  <c r="G17" i="13"/>
  <c r="L243" i="1"/>
  <c r="C24" i="10" s="1"/>
  <c r="D17" i="13"/>
  <c r="C17" i="13" s="1"/>
  <c r="G18" i="13"/>
  <c r="L244" i="1"/>
  <c r="D18" i="13" s="1"/>
  <c r="C18" i="13" s="1"/>
  <c r="G19" i="13"/>
  <c r="L245" i="1"/>
  <c r="D19" i="13" s="1"/>
  <c r="C19" i="13" s="1"/>
  <c r="G29" i="13"/>
  <c r="L351" i="1"/>
  <c r="L352" i="1"/>
  <c r="I359" i="1"/>
  <c r="I361" i="1" s="1"/>
  <c r="H624" i="1" s="1"/>
  <c r="J282" i="1"/>
  <c r="F31" i="13" s="1"/>
  <c r="J301" i="1"/>
  <c r="J320" i="1"/>
  <c r="K282" i="1"/>
  <c r="G31" i="13"/>
  <c r="K301" i="1"/>
  <c r="K320" i="1"/>
  <c r="L270" i="1"/>
  <c r="E103" i="2" s="1"/>
  <c r="L271" i="1"/>
  <c r="E104" i="2" s="1"/>
  <c r="L273" i="1"/>
  <c r="L274" i="1"/>
  <c r="L275" i="1"/>
  <c r="L276" i="1"/>
  <c r="L277" i="1"/>
  <c r="L278" i="1"/>
  <c r="L279" i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C123" i="2" s="1"/>
  <c r="L253" i="1"/>
  <c r="L333" i="1"/>
  <c r="L334" i="1"/>
  <c r="C25" i="10" s="1"/>
  <c r="L247" i="1"/>
  <c r="L328" i="1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13" i="12"/>
  <c r="B18" i="12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1" i="2"/>
  <c r="G54" i="2" s="1"/>
  <c r="G53" i="2"/>
  <c r="G69" i="2"/>
  <c r="G70" i="2" s="1"/>
  <c r="G61" i="2"/>
  <c r="G62" i="2" s="1"/>
  <c r="G88" i="2"/>
  <c r="G95" i="2" s="1"/>
  <c r="G89" i="2"/>
  <c r="G90" i="2"/>
  <c r="F2" i="11"/>
  <c r="L603" i="1"/>
  <c r="H653" i="1"/>
  <c r="L602" i="1"/>
  <c r="G653" i="1"/>
  <c r="I653" i="1" s="1"/>
  <c r="L601" i="1"/>
  <c r="F653" i="1"/>
  <c r="C40" i="10"/>
  <c r="F52" i="1"/>
  <c r="C35" i="10" s="1"/>
  <c r="G52" i="1"/>
  <c r="H52" i="1"/>
  <c r="E48" i="2" s="1"/>
  <c r="E55" i="2" s="1"/>
  <c r="I52" i="1"/>
  <c r="I104" i="1" s="1"/>
  <c r="F71" i="1"/>
  <c r="F86" i="1"/>
  <c r="F103" i="1"/>
  <c r="G103" i="1"/>
  <c r="H71" i="1"/>
  <c r="H86" i="1"/>
  <c r="H103" i="1"/>
  <c r="I103" i="1"/>
  <c r="J103" i="1"/>
  <c r="J104" i="1"/>
  <c r="C37" i="10"/>
  <c r="F113" i="1"/>
  <c r="F132" i="1" s="1"/>
  <c r="F128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61" i="1" s="1"/>
  <c r="C39" i="10" s="1"/>
  <c r="F154" i="1"/>
  <c r="G139" i="1"/>
  <c r="G154" i="1"/>
  <c r="G161" i="1"/>
  <c r="H139" i="1"/>
  <c r="H161" i="1" s="1"/>
  <c r="H154" i="1"/>
  <c r="I139" i="1"/>
  <c r="I161" i="1" s="1"/>
  <c r="I154" i="1"/>
  <c r="L242" i="1"/>
  <c r="L324" i="1"/>
  <c r="C23" i="10" s="1"/>
  <c r="L246" i="1"/>
  <c r="L260" i="1"/>
  <c r="C26" i="10" s="1"/>
  <c r="L261" i="1"/>
  <c r="C135" i="2" s="1"/>
  <c r="L341" i="1"/>
  <c r="E134" i="2" s="1"/>
  <c r="L342" i="1"/>
  <c r="I655" i="1"/>
  <c r="I660" i="1"/>
  <c r="F652" i="1"/>
  <c r="I652" i="1" s="1"/>
  <c r="G652" i="1"/>
  <c r="H652" i="1"/>
  <c r="I659" i="1"/>
  <c r="C5" i="10"/>
  <c r="C42" i="10"/>
  <c r="C32" i="10"/>
  <c r="L366" i="1"/>
  <c r="L367" i="1"/>
  <c r="C29" i="10" s="1"/>
  <c r="L368" i="1"/>
  <c r="F122" i="2" s="1"/>
  <c r="F136" i="2" s="1"/>
  <c r="F137" i="2" s="1"/>
  <c r="L369" i="1"/>
  <c r="L374" i="1" s="1"/>
  <c r="G626" i="1" s="1"/>
  <c r="J626" i="1" s="1"/>
  <c r="L370" i="1"/>
  <c r="L371" i="1"/>
  <c r="L372" i="1"/>
  <c r="B2" i="10"/>
  <c r="L336" i="1"/>
  <c r="L337" i="1"/>
  <c r="L338" i="1"/>
  <c r="L343" i="1" s="1"/>
  <c r="L339" i="1"/>
  <c r="K343" i="1"/>
  <c r="L512" i="1"/>
  <c r="F540" i="1"/>
  <c r="L517" i="1"/>
  <c r="G540" i="1" s="1"/>
  <c r="K540" i="1" s="1"/>
  <c r="L521" i="1"/>
  <c r="L524" i="1" s="1"/>
  <c r="H539" i="1"/>
  <c r="L522" i="1"/>
  <c r="H540" i="1"/>
  <c r="L523" i="1"/>
  <c r="H541" i="1"/>
  <c r="L526" i="1"/>
  <c r="I539" i="1"/>
  <c r="L527" i="1"/>
  <c r="I540" i="1"/>
  <c r="L528" i="1"/>
  <c r="L529" i="1" s="1"/>
  <c r="I541" i="1"/>
  <c r="I542" i="1" s="1"/>
  <c r="L531" i="1"/>
  <c r="J539" i="1" s="1"/>
  <c r="J542" i="1" s="1"/>
  <c r="L532" i="1"/>
  <c r="J540" i="1" s="1"/>
  <c r="L533" i="1"/>
  <c r="J541" i="1"/>
  <c r="E124" i="2"/>
  <c r="E123" i="2"/>
  <c r="K262" i="1"/>
  <c r="J262" i="1"/>
  <c r="I262" i="1"/>
  <c r="H262" i="1"/>
  <c r="G262" i="1"/>
  <c r="L262" i="1" s="1"/>
  <c r="F262" i="1"/>
  <c r="C124" i="2"/>
  <c r="A1" i="2"/>
  <c r="A2" i="2"/>
  <c r="C9" i="2"/>
  <c r="D9" i="2"/>
  <c r="D19" i="2" s="1"/>
  <c r="E9" i="2"/>
  <c r="E19" i="2" s="1"/>
  <c r="F9" i="2"/>
  <c r="I431" i="1"/>
  <c r="J9" i="1"/>
  <c r="G9" i="2" s="1"/>
  <c r="C10" i="2"/>
  <c r="C19" i="2" s="1"/>
  <c r="D10" i="2"/>
  <c r="E10" i="2"/>
  <c r="F10" i="2"/>
  <c r="I432" i="1"/>
  <c r="J10" i="1"/>
  <c r="C11" i="2"/>
  <c r="C12" i="2"/>
  <c r="D12" i="2"/>
  <c r="E12" i="2"/>
  <c r="E13" i="2"/>
  <c r="E14" i="2"/>
  <c r="E16" i="2"/>
  <c r="E17" i="2"/>
  <c r="E18" i="2"/>
  <c r="F12" i="2"/>
  <c r="I433" i="1"/>
  <c r="J12" i="1" s="1"/>
  <c r="G12" i="2" s="1"/>
  <c r="C13" i="2"/>
  <c r="D13" i="2"/>
  <c r="F13" i="2"/>
  <c r="I434" i="1"/>
  <c r="J13" i="1"/>
  <c r="G13" i="2" s="1"/>
  <c r="C14" i="2"/>
  <c r="D14" i="2"/>
  <c r="F14" i="2"/>
  <c r="I435" i="1"/>
  <c r="J14" i="1"/>
  <c r="G14" i="2"/>
  <c r="F15" i="2"/>
  <c r="C16" i="2"/>
  <c r="D16" i="2"/>
  <c r="F16" i="2"/>
  <c r="F19" i="2" s="1"/>
  <c r="C17" i="2"/>
  <c r="D17" i="2"/>
  <c r="D18" i="2"/>
  <c r="F17" i="2"/>
  <c r="I436" i="1"/>
  <c r="J17" i="1"/>
  <c r="G17" i="2"/>
  <c r="C18" i="2"/>
  <c r="F18" i="2"/>
  <c r="I437" i="1"/>
  <c r="J18" i="1"/>
  <c r="G18" i="2" s="1"/>
  <c r="C22" i="2"/>
  <c r="D22" i="2"/>
  <c r="E22" i="2"/>
  <c r="E32" i="2" s="1"/>
  <c r="E23" i="2"/>
  <c r="E24" i="2"/>
  <c r="E25" i="2"/>
  <c r="E28" i="2"/>
  <c r="E29" i="2"/>
  <c r="E30" i="2"/>
  <c r="E31" i="2"/>
  <c r="F22" i="2"/>
  <c r="I440" i="1"/>
  <c r="J23" i="1"/>
  <c r="G22" i="2"/>
  <c r="C23" i="2"/>
  <c r="C32" i="2" s="1"/>
  <c r="D23" i="2"/>
  <c r="D32" i="2" s="1"/>
  <c r="F23" i="2"/>
  <c r="F32" i="2" s="1"/>
  <c r="F24" i="2"/>
  <c r="F25" i="2"/>
  <c r="F26" i="2"/>
  <c r="F27" i="2"/>
  <c r="F28" i="2"/>
  <c r="F29" i="2"/>
  <c r="F30" i="2"/>
  <c r="F31" i="2"/>
  <c r="I441" i="1"/>
  <c r="J24" i="1"/>
  <c r="G23" i="2" s="1"/>
  <c r="G32" i="2" s="1"/>
  <c r="C24" i="2"/>
  <c r="C25" i="2"/>
  <c r="C26" i="2"/>
  <c r="C27" i="2"/>
  <c r="C28" i="2"/>
  <c r="C29" i="2"/>
  <c r="C30" i="2"/>
  <c r="C31" i="2"/>
  <c r="D24" i="2"/>
  <c r="I442" i="1"/>
  <c r="J25" i="1"/>
  <c r="G24" i="2" s="1"/>
  <c r="D25" i="2"/>
  <c r="D28" i="2"/>
  <c r="D29" i="2"/>
  <c r="D30" i="2"/>
  <c r="D31" i="2"/>
  <c r="I443" i="1"/>
  <c r="J32" i="1" s="1"/>
  <c r="G31" i="2" s="1"/>
  <c r="C34" i="2"/>
  <c r="C42" i="2" s="1"/>
  <c r="D34" i="2"/>
  <c r="E34" i="2"/>
  <c r="E42" i="2" s="1"/>
  <c r="E35" i="2"/>
  <c r="E36" i="2"/>
  <c r="E37" i="2"/>
  <c r="E38" i="2"/>
  <c r="E40" i="2"/>
  <c r="E41" i="2"/>
  <c r="F34" i="2"/>
  <c r="C35" i="2"/>
  <c r="D35" i="2"/>
  <c r="F35" i="2"/>
  <c r="C36" i="2"/>
  <c r="D36" i="2"/>
  <c r="F36" i="2"/>
  <c r="I446" i="1"/>
  <c r="J37" i="1"/>
  <c r="C37" i="2"/>
  <c r="D37" i="2"/>
  <c r="F37" i="2"/>
  <c r="I447" i="1"/>
  <c r="J38" i="1"/>
  <c r="J43" i="1" s="1"/>
  <c r="C38" i="2"/>
  <c r="D38" i="2"/>
  <c r="F38" i="2"/>
  <c r="I448" i="1"/>
  <c r="J40" i="1" s="1"/>
  <c r="G39" i="2" s="1"/>
  <c r="C40" i="2"/>
  <c r="D40" i="2"/>
  <c r="F40" i="2"/>
  <c r="I449" i="1"/>
  <c r="J41" i="1"/>
  <c r="G40" i="2" s="1"/>
  <c r="C41" i="2"/>
  <c r="D41" i="2"/>
  <c r="F41" i="2"/>
  <c r="D42" i="2"/>
  <c r="F42" i="2"/>
  <c r="F43" i="2" s="1"/>
  <c r="C48" i="2"/>
  <c r="D48" i="2"/>
  <c r="D55" i="2" s="1"/>
  <c r="C49" i="2"/>
  <c r="E49" i="2"/>
  <c r="E54" i="2" s="1"/>
  <c r="C50" i="2"/>
  <c r="C54" i="2" s="1"/>
  <c r="C55" i="2" s="1"/>
  <c r="E50" i="2"/>
  <c r="C51" i="2"/>
  <c r="D51" i="2"/>
  <c r="D54" i="2" s="1"/>
  <c r="E51" i="2"/>
  <c r="F51" i="2"/>
  <c r="F54" i="2" s="1"/>
  <c r="D52" i="2"/>
  <c r="D53" i="2"/>
  <c r="C53" i="2"/>
  <c r="E53" i="2"/>
  <c r="F53" i="2"/>
  <c r="E71" i="2"/>
  <c r="E72" i="2"/>
  <c r="E68" i="2"/>
  <c r="E70" i="2" s="1"/>
  <c r="E73" i="2" s="1"/>
  <c r="E69" i="2"/>
  <c r="E61" i="2"/>
  <c r="E62" i="2"/>
  <c r="E79" i="2"/>
  <c r="E80" i="2"/>
  <c r="E81" i="2"/>
  <c r="E88" i="2"/>
  <c r="E95" i="2" s="1"/>
  <c r="E89" i="2"/>
  <c r="E90" i="2"/>
  <c r="E91" i="2"/>
  <c r="E92" i="2"/>
  <c r="E93" i="2"/>
  <c r="E94" i="2"/>
  <c r="C58" i="2"/>
  <c r="C62" i="2" s="1"/>
  <c r="C59" i="2"/>
  <c r="C61" i="2"/>
  <c r="D61" i="2"/>
  <c r="D62" i="2" s="1"/>
  <c r="F61" i="2"/>
  <c r="F62" i="2"/>
  <c r="C64" i="2"/>
  <c r="F64" i="2"/>
  <c r="F65" i="2"/>
  <c r="F68" i="2"/>
  <c r="F69" i="2"/>
  <c r="F70" i="2"/>
  <c r="F73" i="2"/>
  <c r="C65" i="2"/>
  <c r="C66" i="2"/>
  <c r="C67" i="2"/>
  <c r="C68" i="2"/>
  <c r="C69" i="2"/>
  <c r="C70" i="2" s="1"/>
  <c r="C71" i="2"/>
  <c r="C72" i="2"/>
  <c r="D69" i="2"/>
  <c r="D70" i="2"/>
  <c r="D73" i="2" s="1"/>
  <c r="D71" i="2"/>
  <c r="C77" i="2"/>
  <c r="C83" i="2" s="1"/>
  <c r="D77" i="2"/>
  <c r="D80" i="2"/>
  <c r="D81" i="2"/>
  <c r="D83" i="2" s="1"/>
  <c r="F77" i="2"/>
  <c r="F83" i="2" s="1"/>
  <c r="C79" i="2"/>
  <c r="F79" i="2"/>
  <c r="C80" i="2"/>
  <c r="C81" i="2"/>
  <c r="C82" i="2"/>
  <c r="F80" i="2"/>
  <c r="F81" i="2"/>
  <c r="C85" i="2"/>
  <c r="C95" i="2" s="1"/>
  <c r="F85" i="2"/>
  <c r="F95" i="2" s="1"/>
  <c r="F86" i="2"/>
  <c r="F88" i="2"/>
  <c r="F89" i="2"/>
  <c r="F91" i="2"/>
  <c r="F92" i="2"/>
  <c r="F93" i="2"/>
  <c r="F94" i="2"/>
  <c r="C86" i="2"/>
  <c r="D88" i="2"/>
  <c r="C89" i="2"/>
  <c r="D89" i="2"/>
  <c r="D90" i="2"/>
  <c r="D91" i="2"/>
  <c r="D92" i="2"/>
  <c r="D93" i="2"/>
  <c r="D94" i="2"/>
  <c r="D95" i="2"/>
  <c r="C90" i="2"/>
  <c r="C91" i="2"/>
  <c r="C92" i="2"/>
  <c r="C93" i="2"/>
  <c r="C94" i="2"/>
  <c r="C103" i="2"/>
  <c r="C104" i="2"/>
  <c r="C105" i="2"/>
  <c r="C106" i="2"/>
  <c r="E105" i="2"/>
  <c r="E110" i="2"/>
  <c r="E120" i="2" s="1"/>
  <c r="E111" i="2"/>
  <c r="E112" i="2"/>
  <c r="E113" i="2"/>
  <c r="E114" i="2"/>
  <c r="E115" i="2"/>
  <c r="E116" i="2"/>
  <c r="E117" i="2"/>
  <c r="E122" i="2"/>
  <c r="E126" i="2"/>
  <c r="E127" i="2"/>
  <c r="E135" i="2"/>
  <c r="D107" i="2"/>
  <c r="F107" i="2"/>
  <c r="G107" i="2"/>
  <c r="C116" i="2"/>
  <c r="C117" i="2"/>
  <c r="D126" i="2"/>
  <c r="D136" i="2"/>
  <c r="F120" i="2"/>
  <c r="G120" i="2"/>
  <c r="C122" i="2"/>
  <c r="F126" i="2"/>
  <c r="K411" i="1"/>
  <c r="K419" i="1"/>
  <c r="K426" i="1" s="1"/>
  <c r="G126" i="2" s="1"/>
  <c r="G136" i="2" s="1"/>
  <c r="K425" i="1"/>
  <c r="L255" i="1"/>
  <c r="C127" i="2"/>
  <c r="L256" i="1"/>
  <c r="C128" i="2"/>
  <c r="L257" i="1"/>
  <c r="C129" i="2" s="1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G150" i="2" s="1"/>
  <c r="F150" i="2"/>
  <c r="B151" i="2"/>
  <c r="C151" i="2"/>
  <c r="G151" i="2" s="1"/>
  <c r="D151" i="2"/>
  <c r="E151" i="2"/>
  <c r="F151" i="2"/>
  <c r="B152" i="2"/>
  <c r="C152" i="2"/>
  <c r="D152" i="2"/>
  <c r="E152" i="2"/>
  <c r="F152" i="2"/>
  <c r="F490" i="1"/>
  <c r="B153" i="2"/>
  <c r="G490" i="1"/>
  <c r="K490" i="1" s="1"/>
  <c r="C153" i="2"/>
  <c r="H490" i="1"/>
  <c r="D153" i="2" s="1"/>
  <c r="E153" i="2"/>
  <c r="I490" i="1"/>
  <c r="J490" i="1"/>
  <c r="F153" i="2" s="1"/>
  <c r="B154" i="2"/>
  <c r="C154" i="2"/>
  <c r="D154" i="2"/>
  <c r="E154" i="2"/>
  <c r="F154" i="2"/>
  <c r="G154" i="2"/>
  <c r="B155" i="2"/>
  <c r="C155" i="2"/>
  <c r="G155" i="2" s="1"/>
  <c r="D155" i="2"/>
  <c r="E155" i="2"/>
  <c r="F155" i="2"/>
  <c r="F493" i="1"/>
  <c r="B156" i="2" s="1"/>
  <c r="G156" i="2" s="1"/>
  <c r="C156" i="2"/>
  <c r="D156" i="2"/>
  <c r="E156" i="2"/>
  <c r="F156" i="2"/>
  <c r="G493" i="1"/>
  <c r="H493" i="1"/>
  <c r="I493" i="1"/>
  <c r="J493" i="1"/>
  <c r="F19" i="1"/>
  <c r="G607" i="1"/>
  <c r="G19" i="1"/>
  <c r="H19" i="1"/>
  <c r="G609" i="1"/>
  <c r="I19" i="1"/>
  <c r="G610" i="1" s="1"/>
  <c r="F33" i="1"/>
  <c r="F44" i="1" s="1"/>
  <c r="H607" i="1" s="1"/>
  <c r="G33" i="1"/>
  <c r="H33" i="1"/>
  <c r="I33" i="1"/>
  <c r="F43" i="1"/>
  <c r="G43" i="1"/>
  <c r="G613" i="1" s="1"/>
  <c r="H43" i="1"/>
  <c r="G614" i="1" s="1"/>
  <c r="I43" i="1"/>
  <c r="G615" i="1" s="1"/>
  <c r="F169" i="1"/>
  <c r="F184" i="1"/>
  <c r="I169" i="1"/>
  <c r="F175" i="1"/>
  <c r="G175" i="1"/>
  <c r="H175" i="1"/>
  <c r="H184" i="1"/>
  <c r="I175" i="1"/>
  <c r="J175" i="1"/>
  <c r="G635" i="1" s="1"/>
  <c r="J635" i="1" s="1"/>
  <c r="F180" i="1"/>
  <c r="G180" i="1"/>
  <c r="G184" i="1" s="1"/>
  <c r="H180" i="1"/>
  <c r="I180" i="1"/>
  <c r="I184" i="1"/>
  <c r="G203" i="1"/>
  <c r="G249" i="1" s="1"/>
  <c r="G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F282" i="1"/>
  <c r="G282" i="1"/>
  <c r="G330" i="1"/>
  <c r="G344" i="1"/>
  <c r="H282" i="1"/>
  <c r="F301" i="1"/>
  <c r="G301" i="1"/>
  <c r="H301" i="1"/>
  <c r="H330" i="1" s="1"/>
  <c r="H344" i="1" s="1"/>
  <c r="I301" i="1"/>
  <c r="F320" i="1"/>
  <c r="F330" i="1"/>
  <c r="F344" i="1" s="1"/>
  <c r="G320" i="1"/>
  <c r="H320" i="1"/>
  <c r="I320" i="1"/>
  <c r="F329" i="1"/>
  <c r="G329" i="1"/>
  <c r="H329" i="1"/>
  <c r="I329" i="1"/>
  <c r="J329" i="1"/>
  <c r="J330" i="1" s="1"/>
  <c r="J344" i="1" s="1"/>
  <c r="K329" i="1"/>
  <c r="L329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H385" i="1"/>
  <c r="I385" i="1"/>
  <c r="F393" i="1"/>
  <c r="G393" i="1"/>
  <c r="G400" i="1" s="1"/>
  <c r="H635" i="1" s="1"/>
  <c r="H393" i="1"/>
  <c r="I393" i="1"/>
  <c r="I400" i="1" s="1"/>
  <c r="F399" i="1"/>
  <c r="G399" i="1"/>
  <c r="H399" i="1"/>
  <c r="H400" i="1" s="1"/>
  <c r="H634" i="1" s="1"/>
  <c r="J634" i="1" s="1"/>
  <c r="I399" i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I426" i="1" s="1"/>
  <c r="J425" i="1"/>
  <c r="J426" i="1"/>
  <c r="F438" i="1"/>
  <c r="G629" i="1" s="1"/>
  <c r="J629" i="1" s="1"/>
  <c r="G438" i="1"/>
  <c r="H438" i="1"/>
  <c r="G631" i="1"/>
  <c r="J631" i="1" s="1"/>
  <c r="I438" i="1"/>
  <c r="G632" i="1" s="1"/>
  <c r="F444" i="1"/>
  <c r="G444" i="1"/>
  <c r="H444" i="1"/>
  <c r="I444" i="1"/>
  <c r="F450" i="1"/>
  <c r="G450" i="1"/>
  <c r="H450" i="1"/>
  <c r="F451" i="1"/>
  <c r="G451" i="1"/>
  <c r="H451" i="1"/>
  <c r="H631" i="1" s="1"/>
  <c r="I460" i="1"/>
  <c r="I464" i="1"/>
  <c r="I466" i="1"/>
  <c r="H615" i="1" s="1"/>
  <c r="J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J514" i="1"/>
  <c r="K514" i="1"/>
  <c r="K535" i="1" s="1"/>
  <c r="H519" i="1"/>
  <c r="J519" i="1"/>
  <c r="J535" i="1" s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G561" i="1" s="1"/>
  <c r="H555" i="1"/>
  <c r="I555" i="1"/>
  <c r="J555" i="1"/>
  <c r="K555" i="1"/>
  <c r="K561" i="1" s="1"/>
  <c r="L557" i="1"/>
  <c r="L558" i="1"/>
  <c r="L560" i="1" s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J637" i="1" s="1"/>
  <c r="K585" i="1"/>
  <c r="K586" i="1"/>
  <c r="K587" i="1"/>
  <c r="H588" i="1"/>
  <c r="H639" i="1"/>
  <c r="I588" i="1"/>
  <c r="H640" i="1" s="1"/>
  <c r="J588" i="1"/>
  <c r="H641" i="1" s="1"/>
  <c r="J641" i="1" s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L604" i="1"/>
  <c r="G608" i="1"/>
  <c r="J608" i="1" s="1"/>
  <c r="G612" i="1"/>
  <c r="H620" i="1"/>
  <c r="H626" i="1"/>
  <c r="H628" i="1"/>
  <c r="H629" i="1"/>
  <c r="G630" i="1"/>
  <c r="J630" i="1" s="1"/>
  <c r="H630" i="1"/>
  <c r="G633" i="1"/>
  <c r="G634" i="1"/>
  <c r="H637" i="1"/>
  <c r="G639" i="1"/>
  <c r="J639" i="1" s="1"/>
  <c r="G640" i="1"/>
  <c r="G641" i="1"/>
  <c r="G642" i="1"/>
  <c r="H642" i="1"/>
  <c r="J642" i="1"/>
  <c r="G643" i="1"/>
  <c r="J643" i="1" s="1"/>
  <c r="H643" i="1"/>
  <c r="G644" i="1"/>
  <c r="H644" i="1"/>
  <c r="J644" i="1" s="1"/>
  <c r="G645" i="1"/>
  <c r="J645" i="1" s="1"/>
  <c r="H645" i="1"/>
  <c r="G152" i="2"/>
  <c r="G36" i="2"/>
  <c r="G10" i="2"/>
  <c r="G104" i="1"/>
  <c r="G185" i="1" s="1"/>
  <c r="H44" i="1"/>
  <c r="H609" i="1"/>
  <c r="J609" i="1" s="1"/>
  <c r="G44" i="1"/>
  <c r="H608" i="1"/>
  <c r="F104" i="1"/>
  <c r="L393" i="1"/>
  <c r="C131" i="2" s="1"/>
  <c r="A40" i="12"/>
  <c r="A22" i="12"/>
  <c r="H542" i="1"/>
  <c r="C6" i="10"/>
  <c r="J615" i="1" l="1"/>
  <c r="J607" i="1"/>
  <c r="K541" i="1"/>
  <c r="G42" i="2"/>
  <c r="G43" i="2" s="1"/>
  <c r="J640" i="1"/>
  <c r="D96" i="2"/>
  <c r="E43" i="2"/>
  <c r="C20" i="10"/>
  <c r="D14" i="13"/>
  <c r="C14" i="13" s="1"/>
  <c r="C115" i="2"/>
  <c r="L516" i="1"/>
  <c r="J185" i="1"/>
  <c r="G535" i="1"/>
  <c r="G618" i="1"/>
  <c r="G458" i="1"/>
  <c r="G73" i="2"/>
  <c r="H638" i="1"/>
  <c r="J638" i="1" s="1"/>
  <c r="J263" i="1"/>
  <c r="C73" i="2"/>
  <c r="C96" i="2" s="1"/>
  <c r="G55" i="2"/>
  <c r="G96" i="2" s="1"/>
  <c r="G650" i="1"/>
  <c r="C43" i="2"/>
  <c r="G153" i="2"/>
  <c r="D43" i="2"/>
  <c r="J633" i="1"/>
  <c r="G616" i="1"/>
  <c r="C130" i="2"/>
  <c r="C133" i="2" s="1"/>
  <c r="L400" i="1"/>
  <c r="C11" i="10"/>
  <c r="E8" i="13"/>
  <c r="C112" i="2"/>
  <c r="C17" i="10"/>
  <c r="L561" i="1"/>
  <c r="F535" i="1"/>
  <c r="G137" i="2"/>
  <c r="G19" i="2"/>
  <c r="C38" i="10"/>
  <c r="F185" i="1"/>
  <c r="I185" i="1"/>
  <c r="G620" i="1" s="1"/>
  <c r="J620" i="1" s="1"/>
  <c r="F33" i="13"/>
  <c r="C10" i="10"/>
  <c r="C110" i="2"/>
  <c r="D6" i="13"/>
  <c r="C6" i="13" s="1"/>
  <c r="C15" i="10"/>
  <c r="D119" i="2"/>
  <c r="D120" i="2" s="1"/>
  <c r="D137" i="2" s="1"/>
  <c r="L354" i="1"/>
  <c r="D29" i="13"/>
  <c r="C29" i="13" s="1"/>
  <c r="F651" i="1"/>
  <c r="G651" i="1"/>
  <c r="H651" i="1"/>
  <c r="H654" i="1" s="1"/>
  <c r="J19" i="1"/>
  <c r="G611" i="1" s="1"/>
  <c r="L534" i="1"/>
  <c r="E13" i="13"/>
  <c r="C13" i="13" s="1"/>
  <c r="L511" i="1"/>
  <c r="C114" i="2"/>
  <c r="E129" i="2"/>
  <c r="E136" i="2" s="1"/>
  <c r="L518" i="1"/>
  <c r="G541" i="1" s="1"/>
  <c r="L268" i="1"/>
  <c r="D12" i="13"/>
  <c r="C12" i="13" s="1"/>
  <c r="C18" i="10"/>
  <c r="J33" i="1"/>
  <c r="J44" i="1" s="1"/>
  <c r="H611" i="1" s="1"/>
  <c r="G519" i="1"/>
  <c r="I450" i="1"/>
  <c r="I451" i="1" s="1"/>
  <c r="H632" i="1" s="1"/>
  <c r="J632" i="1" s="1"/>
  <c r="J184" i="1"/>
  <c r="I44" i="1"/>
  <c r="H610" i="1" s="1"/>
  <c r="J610" i="1" s="1"/>
  <c r="C113" i="2"/>
  <c r="C102" i="2"/>
  <c r="G37" i="2"/>
  <c r="C13" i="10"/>
  <c r="C101" i="2"/>
  <c r="C107" i="2" s="1"/>
  <c r="E77" i="2"/>
  <c r="E83" i="2" s="1"/>
  <c r="E96" i="2" s="1"/>
  <c r="C12" i="10"/>
  <c r="H104" i="1"/>
  <c r="H185" i="1" s="1"/>
  <c r="D15" i="13"/>
  <c r="C15" i="13" s="1"/>
  <c r="F203" i="1"/>
  <c r="F249" i="1" s="1"/>
  <c r="F263" i="1" s="1"/>
  <c r="D5" i="13"/>
  <c r="L203" i="1"/>
  <c r="I282" i="1"/>
  <c r="I330" i="1" s="1"/>
  <c r="I344" i="1" s="1"/>
  <c r="F48" i="2"/>
  <c r="F55" i="2" s="1"/>
  <c r="F96" i="2" s="1"/>
  <c r="H25" i="13"/>
  <c r="L195" i="1"/>
  <c r="I516" i="1"/>
  <c r="I519" i="1" s="1"/>
  <c r="I535" i="1" s="1"/>
  <c r="H657" i="1" l="1"/>
  <c r="H662" i="1"/>
  <c r="G636" i="1"/>
  <c r="G621" i="1"/>
  <c r="L519" i="1"/>
  <c r="G539" i="1"/>
  <c r="G542" i="1" s="1"/>
  <c r="I651" i="1"/>
  <c r="E101" i="2"/>
  <c r="E107" i="2" s="1"/>
  <c r="E137" i="2" s="1"/>
  <c r="L282" i="1"/>
  <c r="F650" i="1" s="1"/>
  <c r="G462" i="1"/>
  <c r="C27" i="10"/>
  <c r="G625" i="1"/>
  <c r="C36" i="10"/>
  <c r="D7" i="13"/>
  <c r="C7" i="13" s="1"/>
  <c r="C111" i="2"/>
  <c r="C120" i="2" s="1"/>
  <c r="C137" i="2" s="1"/>
  <c r="C16" i="10"/>
  <c r="G460" i="1"/>
  <c r="H618" i="1"/>
  <c r="J611" i="1"/>
  <c r="C25" i="13"/>
  <c r="H33" i="13"/>
  <c r="J618" i="1"/>
  <c r="C136" i="2"/>
  <c r="G617" i="1"/>
  <c r="F458" i="1"/>
  <c r="L514" i="1"/>
  <c r="L535" i="1" s="1"/>
  <c r="F539" i="1"/>
  <c r="G627" i="1"/>
  <c r="J458" i="1"/>
  <c r="H636" i="1"/>
  <c r="H458" i="1"/>
  <c r="G619" i="1"/>
  <c r="L249" i="1"/>
  <c r="L263" i="1" s="1"/>
  <c r="C28" i="10"/>
  <c r="D15" i="10" s="1"/>
  <c r="E33" i="13"/>
  <c r="D35" i="13" s="1"/>
  <c r="C8" i="13"/>
  <c r="C5" i="13"/>
  <c r="G654" i="1"/>
  <c r="I650" i="1" l="1"/>
  <c r="I654" i="1" s="1"/>
  <c r="F654" i="1"/>
  <c r="D13" i="10"/>
  <c r="H617" i="1"/>
  <c r="J617" i="1" s="1"/>
  <c r="F460" i="1"/>
  <c r="L330" i="1"/>
  <c r="D31" i="13"/>
  <c r="D10" i="10"/>
  <c r="D20" i="10"/>
  <c r="C41" i="10"/>
  <c r="D36" i="10" s="1"/>
  <c r="D22" i="10"/>
  <c r="C30" i="10"/>
  <c r="D23" i="10"/>
  <c r="D25" i="10"/>
  <c r="D24" i="10"/>
  <c r="D21" i="10"/>
  <c r="D26" i="10"/>
  <c r="D19" i="10"/>
  <c r="G622" i="1"/>
  <c r="F462" i="1"/>
  <c r="J619" i="1"/>
  <c r="D17" i="10"/>
  <c r="F542" i="1"/>
  <c r="K539" i="1"/>
  <c r="K542" i="1" s="1"/>
  <c r="D16" i="10"/>
  <c r="H619" i="1"/>
  <c r="H460" i="1"/>
  <c r="D11" i="10"/>
  <c r="D12" i="10"/>
  <c r="J636" i="1"/>
  <c r="G662" i="1"/>
  <c r="G657" i="1"/>
  <c r="D18" i="10"/>
  <c r="J460" i="1"/>
  <c r="J466" i="1" s="1"/>
  <c r="H616" i="1" s="1"/>
  <c r="J616" i="1" s="1"/>
  <c r="H627" i="1"/>
  <c r="J627" i="1" s="1"/>
  <c r="H621" i="1"/>
  <c r="J621" i="1" s="1"/>
  <c r="D27" i="10"/>
  <c r="G464" i="1"/>
  <c r="G466" i="1" s="1"/>
  <c r="H613" i="1" s="1"/>
  <c r="J613" i="1" s="1"/>
  <c r="H625" i="1"/>
  <c r="J625" i="1" s="1"/>
  <c r="H462" i="1" l="1"/>
  <c r="L344" i="1"/>
  <c r="G623" i="1" s="1"/>
  <c r="C31" i="13"/>
  <c r="D33" i="13"/>
  <c r="D36" i="13" s="1"/>
  <c r="D28" i="10"/>
  <c r="H622" i="1"/>
  <c r="F464" i="1"/>
  <c r="F466" i="1" s="1"/>
  <c r="H612" i="1" s="1"/>
  <c r="J612" i="1" s="1"/>
  <c r="F657" i="1"/>
  <c r="F662" i="1"/>
  <c r="C4" i="10" s="1"/>
  <c r="D37" i="10"/>
  <c r="D40" i="10"/>
  <c r="D39" i="10"/>
  <c r="D35" i="10"/>
  <c r="D38" i="10"/>
  <c r="J622" i="1"/>
  <c r="I657" i="1"/>
  <c r="I662" i="1"/>
  <c r="C7" i="10" s="1"/>
  <c r="D41" i="10" l="1"/>
  <c r="H464" i="1"/>
  <c r="H466" i="1" s="1"/>
  <c r="H614" i="1" s="1"/>
  <c r="J614" i="1" s="1"/>
  <c r="H623" i="1"/>
  <c r="J623" i="1" s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AE5A632-6759-447C-B482-AAFECDB809B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94AD9D0-6E64-47DC-8B58-B4E82060BE0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3925FA0-3D67-41BC-A6DD-35475AF4953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58DF625-EB71-428E-8B87-D3EC72E4C3B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1613DEF-D712-452A-A780-1B568C0BEC6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C859490-CCC4-4B4C-91BA-EF3C1C15E84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D9E9DBC-0884-4D31-80E7-ADF893A77B1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BA8943B-412F-48D3-BD30-7DC1F76433F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A788582-7A28-42AD-99A3-405C66EB900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2FB3BD1-664A-481E-B1B4-B296819BC5A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099BA16-E420-4627-A71F-8DCC6390C20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FA30B60-2588-4B3F-955D-F14238E95ED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<sst xmlns="http://schemas.openxmlformats.org/spreadsheetml/2006/main" count="3860" uniqueCount="897">
  <si>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</si>
  <si>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</si>
  <si>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</si>
  <si>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</si>
  <si>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</si>
  <si>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</si>
  <si>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</si>
  <si>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</si>
  <si>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</si>
  <si>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</si>
  <si>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</si>
  <si>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</si>
  <si>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</si>
  <si>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</si>
  <si>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</si>
  <si>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</si>
  <si>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</si>
  <si>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</si>
  <si>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</si>
  <si>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</si>
  <si>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</si>
  <si>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</si>
  <si>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</si>
  <si>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</si>
  <si>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</si>
  <si>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</si>
  <si>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</si>
  <si>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</si>
  <si>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</si>
  <si>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</si>
  <si>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</si>
  <si>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</si>
  <si>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</si>
  <si>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</si>
  <si>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</si>
  <si>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</si>
  <si>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</si>
  <si>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</si>
  <si>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</si>
  <si>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</si>
  <si>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</si>
  <si>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</si>
  <si>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</si>
  <si>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</si>
  <si>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</si>
  <si>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</si>
  <si>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</si>
  <si>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</si>
  <si>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</si>
  <si>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</si>
  <si>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</si>
  <si>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</si>
  <si>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</si>
  <si>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</si>
  <si>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</si>
  <si>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</si>
  <si>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</si>
  <si>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</si>
  <si>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</si>
  <si>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</si>
  <si>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</si>
  <si>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</si>
  <si>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</si>
  <si>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</si>
  <si>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</si>
  <si>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</si>
  <si>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</si>
  <si>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</si>
  <si>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</si>
  <si>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</si>
  <si>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</si>
  <si>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</si>
  <si>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</si>
  <si>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</si>
  <si>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</si>
  <si>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</si>
  <si>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</si>
  <si>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</si>
  <si>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</si>
  <si>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</si>
  <si>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</si>
  <si>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</si>
  <si>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</si>
  <si>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</si>
  <si>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</si>
  <si>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</si>
  <si>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</si>
  <si>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</si>
  <si>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</si>
  <si>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</si>
  <si>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</si>
  <si>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</si>
  <si>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</si>
  <si>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</si>
  <si>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</si>
  <si>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</si>
  <si>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</si>
  <si>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</si>
  <si>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</si>
  <si>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</si>
  <si>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</si>
  <si>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</si>
  <si>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</si>
  <si>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</si>
  <si>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</si>
  <si>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</si>
  <si>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</si>
  <si>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</si>
  <si>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</si>
  <si>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</si>
  <si>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</si>
  <si>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</si>
  <si>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</si>
  <si>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</si>
  <si>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</si>
  <si>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</si>
  <si>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</si>
  <si>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</si>
  <si>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</si>
  <si>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</si>
  <si>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</si>
  <si>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</si>
  <si>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</si>
  <si>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</si>
  <si>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</si>
  <si>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</si>
  <si>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</si>
  <si>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</si>
  <si>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</si>
  <si>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</si>
  <si>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</si>
  <si>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</si>
  <si>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</si>
  <si>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</si>
  <si>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</si>
  <si>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</si>
  <si>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</si>
  <si>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</si>
  <si>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</si>
  <si>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</si>
  <si>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</si>
  <si>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</si>
  <si>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</si>
  <si>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</si>
  <si>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</si>
  <si>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</si>
  <si>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</si>
  <si>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</si>
  <si>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</si>
  <si>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</si>
  <si>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</si>
  <si>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</si>
  <si>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</si>
  <si>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</si>
  <si>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</si>
  <si>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</si>
  <si>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</si>
  <si>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</si>
  <si>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</si>
  <si>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</si>
  <si>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</si>
  <si>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</si>
  <si>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</si>
  <si>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</si>
  <si>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</si>
  <si>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</si>
  <si>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</si>
  <si>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</si>
  <si>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</si>
  <si>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</si>
  <si>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</si>
  <si>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</si>
  <si>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</si>
  <si>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</si>
  <si>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</si>
  <si>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</si>
  <si>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</si>
  <si>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</si>
  <si>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</si>
  <si>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</si>
  <si>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</si>
  <si>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</si>
  <si>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</si>
  <si>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</si>
  <si>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</si>
  <si>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</si>
  <si>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</si>
  <si>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</si>
  <si>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</si>
  <si>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</si>
  <si>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</si>
  <si>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</si>
  <si>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</si>
  <si>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</si>
  <si>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</si>
  <si>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</si>
  <si>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</si>
  <si>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</si>
  <si>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</si>
  <si>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</si>
  <si>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</si>
  <si>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</si>
  <si>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</si>
  <si>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</si>
  <si>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</si>
  <si>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</si>
  <si>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</si>
  <si>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</si>
  <si>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</si>
  <si>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</si>
  <si>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</si>
  <si>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</si>
  <si>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</si>
  <si>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</si>
  <si>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</si>
  <si>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</si>
  <si>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</si>
  <si>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</si>
  <si>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</si>
  <si>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</si>
  <si>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</si>
  <si>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</si>
  <si>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</si>
  <si>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</si>
  <si>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</si>
  <si>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</si>
  <si>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</si>
  <si>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</si>
  <si>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</si>
  <si>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</si>
  <si>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</si>
  <si>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</si>
  <si>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</si>
  <si>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</si>
  <si>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</si>
  <si>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</si>
  <si>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</si>
  <si>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</si>
  <si>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</si>
  <si>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</si>
  <si>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</si>
  <si>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</si>
  <si>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</si>
  <si>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</si>
  <si>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</si>
  <si>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</si>
  <si>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</si>
  <si>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</si>
  <si>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</si>
  <si>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</si>
  <si>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</si>
  <si>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</si>
  <si>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</si>
  <si>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</si>
  <si>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</si>
  <si>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</si>
  <si>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</si>
  <si>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</si>
  <si>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</si>
  <si>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</si>
  <si>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</si>
  <si>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</si>
  <si>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</si>
  <si>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</si>
  <si>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</si>
  <si>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</si>
  <si>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</si>
  <si>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</si>
  <si>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</si>
  <si>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</si>
  <si>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</si>
  <si>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</si>
  <si>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</si>
  <si>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</si>
  <si>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</si>
  <si>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</si>
  <si>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</si>
  <si>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</si>
  <si>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</si>
  <si>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</si>
  <si>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</si>
  <si>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</si>
  <si>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</si>
  <si>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</si>
  <si>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</si>
  <si>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</si>
  <si>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</si>
  <si>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</si>
  <si>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</si>
  <si>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</si>
  <si>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</si>
  <si>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</si>
  <si>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</si>
  <si>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</si>
  <si>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</si>
  <si>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</si>
  <si>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</si>
  <si>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</si>
  <si>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</si>
  <si>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</si>
  <si>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</si>
  <si>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</si>
  <si>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</si>
  <si>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</si>
  <si>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</si>
  <si>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</si>
  <si>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</si>
  <si>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</si>
  <si>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</si>
  <si>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</si>
  <si>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</si>
  <si>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</si>
  <si>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</si>
  <si>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</si>
  <si>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</si>
  <si>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</si>
  <si>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</si>
  <si>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</si>
  <si>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</si>
  <si>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</si>
  <si>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</si>
  <si>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</si>
  <si>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</si>
  <si>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</si>
  <si>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</si>
  <si>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</si>
  <si>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</si>
  <si>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</si>
  <si>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</si>
  <si>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</si>
  <si>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</si>
  <si>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</si>
  <si>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</si>
  <si>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</si>
  <si>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</si>
  <si>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</si>
  <si>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</si>
  <si>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</si>
  <si>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</si>
  <si>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</si>
  <si>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</si>
  <si>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</si>
  <si>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</si>
  <si>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</si>
  <si>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</si>
  <si>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</si>
  <si>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</si>
  <si>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</si>
  <si>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</si>
  <si>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</si>
  <si>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</si>
  <si>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</si>
  <si>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</si>
  <si>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</si>
  <si>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</si>
  <si>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</si>
  <si>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</si>
  <si>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</si>
  <si>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</si>
  <si>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</si>
  <si>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</si>
  <si>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</si>
  <si>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</si>
  <si>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</si>
  <si>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</si>
  <si>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</si>
  <si>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</si>
  <si>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</si>
  <si>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</si>
  <si>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</si>
  <si>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</si>
  <si>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</si>
  <si>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</si>
  <si>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</si>
  <si>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</si>
  <si>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</si>
  <si>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</si>
  <si>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</si>
  <si>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</si>
  <si>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</si>
  <si>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</si>
  <si>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</si>
  <si>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</si>
  <si>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</si>
  <si>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</si>
  <si>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</si>
  <si>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</si>
  <si>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</si>
  <si>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</si>
  <si>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</si>
  <si>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</si>
  <si>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</si>
  <si>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</si>
  <si>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</si>
  <si>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</si>
  <si>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</si>
  <si>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</si>
  <si>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</si>
  <si>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</si>
  <si>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</si>
  <si>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</si>
  <si>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</si>
  <si>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</si>
  <si>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</si>
  <si>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</si>
  <si>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</si>
  <si>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</si>
  <si>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</si>
  <si>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</si>
  <si>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</si>
  <si>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</si>
  <si>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</si>
  <si>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</si>
  <si>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</si>
  <si>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</si>
  <si>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</si>
  <si>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</si>
  <si>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</si>
  <si>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</si>
  <si>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</si>
  <si>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</si>
  <si>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</si>
  <si>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</si>
  <si>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</si>
  <si>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</si>
  <si>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</si>
  <si>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</si>
  <si>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</si>
  <si>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</si>
  <si>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</si>
  <si>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</si>
  <si>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</si>
  <si>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</si>
  <si>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</si>
  <si>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</si>
  <si>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</si>
  <si>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</si>
  <si>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</si>
  <si>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</si>
  <si>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</si>
  <si>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</si>
  <si>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</si>
  <si>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</si>
  <si>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</si>
  <si>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</si>
  <si>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</si>
  <si>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</si>
  <si>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</si>
  <si>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</si>
  <si>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</si>
  <si>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</si>
  <si>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</si>
  <si>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</si>
  <si>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</si>
  <si>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</si>
  <si>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</si>
  <si>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</si>
  <si>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</si>
  <si>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</si>
  <si>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</si>
  <si>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</si>
  <si>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</si>
  <si>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</si>
  <si>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</si>
  <si>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</si>
  <si>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</si>
  <si>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</si>
  <si>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</si>
  <si>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</si>
  <si>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</si>
  <si>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</si>
  <si>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</si>
  <si>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</si>
  <si>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</si>
  <si>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</si>
  <si>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</si>
  <si>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</si>
  <si>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</si>
  <si>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</si>
  <si>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</si>
  <si>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</si>
  <si>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</si>
  <si>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</si>
  <si>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</si>
  <si>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</si>
  <si>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</si>
  <si>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</si>
  <si>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</si>
  <si>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</si>
  <si>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</si>
  <si>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</si>
  <si>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</si>
  <si>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</si>
  <si>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</si>
  <si>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</si>
  <si>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</si>
  <si>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</si>
  <si>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</si>
  <si>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</si>
  <si>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</si>
  <si>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</si>
  <si>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</si>
  <si>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</si>
  <si>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</si>
  <si>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</si>
  <si>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</si>
  <si>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</si>
  <si>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</si>
  <si>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</si>
  <si>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</si>
  <si>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</si>
  <si>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</si>
  <si>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</si>
  <si>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</si>
  <si>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</si>
  <si>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</si>
  <si>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</si>
  <si>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</si>
  <si>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</si>
  <si>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</si>
  <si>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</si>
  <si>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</si>
  <si>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</si>
  <si>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</si>
  <si>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</si>
  <si>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</si>
  <si>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</si>
  <si>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</si>
  <si>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</si>
  <si>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</si>
  <si>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</si>
  <si>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</si>
  <si>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</si>
  <si>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</si>
  <si>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</si>
  <si>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</si>
  <si>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</si>
  <si>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</si>
  <si>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</si>
  <si>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</si>
  <si>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</si>
  <si>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</si>
  <si>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</si>
  <si>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</si>
  <si>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</si>
  <si>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</si>
  <si>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</si>
  <si>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</si>
  <si>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</si>
  <si>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</si>
  <si>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</si>
  <si>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</si>
  <si>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</si>
  <si>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</si>
  <si>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</si>
  <si>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</si>
  <si>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</si>
  <si>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</si>
  <si>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</si>
  <si>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</si>
  <si>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</si>
  <si>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</si>
  <si>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</si>
  <si>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</si>
  <si>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</si>
  <si>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</si>
  <si>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</si>
  <si>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</si>
  <si>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</si>
  <si>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</si>
  <si>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</si>
  <si>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</si>
  <si>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</si>
  <si>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</si>
  <si>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</si>
  <si>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</si>
  <si>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</si>
  <si>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</si>
  <si>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</si>
  <si>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</si>
  <si>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</si>
  <si>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</si>
  <si>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</si>
  <si>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</si>
  <si>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</si>
  <si>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</si>
  <si>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</si>
  <si>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</si>
  <si>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</si>
  <si>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</si>
  <si>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</si>
  <si>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</si>
  <si>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</si>
  <si>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</si>
  <si>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</si>
  <si>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</si>
  <si>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</si>
  <si>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</si>
  <si>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</si>
  <si>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</si>
  <si>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</si>
  <si>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</si>
  <si>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</si>
  <si>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</si>
  <si>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</si>
  <si>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</si>
  <si>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</si>
  <si>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</si>
  <si>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</si>
  <si>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</si>
  <si>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</si>
  <si>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</si>
  <si>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</si>
  <si>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</si>
  <si>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</si>
  <si>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</si>
  <si>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</si>
  <si>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</si>
  <si>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</si>
  <si>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</si>
  <si>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</si>
  <si>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</si>
  <si>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</si>
  <si>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</si>
  <si>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</si>
  <si>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</si>
  <si>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</si>
  <si>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</si>
  <si>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</si>
  <si>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</si>
  <si>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</si>
  <si>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</si>
  <si>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</si>
  <si>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</si>
  <si>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</si>
  <si>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</si>
  <si>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</si>
  <si>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</si>
  <si>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</si>
  <si>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</si>
  <si>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</si>
  <si>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</si>
  <si>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</si>
  <si>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</si>
  <si>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</si>
  <si>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</si>
  <si>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</si>
  <si>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</si>
  <si>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</si>
  <si>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</si>
  <si>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</si>
  <si>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</si>
  <si>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</si>
  <si>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</si>
  <si>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</si>
  <si>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</si>
  <si>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</si>
  <si>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</si>
  <si>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</si>
  <si>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</si>
  <si>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</si>
  <si>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</si>
  <si>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</si>
  <si>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</si>
  <si>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</si>
  <si>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</si>
  <si>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</si>
  <si>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</si>
  <si>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</si>
  <si>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</si>
  <si>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</si>
  <si>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</si>
  <si>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</si>
  <si>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</si>
  <si>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</si>
  <si>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</si>
  <si>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</si>
  <si>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</si>
  <si>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</si>
  <si>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</si>
  <si>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</si>
  <si>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</si>
  <si>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</si>
  <si>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</si>
  <si>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</si>
  <si>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</si>
  <si>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</si>
  <si>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</si>
  <si>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</si>
  <si>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</si>
  <si>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</si>
  <si>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</si>
  <si>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</si>
  <si>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</si>
  <si>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</si>
  <si>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</si>
  <si>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</si>
  <si>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</si>
  <si>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</si>
  <si>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</si>
  <si>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</si>
  <si>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</si>
  <si>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</si>
  <si>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</si>
  <si>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</si>
  <si>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</si>
  <si>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</si>
  <si>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</si>
  <si>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</si>
  <si>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</si>
  <si>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</si>
  <si>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</si>
  <si>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</si>
  <si>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</si>
  <si>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</si>
  <si>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</si>
  <si>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</si>
  <si>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</si>
  <si>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</si>
  <si>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</si>
  <si>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</si>
  <si>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</si>
  <si>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</si>
  <si>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</si>
  <si>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</si>
  <si>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</si>
  <si>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</si>
  <si>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</si>
  <si>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</si>
  <si>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</si>
  <si>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</si>
  <si>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</si>
  <si>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</si>
  <si>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</si>
  <si>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</si>
  <si>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</si>
  <si>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</si>
  <si>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</si>
  <si>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</si>
  <si>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</si>
  <si>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</si>
  <si>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</si>
  <si>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</si>
  <si>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</si>
  <si>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</si>
  <si>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</si>
  <si>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</si>
  <si>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</si>
  <si>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</si>
  <si>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</si>
  <si>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</si>
  <si>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</si>
  <si>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</si>
  <si>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</si>
  <si>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</si>
  <si>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</si>
  <si>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</si>
  <si>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</si>
  <si>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</si>
  <si>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</si>
  <si>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</si>
  <si>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</si>
  <si>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</si>
  <si>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</si>
  <si>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</si>
  <si>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</si>
  <si>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</si>
  <si>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</si>
  <si>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</si>
  <si>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</si>
  <si>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</si>
  <si>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</si>
  <si>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</si>
  <si>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</si>
  <si>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</si>
  <si>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</si>
  <si>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</si>
  <si>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</si>
  <si>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</si>
  <si>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</si>
  <si>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</si>
  <si>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</si>
  <si>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</si>
  <si>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</si>
  <si>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</si>
  <si>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</si>
  <si>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</si>
  <si>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</si>
  <si>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</si>
  <si>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</si>
  <si>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</si>
  <si>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</si>
  <si>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</si>
  <si>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</si>
  <si>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</si>
  <si>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</si>
  <si>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</si>
  <si>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</si>
  <si>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</si>
  <si>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</si>
  <si>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</si>
  <si>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</si>
  <si>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</si>
  <si>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</si>
  <si>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</si>
  <si>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</si>
  <si>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</si>
  <si>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</si>
  <si>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</si>
  <si>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</si>
  <si>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</si>
  <si>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</si>
  <si>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</si>
  <si>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</si>
  <si>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</si>
  <si>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</si>
  <si>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</si>
  <si>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</si>
  <si>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</si>
  <si>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</si>
  <si>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</si>
  <si>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</si>
  <si>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</si>
  <si>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</si>
  <si>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</si>
  <si>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</si>
  <si>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</si>
  <si>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</si>
  <si>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</si>
  <si>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</si>
  <si>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</si>
  <si>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</si>
  <si>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</si>
  <si>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</si>
  <si>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</si>
  <si>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</si>
  <si>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</si>
  <si>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</si>
  <si>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</si>
  <si>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</si>
  <si>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</si>
  <si>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</si>
  <si>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</si>
  <si>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</si>
  <si>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</si>
  <si>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</si>
  <si>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</si>
  <si>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</si>
  <si>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</si>
  <si>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</si>
  <si>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</si>
  <si>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</si>
  <si>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</si>
  <si>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</si>
  <si>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</si>
  <si>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</si>
  <si>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</si>
  <si>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</si>
  <si>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</si>
  <si>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</si>
  <si>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</si>
  <si>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</si>
  <si>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</si>
  <si>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</si>
  <si>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</si>
  <si>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</si>
  <si>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</si>
  <si>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</si>
  <si>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</si>
  <si>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</si>
  <si>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</si>
  <si>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</si>
  <si>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</si>
  <si>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</si>
  <si>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</si>
  <si>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</si>
  <si>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</si>
  <si>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</si>
  <si>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</si>
  <si>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</si>
  <si>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</si>
  <si>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</si>
  <si>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</si>
  <si>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</si>
  <si>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</si>
  <si>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</si>
  <si>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</si>
  <si>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</si>
  <si>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</si>
  <si>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</si>
  <si>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</si>
  <si>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</si>
  <si>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</si>
  <si>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</si>
  <si>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GILMANTON SCHOOL DISTRICT</t>
  </si>
  <si>
    <t>08/96</t>
  </si>
  <si>
    <t>02/17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</si>
</sst>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A744-DECF-4E23-B365-08ECFD88C826}">
  <sheetPr transitionEvaluation="1" transitionEntry="1" codeName="Sheet1">
    <tabColor indexed="56"/>
  </sheetPr>
  <dimension ref="A1:AQ666"/>
  <sheetViews>
    <sheetView tabSelected="1" zoomScale="85" zoomScaleNormal="85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195</v>
      </c>
      <c r="C2" s="21">
        <v>195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1712902.48</v>
      </c>
      <c r="G9" s="18">
        <v>75</v>
      </c>
      <c r="H9" s="18"/>
      <c r="I9" s="18"/>
      <c r="J9" s="67">
        <f>SUM(I431)</f>
        <v>191229.1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120817.25</v>
      </c>
      <c r="G12" s="18">
        <v>36783.870000000003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73437.62</v>
      </c>
      <c r="G13" s="18">
        <v>2924.84</v>
      </c>
      <c r="H13" s="18">
        <v>121936.64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170.5</v>
      </c>
      <c r="G14" s="18">
        <v>557.6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1907327.85</v>
      </c>
      <c r="G19" s="41">
        <f>SUM(G9:G18)</f>
        <v>40341.310000000005</v>
      </c>
      <c r="H19" s="41">
        <f>SUM(H9:H18)</f>
        <v>121936.64</v>
      </c>
      <c r="I19" s="41">
        <f>SUM(I9:I18)</f>
        <v>0</v>
      </c>
      <c r="J19" s="41">
        <f>SUM(J9:J18)</f>
        <v>191229.1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36783.870000000003</v>
      </c>
      <c r="G23" s="18"/>
      <c r="H23" s="18">
        <v>120817.25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1239588.5</v>
      </c>
      <c r="G24" s="18"/>
      <c r="H24" s="18">
        <v>764.75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80951.839999999997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179198.86</v>
      </c>
      <c r="G26" s="145">
        <v>5454.35</v>
      </c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423.19</v>
      </c>
      <c r="H31" s="18">
        <v>354.64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1536523.0700000003</v>
      </c>
      <c r="G33" s="41">
        <f>SUM(G23:G32)</f>
        <v>5877.54</v>
      </c>
      <c r="H33" s="41">
        <f>SUM(H23:H32)</f>
        <v>121936.64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141747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34463.769999999997</v>
      </c>
      <c r="H41" s="18"/>
      <c r="I41" s="18"/>
      <c r="J41" s="13">
        <f>SUM(I449)</f>
        <v>191229.1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229057.78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370804.78</v>
      </c>
      <c r="G43" s="41">
        <f>SUM(G35:G42)</f>
        <v>34463.769999999997</v>
      </c>
      <c r="H43" s="41">
        <f>SUM(H35:H42)</f>
        <v>0</v>
      </c>
      <c r="I43" s="41">
        <f>SUM(I35:I42)</f>
        <v>0</v>
      </c>
      <c r="J43" s="41">
        <f>SUM(J35:J42)</f>
        <v>191229.1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1907327.8500000003</v>
      </c>
      <c r="G44" s="41">
        <f>G43+G33</f>
        <v>40341.31</v>
      </c>
      <c r="H44" s="41">
        <f>H43+H33</f>
        <v>121936.64</v>
      </c>
      <c r="I44" s="41">
        <f>I43+I33</f>
        <v>0</v>
      </c>
      <c r="J44" s="41">
        <f>J43+J33</f>
        <v>191229.1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5964263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5964263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8980.59</v>
      </c>
      <c r="G88" s="18"/>
      <c r="H88" s="18"/>
      <c r="I88" s="18"/>
      <c r="J88" s="18">
        <v>4807.95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41322.23+2167.54+516.37+2260+401.15</f>
        <v>46667.290000000008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105.23</v>
      </c>
      <c r="G102" s="18">
        <v>2317.54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9085.82</v>
      </c>
      <c r="G103" s="41">
        <f>SUM(G88:G102)</f>
        <v>48984.830000000009</v>
      </c>
      <c r="H103" s="41">
        <f>SUM(H88:H102)</f>
        <v>0</v>
      </c>
      <c r="I103" s="41">
        <f>SUM(I88:I102)</f>
        <v>0</v>
      </c>
      <c r="J103" s="41">
        <f>SUM(J88:J102)</f>
        <v>4807.95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5973348.8200000003</v>
      </c>
      <c r="G104" s="41">
        <f>G52+G103</f>
        <v>48984.830000000009</v>
      </c>
      <c r="H104" s="41">
        <f>H52+H71+H86+H103</f>
        <v>0</v>
      </c>
      <c r="I104" s="41">
        <f>I52+I103</f>
        <v>0</v>
      </c>
      <c r="J104" s="41">
        <f>J52+J103</f>
        <v>4807.95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775046.52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1147562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297360.48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2219969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48613.61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140385.75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1597.25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188999.36</v>
      </c>
      <c r="G128" s="41">
        <f>SUM(G115:G127)</f>
        <v>1597.25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2408968.36</v>
      </c>
      <c r="G132" s="41">
        <f>G113+SUM(G128:G129)</f>
        <v>1597.25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>
        <v>22279.1</v>
      </c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22279.1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4565.18+74000+34548.01+19187.5+4572.97</f>
        <v>136873.66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19000+1000+27406.41+15711.9+9640-764.75-354.64</f>
        <v>71638.92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38302.22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84391.26+4566+5849.01</f>
        <v>94806.26999999999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5846.81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5846.81</v>
      </c>
      <c r="G154" s="41">
        <f>SUM(G142:G153)</f>
        <v>38302.22</v>
      </c>
      <c r="H154" s="41">
        <f>SUM(H142:H153)</f>
        <v>303318.84999999998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5846.81</v>
      </c>
      <c r="G161" s="41">
        <f>G139+G154+SUM(G155:G160)</f>
        <v>38302.22</v>
      </c>
      <c r="H161" s="41">
        <f>H139+H154+SUM(H155:H160)</f>
        <v>325597.94999999995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61393</v>
      </c>
      <c r="H171" s="18"/>
      <c r="I171" s="18"/>
      <c r="J171" s="18">
        <v>71440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61393</v>
      </c>
      <c r="H175" s="41">
        <f>SUM(H171:H174)</f>
        <v>0</v>
      </c>
      <c r="I175" s="41">
        <f>SUM(I171:I174)</f>
        <v>0</v>
      </c>
      <c r="J175" s="41">
        <f>SUM(J171:J174)</f>
        <v>71440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61393</v>
      </c>
      <c r="H184" s="41">
        <f>+H175+SUM(H180:H183)</f>
        <v>0</v>
      </c>
      <c r="I184" s="41">
        <f>I169+I175+SUM(I180:I183)</f>
        <v>0</v>
      </c>
      <c r="J184" s="41">
        <f>J175</f>
        <v>71440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8388163.9899999993</v>
      </c>
      <c r="G185" s="47">
        <f>G104+G132+G161+G184</f>
        <v>150277.30000000002</v>
      </c>
      <c r="H185" s="47">
        <f>H104+H132+H161+H184</f>
        <v>325597.94999999995</v>
      </c>
      <c r="I185" s="47">
        <f>I104+I132+I161+I184</f>
        <v>0</v>
      </c>
      <c r="J185" s="47">
        <f>J104+J132+J184</f>
        <v>76247.95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1289617.91+293015.98+47511.28+3575-928</f>
        <v>1632792.17</v>
      </c>
      <c r="G189" s="18">
        <f>569140.25+5053</f>
        <v>574193.25</v>
      </c>
      <c r="H189" s="18">
        <f>49260.18+12578.85</f>
        <v>61839.03</v>
      </c>
      <c r="I189" s="18">
        <f>37223.36+8767.48-427.65</f>
        <v>45563.189999999995</v>
      </c>
      <c r="J189" s="18">
        <f>2741.35+267.62</f>
        <v>3008.97</v>
      </c>
      <c r="K189" s="18"/>
      <c r="L189" s="19">
        <f>SUM(F189:K189)</f>
        <v>2317396.61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124907.5+58686.47</f>
        <v>183593.97</v>
      </c>
      <c r="G190" s="18">
        <f>63496+539</f>
        <v>64035</v>
      </c>
      <c r="H190" s="18">
        <f>14511+3258.2+288131</f>
        <v>305900.2</v>
      </c>
      <c r="I190" s="18">
        <v>2727</v>
      </c>
      <c r="J190" s="18"/>
      <c r="K190" s="18"/>
      <c r="L190" s="19">
        <f>SUM(F190:K190)</f>
        <v>556256.17000000004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27050</v>
      </c>
      <c r="G192" s="18">
        <v>9355</v>
      </c>
      <c r="H192" s="18">
        <v>4950</v>
      </c>
      <c r="I192" s="18">
        <v>6399.69</v>
      </c>
      <c r="J192" s="18"/>
      <c r="K192" s="18">
        <v>9849</v>
      </c>
      <c r="L192" s="19">
        <f>SUM(F192:K192)</f>
        <v>57603.69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192146.71</v>
      </c>
      <c r="G194" s="18">
        <f>66454+539</f>
        <v>66993</v>
      </c>
      <c r="H194" s="18">
        <v>52421.23</v>
      </c>
      <c r="I194" s="18">
        <f>749.93+741.36+651.54+294.71</f>
        <v>2437.54</v>
      </c>
      <c r="J194" s="18"/>
      <c r="K194" s="18">
        <v>570</v>
      </c>
      <c r="L194" s="19">
        <f t="shared" ref="L194:L200" si="0">SUM(F194:K194)</f>
        <v>314568.48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106828.62</v>
      </c>
      <c r="G195" s="18">
        <v>42357.5</v>
      </c>
      <c r="H195" s="18">
        <v>51995.78</v>
      </c>
      <c r="I195" s="18">
        <v>31487.85</v>
      </c>
      <c r="J195" s="18">
        <f>676.4+70172.79</f>
        <v>70849.189999999988</v>
      </c>
      <c r="K195" s="18"/>
      <c r="L195" s="19">
        <f t="shared" si="0"/>
        <v>303518.94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173641.46</v>
      </c>
      <c r="G196" s="18">
        <f>517+57626+606</f>
        <v>58749</v>
      </c>
      <c r="H196" s="18">
        <f>10069.5+1326+3722.21+1766.88+1489+2061.39+10752+2295.53+2928.99+1156+2674.39+3066.5</f>
        <v>43308.39</v>
      </c>
      <c r="I196" s="18">
        <f>3113.91+1450.94</f>
        <v>4564.8500000000004</v>
      </c>
      <c r="J196" s="18">
        <v>4904</v>
      </c>
      <c r="K196" s="18">
        <f>7372.77+1083</f>
        <v>8455.77</v>
      </c>
      <c r="L196" s="19">
        <f t="shared" si="0"/>
        <v>293623.46999999997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212608.4</v>
      </c>
      <c r="G197" s="18">
        <v>73530</v>
      </c>
      <c r="H197" s="18">
        <v>10034.83</v>
      </c>
      <c r="I197" s="18">
        <v>796.76</v>
      </c>
      <c r="J197" s="18"/>
      <c r="K197" s="18">
        <v>4733.2299999999996</v>
      </c>
      <c r="L197" s="19">
        <f t="shared" si="0"/>
        <v>301703.22000000003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37785</v>
      </c>
      <c r="G198" s="18">
        <v>13068</v>
      </c>
      <c r="H198" s="18">
        <f>24683.75+9651+3817.17+12941</f>
        <v>51092.92</v>
      </c>
      <c r="I198" s="18">
        <v>1287.03</v>
      </c>
      <c r="J198" s="18">
        <v>2927</v>
      </c>
      <c r="K198" s="18">
        <v>1820</v>
      </c>
      <c r="L198" s="19">
        <f t="shared" si="0"/>
        <v>107979.95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79157.44+2344.38</f>
        <v>81501.820000000007</v>
      </c>
      <c r="G199" s="18">
        <v>28187</v>
      </c>
      <c r="H199" s="18">
        <f>82086+1787.44+9244.96+5500+30247.69+3763.24+8156.5+53188.89</f>
        <v>193974.71999999997</v>
      </c>
      <c r="I199" s="18">
        <f>32849.62+1072.78+72652.13+2178.56+43135.75</f>
        <v>151888.84</v>
      </c>
      <c r="J199" s="18">
        <v>10770.65</v>
      </c>
      <c r="K199" s="18"/>
      <c r="L199" s="19">
        <f t="shared" si="0"/>
        <v>466323.03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285894.68</v>
      </c>
      <c r="I200" s="18"/>
      <c r="J200" s="18"/>
      <c r="K200" s="18"/>
      <c r="L200" s="19">
        <f t="shared" si="0"/>
        <v>285894.68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2647948.1499999994</v>
      </c>
      <c r="G203" s="41">
        <f t="shared" si="1"/>
        <v>930467.75</v>
      </c>
      <c r="H203" s="41">
        <f t="shared" si="1"/>
        <v>1061411.78</v>
      </c>
      <c r="I203" s="41">
        <f t="shared" si="1"/>
        <v>247152.75</v>
      </c>
      <c r="J203" s="41">
        <f t="shared" si="1"/>
        <v>92459.809999999983</v>
      </c>
      <c r="K203" s="41">
        <f t="shared" si="1"/>
        <v>25428</v>
      </c>
      <c r="L203" s="41">
        <f t="shared" si="1"/>
        <v>5004868.2399999993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2715591.66</v>
      </c>
      <c r="I225" s="18"/>
      <c r="J225" s="18"/>
      <c r="K225" s="18"/>
      <c r="L225" s="19">
        <f>SUM(F225:K225)</f>
        <v>2715591.66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196282.56</v>
      </c>
      <c r="I226" s="18"/>
      <c r="J226" s="18"/>
      <c r="K226" s="18"/>
      <c r="L226" s="19">
        <f>SUM(F226:K226)</f>
        <v>196282.56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79063.740000000005</v>
      </c>
      <c r="I236" s="18"/>
      <c r="J236" s="18"/>
      <c r="K236" s="18"/>
      <c r="L236" s="19">
        <f t="shared" si="4"/>
        <v>79063.740000000005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2990937.9600000004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2990937.9600000004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2647948.1499999994</v>
      </c>
      <c r="G249" s="41">
        <f t="shared" si="8"/>
        <v>930467.75</v>
      </c>
      <c r="H249" s="41">
        <f t="shared" si="8"/>
        <v>4052349.74</v>
      </c>
      <c r="I249" s="41">
        <f t="shared" si="8"/>
        <v>247152.75</v>
      </c>
      <c r="J249" s="41">
        <f t="shared" si="8"/>
        <v>92459.809999999983</v>
      </c>
      <c r="K249" s="41">
        <f t="shared" si="8"/>
        <v>25428</v>
      </c>
      <c r="L249" s="41">
        <f t="shared" si="8"/>
        <v>7995806.1999999993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135000</v>
      </c>
      <c r="L252" s="19">
        <f>SUM(F252:K252)</f>
        <v>135000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72272.5</v>
      </c>
      <c r="L253" s="19">
        <f>SUM(F253:K253)</f>
        <v>72272.5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61393</v>
      </c>
      <c r="L255" s="19">
        <f>SUM(F255:K255)</f>
        <v>61393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71440</v>
      </c>
      <c r="L258" s="19">
        <f t="shared" si="9"/>
        <v>71440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340105.5</v>
      </c>
      <c r="L262" s="41">
        <f t="shared" si="9"/>
        <v>340105.5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2647948.1499999994</v>
      </c>
      <c r="G263" s="42">
        <f t="shared" si="11"/>
        <v>930467.75</v>
      </c>
      <c r="H263" s="42">
        <f t="shared" si="11"/>
        <v>4052349.74</v>
      </c>
      <c r="I263" s="42">
        <f t="shared" si="11"/>
        <v>247152.75</v>
      </c>
      <c r="J263" s="42">
        <f t="shared" si="11"/>
        <v>92459.809999999983</v>
      </c>
      <c r="K263" s="42">
        <f t="shared" si="11"/>
        <v>365533.5</v>
      </c>
      <c r="L263" s="42">
        <f t="shared" si="11"/>
        <v>8335911.6999999993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113192.4</v>
      </c>
      <c r="G268" s="18">
        <v>5355.48</v>
      </c>
      <c r="H268" s="18">
        <v>5595</v>
      </c>
      <c r="I268" s="18">
        <f>984.35+264.01</f>
        <v>1248.3600000000001</v>
      </c>
      <c r="J268" s="18"/>
      <c r="K268" s="18"/>
      <c r="L268" s="19">
        <f>SUM(F268:K268)</f>
        <v>125391.23999999999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9288.1299999999992</v>
      </c>
      <c r="G269" s="18">
        <f>907.5+200+710.54+811.78+40+37</f>
        <v>2706.8199999999997</v>
      </c>
      <c r="H269" s="18"/>
      <c r="I269" s="18">
        <v>875.88</v>
      </c>
      <c r="J269" s="18">
        <v>4566</v>
      </c>
      <c r="K269" s="18"/>
      <c r="L269" s="19">
        <f>SUM(F269:K269)</f>
        <v>17436.829999999998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19205.490000000002</v>
      </c>
      <c r="G273" s="18">
        <f>907.5+200+710.54+811.78+40+37</f>
        <v>2706.8199999999997</v>
      </c>
      <c r="H273" s="18">
        <v>38484</v>
      </c>
      <c r="I273" s="18"/>
      <c r="J273" s="18"/>
      <c r="K273" s="18"/>
      <c r="L273" s="19">
        <f t="shared" ref="L273:L279" si="12">SUM(F273:K273)</f>
        <v>60396.31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81918.66</v>
      </c>
      <c r="I274" s="18">
        <v>3098.37</v>
      </c>
      <c r="J274" s="18">
        <v>22056.54</v>
      </c>
      <c r="K274" s="18"/>
      <c r="L274" s="19">
        <f t="shared" si="12"/>
        <v>107073.57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3000</v>
      </c>
      <c r="I279" s="18"/>
      <c r="J279" s="18"/>
      <c r="K279" s="18"/>
      <c r="L279" s="19">
        <f t="shared" si="12"/>
        <v>3000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300</v>
      </c>
      <c r="I280" s="18"/>
      <c r="J280" s="18"/>
      <c r="K280" s="18"/>
      <c r="L280" s="19">
        <f>SUM(F280:K280)</f>
        <v>300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141686.01999999999</v>
      </c>
      <c r="G282" s="42">
        <f t="shared" si="13"/>
        <v>10769.119999999999</v>
      </c>
      <c r="H282" s="42">
        <f t="shared" si="13"/>
        <v>129297.66</v>
      </c>
      <c r="I282" s="42">
        <f t="shared" si="13"/>
        <v>5222.6100000000006</v>
      </c>
      <c r="J282" s="42">
        <f t="shared" si="13"/>
        <v>26622.54</v>
      </c>
      <c r="K282" s="42">
        <f t="shared" si="13"/>
        <v>0</v>
      </c>
      <c r="L282" s="41">
        <f t="shared" si="13"/>
        <v>313597.94999999995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12000</v>
      </c>
      <c r="G313" s="18"/>
      <c r="H313" s="18"/>
      <c r="I313" s="18"/>
      <c r="J313" s="18"/>
      <c r="K313" s="18"/>
      <c r="L313" s="19">
        <f t="shared" si="16"/>
        <v>12000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12000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12000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153686.01999999999</v>
      </c>
      <c r="G330" s="41">
        <f t="shared" si="20"/>
        <v>10769.119999999999</v>
      </c>
      <c r="H330" s="41">
        <f t="shared" si="20"/>
        <v>129297.66</v>
      </c>
      <c r="I330" s="41">
        <f t="shared" si="20"/>
        <v>5222.6100000000006</v>
      </c>
      <c r="J330" s="41">
        <f t="shared" si="20"/>
        <v>26622.54</v>
      </c>
      <c r="K330" s="41">
        <f t="shared" si="20"/>
        <v>0</v>
      </c>
      <c r="L330" s="41">
        <f t="shared" si="20"/>
        <v>325597.94999999995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153686.01999999999</v>
      </c>
      <c r="G344" s="41">
        <f>G330</f>
        <v>10769.119999999999</v>
      </c>
      <c r="H344" s="41">
        <f>H330</f>
        <v>129297.66</v>
      </c>
      <c r="I344" s="41">
        <f>I330</f>
        <v>5222.6100000000006</v>
      </c>
      <c r="J344" s="41">
        <f>J330</f>
        <v>26622.54</v>
      </c>
      <c r="K344" s="47">
        <f>K330+K343</f>
        <v>0</v>
      </c>
      <c r="L344" s="41">
        <f>L330+L343</f>
        <v>325597.94999999995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24362.77+29774.21</f>
        <v>54136.979999999996</v>
      </c>
      <c r="G350" s="18">
        <f>2061+400+788+2231.72+1414.21+62+1191+2278+248</f>
        <v>10673.93</v>
      </c>
      <c r="H350" s="18">
        <f>1037.35</f>
        <v>1037.3499999999999</v>
      </c>
      <c r="I350" s="18">
        <f>7220.85+34471.07+14725.5+8083.96</f>
        <v>64501.38</v>
      </c>
      <c r="J350" s="18">
        <v>3720.17</v>
      </c>
      <c r="K350" s="18"/>
      <c r="L350" s="13">
        <f>SUM(F350:K350)</f>
        <v>134069.81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54136.979999999996</v>
      </c>
      <c r="G354" s="47">
        <f t="shared" si="22"/>
        <v>10673.93</v>
      </c>
      <c r="H354" s="47">
        <f t="shared" si="22"/>
        <v>1037.3499999999999</v>
      </c>
      <c r="I354" s="47">
        <f t="shared" si="22"/>
        <v>64501.38</v>
      </c>
      <c r="J354" s="47">
        <f t="shared" si="22"/>
        <v>3720.17</v>
      </c>
      <c r="K354" s="47">
        <f t="shared" si="22"/>
        <v>0</v>
      </c>
      <c r="L354" s="47">
        <f t="shared" si="22"/>
        <v>134069.81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34471.07+14725.5+8083.96</f>
        <v>57280.53</v>
      </c>
      <c r="G359" s="18"/>
      <c r="H359" s="18"/>
      <c r="I359" s="56">
        <f>SUM(F359:H359)</f>
        <v>57280.53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7220.85</v>
      </c>
      <c r="G360" s="63"/>
      <c r="H360" s="63"/>
      <c r="I360" s="56">
        <f>SUM(F360:H360)</f>
        <v>7220.85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64501.38</v>
      </c>
      <c r="G361" s="47">
        <f>SUM(G359:G360)</f>
        <v>0</v>
      </c>
      <c r="H361" s="47">
        <f>SUM(H359:H360)</f>
        <v>0</v>
      </c>
      <c r="I361" s="47">
        <f>SUM(I359:I360)</f>
        <v>64501.38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14040</v>
      </c>
      <c r="H384" s="18">
        <v>587.75</v>
      </c>
      <c r="I384" s="18"/>
      <c r="J384" s="24" t="s">
        <v>312</v>
      </c>
      <c r="K384" s="24" t="s">
        <v>312</v>
      </c>
      <c r="L384" s="56">
        <f t="shared" si="25"/>
        <v>14627.75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14040</v>
      </c>
      <c r="H385" s="139">
        <f>SUM(H379:H384)</f>
        <v>587.75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14627.75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27400</v>
      </c>
      <c r="H388" s="18">
        <v>1344.52</v>
      </c>
      <c r="I388" s="18"/>
      <c r="J388" s="24" t="s">
        <v>312</v>
      </c>
      <c r="K388" s="24" t="s">
        <v>312</v>
      </c>
      <c r="L388" s="56">
        <f t="shared" si="26"/>
        <v>28744.52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30000</v>
      </c>
      <c r="H389" s="18">
        <v>2538.54</v>
      </c>
      <c r="I389" s="18"/>
      <c r="J389" s="24" t="s">
        <v>312</v>
      </c>
      <c r="K389" s="24" t="s">
        <v>312</v>
      </c>
      <c r="L389" s="56">
        <f t="shared" si="26"/>
        <v>32538.54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337.14</v>
      </c>
      <c r="I392" s="18"/>
      <c r="J392" s="24" t="s">
        <v>312</v>
      </c>
      <c r="K392" s="24" t="s">
        <v>312</v>
      </c>
      <c r="L392" s="56">
        <f t="shared" si="26"/>
        <v>337.14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57400</v>
      </c>
      <c r="H393" s="47">
        <f>SUM(H387:H392)</f>
        <v>4220.2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61620.2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71440</v>
      </c>
      <c r="H400" s="47">
        <f>H385+H393+H399</f>
        <v>4807.95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76247.95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25495.84</v>
      </c>
      <c r="G431" s="18">
        <v>154205.01</v>
      </c>
      <c r="H431" s="18">
        <v>11528.25</v>
      </c>
      <c r="I431" s="56">
        <f t="shared" ref="I431:I437" si="33">SUM(F431:H431)</f>
        <v>191229.1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25495.84</v>
      </c>
      <c r="G438" s="13">
        <f>SUM(G431:G437)</f>
        <v>154205.01</v>
      </c>
      <c r="H438" s="13">
        <f>SUM(H431:H437)</f>
        <v>11528.25</v>
      </c>
      <c r="I438" s="13">
        <f>SUM(I431:I437)</f>
        <v>191229.1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25495.84</v>
      </c>
      <c r="G449" s="18">
        <v>154205.01</v>
      </c>
      <c r="H449" s="18">
        <v>11528.25</v>
      </c>
      <c r="I449" s="56">
        <f>SUM(F449:H449)</f>
        <v>191229.1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25495.84</v>
      </c>
      <c r="G450" s="83">
        <f>SUM(G446:G449)</f>
        <v>154205.01</v>
      </c>
      <c r="H450" s="83">
        <f>SUM(H446:H449)</f>
        <v>11528.25</v>
      </c>
      <c r="I450" s="83">
        <f>SUM(I446:I449)</f>
        <v>191229.1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25495.84</v>
      </c>
      <c r="G451" s="42">
        <f>G444+G450</f>
        <v>154205.01</v>
      </c>
      <c r="H451" s="42">
        <f>H444+H450</f>
        <v>11528.25</v>
      </c>
      <c r="I451" s="42">
        <f>I444+I450</f>
        <v>191229.1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318552.49</v>
      </c>
      <c r="G455" s="18">
        <v>18256.28</v>
      </c>
      <c r="H455" s="18">
        <v>0</v>
      </c>
      <c r="I455" s="18"/>
      <c r="J455" s="18">
        <v>114981.15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8388163.9899999993</v>
      </c>
      <c r="G458" s="18">
        <f>G185</f>
        <v>150277.30000000002</v>
      </c>
      <c r="H458" s="18">
        <f>H185</f>
        <v>325597.94999999995</v>
      </c>
      <c r="I458" s="18"/>
      <c r="J458" s="18">
        <f>L400</f>
        <v>76247.95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8388163.9899999993</v>
      </c>
      <c r="G460" s="53">
        <f>SUM(G458:G459)</f>
        <v>150277.30000000002</v>
      </c>
      <c r="H460" s="53">
        <f>SUM(H458:H459)</f>
        <v>325597.94999999995</v>
      </c>
      <c r="I460" s="53">
        <f>SUM(I458:I459)</f>
        <v>0</v>
      </c>
      <c r="J460" s="53">
        <f>SUM(J458:J459)</f>
        <v>76247.95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8335911.6999999993</v>
      </c>
      <c r="G462" s="18">
        <f>L354</f>
        <v>134069.81</v>
      </c>
      <c r="H462" s="18">
        <f>L330</f>
        <v>325597.94999999995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8335911.6999999993</v>
      </c>
      <c r="G464" s="53">
        <f>SUM(G462:G463)</f>
        <v>134069.81</v>
      </c>
      <c r="H464" s="53">
        <f>SUM(H462:H463)</f>
        <v>325597.94999999995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370804.77999999933</v>
      </c>
      <c r="G466" s="53">
        <f>(G455+G460)- G464</f>
        <v>34463.770000000019</v>
      </c>
      <c r="H466" s="53">
        <f>(H455+H460)- H464</f>
        <v>0</v>
      </c>
      <c r="I466" s="53">
        <f>(I455+I460)- I464</f>
        <v>0</v>
      </c>
      <c r="J466" s="53">
        <f>(J455+J460)- J464</f>
        <v>191229.09999999998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2460000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5.63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1325000</v>
      </c>
      <c r="G485" s="18"/>
      <c r="H485" s="18"/>
      <c r="I485" s="18"/>
      <c r="J485" s="18"/>
      <c r="K485" s="53">
        <f>SUM(F485:J485)</f>
        <v>1325000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135000</v>
      </c>
      <c r="G487" s="18"/>
      <c r="H487" s="18"/>
      <c r="I487" s="18"/>
      <c r="J487" s="18"/>
      <c r="K487" s="53">
        <f t="shared" si="34"/>
        <v>135000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1190000</v>
      </c>
      <c r="G488" s="205"/>
      <c r="H488" s="205"/>
      <c r="I488" s="205"/>
      <c r="J488" s="205"/>
      <c r="K488" s="206">
        <f t="shared" si="34"/>
        <v>1190000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255587.5</v>
      </c>
      <c r="G489" s="18"/>
      <c r="H489" s="18"/>
      <c r="I489" s="18"/>
      <c r="J489" s="18"/>
      <c r="K489" s="53">
        <f t="shared" si="34"/>
        <v>255587.5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1445587.5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1445587.5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140000</v>
      </c>
      <c r="G491" s="205"/>
      <c r="H491" s="205"/>
      <c r="I491" s="205"/>
      <c r="J491" s="205"/>
      <c r="K491" s="206">
        <f t="shared" si="34"/>
        <v>140000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64400</v>
      </c>
      <c r="G492" s="18"/>
      <c r="H492" s="18"/>
      <c r="I492" s="18"/>
      <c r="J492" s="18"/>
      <c r="K492" s="53">
        <f t="shared" si="34"/>
        <v>64400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204400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204400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F190+F268</f>
        <v>296786.37</v>
      </c>
      <c r="G511" s="18">
        <f t="shared" si="35"/>
        <v>69390.48</v>
      </c>
      <c r="H511" s="18">
        <f t="shared" si="35"/>
        <v>311495.2</v>
      </c>
      <c r="I511" s="18">
        <f t="shared" si="35"/>
        <v>3975.36</v>
      </c>
      <c r="J511" s="18">
        <f t="shared" si="35"/>
        <v>0</v>
      </c>
      <c r="K511" s="18">
        <f t="shared" si="35"/>
        <v>0</v>
      </c>
      <c r="L511" s="88">
        <f>SUM(F511:K511)</f>
        <v>681647.41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6">F226+F307</f>
        <v>0</v>
      </c>
      <c r="G513" s="18">
        <f t="shared" si="36"/>
        <v>0</v>
      </c>
      <c r="H513" s="18">
        <f t="shared" si="36"/>
        <v>196282.56</v>
      </c>
      <c r="I513" s="18">
        <f t="shared" si="36"/>
        <v>0</v>
      </c>
      <c r="J513" s="18">
        <f t="shared" si="36"/>
        <v>0</v>
      </c>
      <c r="K513" s="18">
        <f t="shared" si="36"/>
        <v>0</v>
      </c>
      <c r="L513" s="88">
        <f>SUM(F513:K513)</f>
        <v>196282.56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296786.37</v>
      </c>
      <c r="G514" s="108">
        <f t="shared" ref="G514:L514" si="37">SUM(G511:G513)</f>
        <v>69390.48</v>
      </c>
      <c r="H514" s="108">
        <f t="shared" si="37"/>
        <v>507777.76</v>
      </c>
      <c r="I514" s="108">
        <f t="shared" si="37"/>
        <v>3975.36</v>
      </c>
      <c r="J514" s="108">
        <f t="shared" si="37"/>
        <v>0</v>
      </c>
      <c r="K514" s="108">
        <f t="shared" si="37"/>
        <v>0</v>
      </c>
      <c r="L514" s="89">
        <f t="shared" si="37"/>
        <v>877929.97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 t="shared" ref="F516:K516" si="38">F194+F273</f>
        <v>211352.19999999998</v>
      </c>
      <c r="G516" s="18">
        <f t="shared" si="38"/>
        <v>69699.820000000007</v>
      </c>
      <c r="H516" s="18">
        <f t="shared" si="38"/>
        <v>90905.23000000001</v>
      </c>
      <c r="I516" s="18">
        <f t="shared" si="38"/>
        <v>2437.54</v>
      </c>
      <c r="J516" s="18">
        <f t="shared" si="38"/>
        <v>0</v>
      </c>
      <c r="K516" s="18">
        <f t="shared" si="38"/>
        <v>570</v>
      </c>
      <c r="L516" s="88">
        <f>SUM(F516:K516)</f>
        <v>374964.79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 t="shared" ref="F518:K518" si="39">F273+F230</f>
        <v>19205.490000000002</v>
      </c>
      <c r="G518" s="18">
        <f t="shared" si="39"/>
        <v>2706.8199999999997</v>
      </c>
      <c r="H518" s="18">
        <f t="shared" si="39"/>
        <v>38484</v>
      </c>
      <c r="I518" s="18">
        <f t="shared" si="39"/>
        <v>0</v>
      </c>
      <c r="J518" s="18">
        <f t="shared" si="39"/>
        <v>0</v>
      </c>
      <c r="K518" s="18">
        <f t="shared" si="39"/>
        <v>0</v>
      </c>
      <c r="L518" s="88">
        <f>SUM(F518:K518)</f>
        <v>60396.31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230557.68999999997</v>
      </c>
      <c r="G519" s="89">
        <f t="shared" ref="G519:L519" si="40">SUM(G516:G518)</f>
        <v>72406.640000000014</v>
      </c>
      <c r="H519" s="89">
        <f t="shared" si="40"/>
        <v>129389.23000000001</v>
      </c>
      <c r="I519" s="89">
        <f t="shared" si="40"/>
        <v>2437.54</v>
      </c>
      <c r="J519" s="89">
        <f t="shared" si="40"/>
        <v>0</v>
      </c>
      <c r="K519" s="89">
        <f t="shared" si="40"/>
        <v>570</v>
      </c>
      <c r="L519" s="89">
        <f t="shared" si="40"/>
        <v>435361.1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45120</v>
      </c>
      <c r="G521" s="18">
        <v>15117</v>
      </c>
      <c r="H521" s="18">
        <v>3066.5</v>
      </c>
      <c r="I521" s="18"/>
      <c r="J521" s="18"/>
      <c r="K521" s="18"/>
      <c r="L521" s="88">
        <f>SUM(F521:K521)</f>
        <v>63303.5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12000</v>
      </c>
      <c r="G523" s="18"/>
      <c r="H523" s="18"/>
      <c r="I523" s="18"/>
      <c r="J523" s="18"/>
      <c r="K523" s="18"/>
      <c r="L523" s="88">
        <f>SUM(F523:K523)</f>
        <v>12000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57120</v>
      </c>
      <c r="G524" s="89">
        <f t="shared" ref="G524:L524" si="41">SUM(G521:G523)</f>
        <v>15117</v>
      </c>
      <c r="H524" s="89">
        <f t="shared" si="41"/>
        <v>3066.5</v>
      </c>
      <c r="I524" s="89">
        <f t="shared" si="41"/>
        <v>0</v>
      </c>
      <c r="J524" s="89">
        <f t="shared" si="41"/>
        <v>0</v>
      </c>
      <c r="K524" s="89">
        <f t="shared" si="41"/>
        <v>0</v>
      </c>
      <c r="L524" s="89">
        <f t="shared" si="41"/>
        <v>75303.5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2">SUM(G526:G528)</f>
        <v>0</v>
      </c>
      <c r="H529" s="89">
        <f t="shared" si="42"/>
        <v>0</v>
      </c>
      <c r="I529" s="89">
        <f t="shared" si="42"/>
        <v>0</v>
      </c>
      <c r="J529" s="89">
        <f t="shared" si="42"/>
        <v>0</v>
      </c>
      <c r="K529" s="89">
        <f t="shared" si="42"/>
        <v>0</v>
      </c>
      <c r="L529" s="89">
        <f t="shared" si="42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46345.52</v>
      </c>
      <c r="I531" s="18"/>
      <c r="J531" s="18"/>
      <c r="K531" s="18"/>
      <c r="L531" s="88">
        <f>SUM(F531:K531)</f>
        <v>46345.52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4964.82</v>
      </c>
      <c r="I533" s="18"/>
      <c r="J533" s="18"/>
      <c r="K533" s="18"/>
      <c r="L533" s="88">
        <f>SUM(F533:K533)</f>
        <v>4964.82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3">SUM(G531:G533)</f>
        <v>0</v>
      </c>
      <c r="H534" s="194">
        <f t="shared" si="43"/>
        <v>51310.34</v>
      </c>
      <c r="I534" s="194">
        <f t="shared" si="43"/>
        <v>0</v>
      </c>
      <c r="J534" s="194">
        <f t="shared" si="43"/>
        <v>0</v>
      </c>
      <c r="K534" s="194">
        <f t="shared" si="43"/>
        <v>0</v>
      </c>
      <c r="L534" s="194">
        <f t="shared" si="43"/>
        <v>51310.34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584464.05999999994</v>
      </c>
      <c r="G535" s="89">
        <f t="shared" ref="G535:L535" si="44">G514+G519+G524+G529+G534</f>
        <v>156914.12</v>
      </c>
      <c r="H535" s="89">
        <f t="shared" si="44"/>
        <v>691543.83</v>
      </c>
      <c r="I535" s="89">
        <f t="shared" si="44"/>
        <v>6412.9</v>
      </c>
      <c r="J535" s="89">
        <f t="shared" si="44"/>
        <v>0</v>
      </c>
      <c r="K535" s="89">
        <f t="shared" si="44"/>
        <v>570</v>
      </c>
      <c r="L535" s="89">
        <f t="shared" si="44"/>
        <v>1439904.91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681647.41</v>
      </c>
      <c r="G539" s="87">
        <f>L516</f>
        <v>374964.79</v>
      </c>
      <c r="H539" s="87">
        <f>L521</f>
        <v>63303.5</v>
      </c>
      <c r="I539" s="87">
        <f>L526</f>
        <v>0</v>
      </c>
      <c r="J539" s="87">
        <f>L531</f>
        <v>46345.52</v>
      </c>
      <c r="K539" s="87">
        <f>SUM(F539:J539)</f>
        <v>1166261.22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196282.56</v>
      </c>
      <c r="G541" s="87">
        <f>L518</f>
        <v>60396.31</v>
      </c>
      <c r="H541" s="87">
        <f>L523</f>
        <v>12000</v>
      </c>
      <c r="I541" s="87">
        <f>L528</f>
        <v>0</v>
      </c>
      <c r="J541" s="87">
        <f>L533</f>
        <v>4964.82</v>
      </c>
      <c r="K541" s="87">
        <f>SUM(F541:J541)</f>
        <v>273643.69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5">SUM(F539:F541)</f>
        <v>877929.97</v>
      </c>
      <c r="G542" s="89">
        <f t="shared" si="45"/>
        <v>435361.1</v>
      </c>
      <c r="H542" s="89">
        <f t="shared" si="45"/>
        <v>75303.5</v>
      </c>
      <c r="I542" s="89">
        <f t="shared" si="45"/>
        <v>0</v>
      </c>
      <c r="J542" s="89">
        <f t="shared" si="45"/>
        <v>51310.34</v>
      </c>
      <c r="K542" s="89">
        <f t="shared" si="45"/>
        <v>1439904.91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50000</v>
      </c>
      <c r="G547" s="18">
        <v>8592.41</v>
      </c>
      <c r="H547" s="18">
        <v>13936.35</v>
      </c>
      <c r="I547" s="18">
        <v>984.35</v>
      </c>
      <c r="J547" s="18"/>
      <c r="K547" s="18"/>
      <c r="L547" s="88">
        <f>SUM(F547:K547)</f>
        <v>73513.110000000015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6">SUM(F547:F549)</f>
        <v>50000</v>
      </c>
      <c r="G550" s="108">
        <f t="shared" si="46"/>
        <v>8592.41</v>
      </c>
      <c r="H550" s="108">
        <f t="shared" si="46"/>
        <v>13936.35</v>
      </c>
      <c r="I550" s="108">
        <f t="shared" si="46"/>
        <v>984.35</v>
      </c>
      <c r="J550" s="108">
        <f t="shared" si="46"/>
        <v>0</v>
      </c>
      <c r="K550" s="108">
        <f t="shared" si="46"/>
        <v>0</v>
      </c>
      <c r="L550" s="89">
        <f t="shared" si="46"/>
        <v>73513.110000000015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7">SUM(F552:F554)</f>
        <v>0</v>
      </c>
      <c r="G555" s="89">
        <f t="shared" si="47"/>
        <v>0</v>
      </c>
      <c r="H555" s="89">
        <f t="shared" si="47"/>
        <v>0</v>
      </c>
      <c r="I555" s="89">
        <f t="shared" si="47"/>
        <v>0</v>
      </c>
      <c r="J555" s="89">
        <f t="shared" si="47"/>
        <v>0</v>
      </c>
      <c r="K555" s="89">
        <f t="shared" si="47"/>
        <v>0</v>
      </c>
      <c r="L555" s="89">
        <f t="shared" si="47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8">SUM(G557:G559)</f>
        <v>0</v>
      </c>
      <c r="H560" s="194">
        <f t="shared" si="48"/>
        <v>0</v>
      </c>
      <c r="I560" s="194">
        <f t="shared" si="48"/>
        <v>0</v>
      </c>
      <c r="J560" s="194">
        <f t="shared" si="48"/>
        <v>0</v>
      </c>
      <c r="K560" s="194">
        <f t="shared" si="48"/>
        <v>0</v>
      </c>
      <c r="L560" s="194">
        <f t="shared" si="48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50000</v>
      </c>
      <c r="G561" s="89">
        <f t="shared" ref="G561:L561" si="49">G550+G555+G560</f>
        <v>8592.41</v>
      </c>
      <c r="H561" s="89">
        <f t="shared" si="49"/>
        <v>13936.35</v>
      </c>
      <c r="I561" s="89">
        <f t="shared" si="49"/>
        <v>984.35</v>
      </c>
      <c r="J561" s="89">
        <f t="shared" si="49"/>
        <v>0</v>
      </c>
      <c r="K561" s="89">
        <f t="shared" si="49"/>
        <v>0</v>
      </c>
      <c r="L561" s="89">
        <f t="shared" si="49"/>
        <v>73513.110000000015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2539736.66</v>
      </c>
      <c r="I565" s="87">
        <f>SUM(F565:H565)</f>
        <v>2539736.66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50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50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50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3258.2</v>
      </c>
      <c r="G569" s="18"/>
      <c r="H569" s="18">
        <v>62499.97</v>
      </c>
      <c r="I569" s="87">
        <f t="shared" si="50"/>
        <v>65758.17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50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50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166597.32</v>
      </c>
      <c r="G572" s="18"/>
      <c r="H572" s="18">
        <v>9354.02</v>
      </c>
      <c r="I572" s="87">
        <f t="shared" si="50"/>
        <v>175951.34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121563.68</v>
      </c>
      <c r="G573" s="18"/>
      <c r="H573" s="18"/>
      <c r="I573" s="87">
        <f t="shared" si="50"/>
        <v>121563.68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50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50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50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50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222296.76</v>
      </c>
      <c r="I581" s="18"/>
      <c r="J581" s="18">
        <v>74098.92</v>
      </c>
      <c r="K581" s="104">
        <f t="shared" ref="K581:K587" si="51">SUM(H581:J581)</f>
        <v>296395.68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46345.52</v>
      </c>
      <c r="I582" s="18"/>
      <c r="J582" s="18">
        <v>4964.82</v>
      </c>
      <c r="K582" s="104">
        <f t="shared" si="51"/>
        <v>51310.34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51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8278.15</v>
      </c>
      <c r="I584" s="18"/>
      <c r="J584" s="18"/>
      <c r="K584" s="104">
        <f t="shared" si="51"/>
        <v>8278.15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8974.25</v>
      </c>
      <c r="I585" s="18"/>
      <c r="J585" s="18"/>
      <c r="K585" s="104">
        <f t="shared" si="51"/>
        <v>8974.25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51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51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285894.68000000005</v>
      </c>
      <c r="I588" s="108">
        <f>SUM(I581:I587)</f>
        <v>0</v>
      </c>
      <c r="J588" s="108">
        <f>SUM(J581:J587)</f>
        <v>79063.739999999991</v>
      </c>
      <c r="K588" s="108">
        <f>SUM(K581:K587)</f>
        <v>364958.42000000004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119082.35</v>
      </c>
      <c r="I594" s="18"/>
      <c r="J594" s="18"/>
      <c r="K594" s="104">
        <f>SUM(H594:J594)</f>
        <v>119082.35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119082.35</v>
      </c>
      <c r="I595" s="108">
        <f>SUM(I592:I594)</f>
        <v>0</v>
      </c>
      <c r="J595" s="108">
        <f>SUM(J592:J594)</f>
        <v>0</v>
      </c>
      <c r="K595" s="108">
        <f>SUM(K592:K594)</f>
        <v>119082.35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38448.18</v>
      </c>
      <c r="G601" s="18">
        <v>6867.78</v>
      </c>
      <c r="H601" s="18">
        <v>3000</v>
      </c>
      <c r="I601" s="18">
        <v>264.01</v>
      </c>
      <c r="J601" s="18"/>
      <c r="K601" s="18"/>
      <c r="L601" s="88">
        <f>SUM(F601:K601)</f>
        <v>48579.97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2">SUM(F601:F603)</f>
        <v>38448.18</v>
      </c>
      <c r="G604" s="108">
        <f t="shared" si="52"/>
        <v>6867.78</v>
      </c>
      <c r="H604" s="108">
        <f t="shared" si="52"/>
        <v>3000</v>
      </c>
      <c r="I604" s="108">
        <f t="shared" si="52"/>
        <v>264.01</v>
      </c>
      <c r="J604" s="108">
        <f t="shared" si="52"/>
        <v>0</v>
      </c>
      <c r="K604" s="108">
        <f t="shared" si="52"/>
        <v>0</v>
      </c>
      <c r="L604" s="89">
        <f t="shared" si="52"/>
        <v>48579.97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1907327.85</v>
      </c>
      <c r="H607" s="109">
        <f>SUM(F44)</f>
        <v>1907327.8500000003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40341.310000000005</v>
      </c>
      <c r="H608" s="109">
        <f>SUM(G44)</f>
        <v>40341.31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121936.64</v>
      </c>
      <c r="H609" s="109">
        <f>SUM(H44)</f>
        <v>121936.64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191229.1</v>
      </c>
      <c r="H611" s="109">
        <f>SUM(J44)</f>
        <v>191229.1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370804.78</v>
      </c>
      <c r="H612" s="109">
        <f>F466</f>
        <v>370804.77999999933</v>
      </c>
      <c r="I612" s="121" t="s">
        <v>106</v>
      </c>
      <c r="J612" s="109">
        <f t="shared" ref="J612:J645" si="53">G612-H612</f>
        <v>6.9849193096160889E-10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34463.769999999997</v>
      </c>
      <c r="H613" s="109">
        <f>G466</f>
        <v>34463.770000000019</v>
      </c>
      <c r="I613" s="121" t="s">
        <v>108</v>
      </c>
      <c r="J613" s="109">
        <f t="shared" si="53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53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3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191229.1</v>
      </c>
      <c r="H616" s="109">
        <f>J466</f>
        <v>191229.09999999998</v>
      </c>
      <c r="I616" s="140" t="s">
        <v>114</v>
      </c>
      <c r="J616" s="109">
        <f t="shared" si="53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8388163.9899999993</v>
      </c>
      <c r="H617" s="104">
        <f>SUM(F458)</f>
        <v>8388163.9899999993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150277.30000000002</v>
      </c>
      <c r="H618" s="104">
        <f>SUM(G458)</f>
        <v>150277.30000000002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325597.94999999995</v>
      </c>
      <c r="H619" s="104">
        <f>SUM(H458)</f>
        <v>325597.94999999995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76247.95</v>
      </c>
      <c r="H621" s="104">
        <f>SUM(J458)</f>
        <v>76247.95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8335911.6999999993</v>
      </c>
      <c r="H622" s="104">
        <f>SUM(F462)</f>
        <v>8335911.6999999993</v>
      </c>
      <c r="I622" s="140" t="s">
        <v>120</v>
      </c>
      <c r="J622" s="109">
        <f t="shared" si="53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325597.94999999995</v>
      </c>
      <c r="H623" s="104">
        <f>SUM(H462)</f>
        <v>325597.94999999995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64501.38</v>
      </c>
      <c r="H624" s="104">
        <f>I361</f>
        <v>64501.38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134069.81</v>
      </c>
      <c r="H625" s="104">
        <f>SUM(G462)</f>
        <v>134069.81</v>
      </c>
      <c r="I625" s="140" t="s">
        <v>123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53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76247.95</v>
      </c>
      <c r="H627" s="164">
        <f>SUM(J458)</f>
        <v>76247.95</v>
      </c>
      <c r="I627" s="165" t="s">
        <v>119</v>
      </c>
      <c r="J627" s="151">
        <f t="shared" si="53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53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25495.84</v>
      </c>
      <c r="H629" s="104">
        <f>SUM(F451)</f>
        <v>25495.84</v>
      </c>
      <c r="I629" s="140" t="s">
        <v>128</v>
      </c>
      <c r="J629" s="109">
        <f t="shared" si="53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154205.01</v>
      </c>
      <c r="H630" s="104">
        <f>SUM(G451)</f>
        <v>154205.01</v>
      </c>
      <c r="I630" s="140" t="s">
        <v>130</v>
      </c>
      <c r="J630" s="109">
        <f t="shared" si="53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11528.25</v>
      </c>
      <c r="H631" s="104">
        <f>SUM(H451)</f>
        <v>11528.25</v>
      </c>
      <c r="I631" s="140" t="s">
        <v>132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191229.1</v>
      </c>
      <c r="H632" s="104">
        <f>SUM(I451)</f>
        <v>191229.1</v>
      </c>
      <c r="I632" s="140" t="s">
        <v>134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3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4807.95</v>
      </c>
      <c r="H634" s="104">
        <f>H400</f>
        <v>4807.95</v>
      </c>
      <c r="I634" s="140" t="s">
        <v>504</v>
      </c>
      <c r="J634" s="109">
        <f t="shared" si="53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71440</v>
      </c>
      <c r="H635" s="104">
        <f>G400</f>
        <v>71440</v>
      </c>
      <c r="I635" s="140" t="s">
        <v>505</v>
      </c>
      <c r="J635" s="109">
        <f t="shared" si="53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76247.95</v>
      </c>
      <c r="H636" s="104">
        <f>L400</f>
        <v>76247.95</v>
      </c>
      <c r="I636" s="140" t="s">
        <v>501</v>
      </c>
      <c r="J636" s="109">
        <f t="shared" si="53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364958.42000000004</v>
      </c>
      <c r="H637" s="104">
        <f>L200+L218+L236</f>
        <v>364958.42</v>
      </c>
      <c r="I637" s="140" t="s">
        <v>420</v>
      </c>
      <c r="J637" s="109">
        <f t="shared" si="53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119082.35</v>
      </c>
      <c r="H638" s="104">
        <f>(J249+J330)-(J247+J328)</f>
        <v>119082.34999999998</v>
      </c>
      <c r="I638" s="140" t="s">
        <v>734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285894.68</v>
      </c>
      <c r="H639" s="104">
        <f>H588</f>
        <v>285894.68000000005</v>
      </c>
      <c r="I639" s="140" t="s">
        <v>412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79063.740000000005</v>
      </c>
      <c r="H641" s="104">
        <f>J588</f>
        <v>79063.739999999991</v>
      </c>
      <c r="I641" s="140" t="s">
        <v>414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61393</v>
      </c>
      <c r="H642" s="104">
        <f>K255+K337</f>
        <v>61393</v>
      </c>
      <c r="I642" s="140" t="s">
        <v>421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71440</v>
      </c>
      <c r="H645" s="104">
        <f>K258+K339</f>
        <v>71440</v>
      </c>
      <c r="I645" s="140" t="s">
        <v>424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5452535.9999999991</v>
      </c>
      <c r="G650" s="19">
        <f>(L221+L301+L351)</f>
        <v>0</v>
      </c>
      <c r="H650" s="19">
        <f>(L239+L320+L352)</f>
        <v>3002937.9600000004</v>
      </c>
      <c r="I650" s="19">
        <f>SUM(F650:H650)</f>
        <v>8455473.959999999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48984.830000000009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48984.830000000009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288894.68</v>
      </c>
      <c r="G652" s="19">
        <f>(L218+L298)-(J218+J298)</f>
        <v>0</v>
      </c>
      <c r="H652" s="19">
        <f>(L236+L317)-(J236+J317)</f>
        <v>79063.740000000005</v>
      </c>
      <c r="I652" s="19">
        <f>SUM(F652:H652)</f>
        <v>367958.42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459081.52</v>
      </c>
      <c r="G653" s="200">
        <f>SUM(G565:G577)+SUM(I592:I594)+L602</f>
        <v>0</v>
      </c>
      <c r="H653" s="200">
        <f>SUM(H565:H577)+SUM(J592:J594)+L603</f>
        <v>2611590.6500000004</v>
      </c>
      <c r="I653" s="19">
        <f>SUM(F653:H653)</f>
        <v>3070672.1700000004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4655574.9699999988</v>
      </c>
      <c r="G654" s="19">
        <f>G650-SUM(G651:G653)</f>
        <v>0</v>
      </c>
      <c r="H654" s="19">
        <f>H650-SUM(H651:H653)</f>
        <v>312283.56999999983</v>
      </c>
      <c r="I654" s="19">
        <f>I650-SUM(I651:I653)</f>
        <v>4967858.5399999991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382.13</v>
      </c>
      <c r="G655" s="249"/>
      <c r="H655" s="249"/>
      <c r="I655" s="19">
        <f>SUM(F655:H655)</f>
        <v>382.13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12183.22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13000.44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-312283.57</v>
      </c>
      <c r="I659" s="19">
        <f>SUM(F659:H659)</f>
        <v>-312283.57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12183.22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12183.22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9F6B-7F28-4516-9707-105C337D46BF}">
  <sheetPr>
    <tabColor indexed="20"/>
  </sheetPr>
  <dimension ref="A1:C52"/>
  <sheetViews>
    <sheetView topLeftCell="A15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GILMANTON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1745984.5699999998</v>
      </c>
      <c r="C9" s="230">
        <f>'DOE25'!G189+'DOE25'!G207+'DOE25'!G225+'DOE25'!G268+'DOE25'!G287+'DOE25'!G306</f>
        <v>579548.73</v>
      </c>
    </row>
    <row r="10" spans="1:3" x14ac:dyDescent="0.2">
      <c r="A10" t="s">
        <v>813</v>
      </c>
      <c r="B10" s="241">
        <f>1390993.76-7583.44</f>
        <v>1383410.32</v>
      </c>
      <c r="C10" s="241">
        <v>471910.91</v>
      </c>
    </row>
    <row r="11" spans="1:3" x14ac:dyDescent="0.2">
      <c r="A11" t="s">
        <v>814</v>
      </c>
      <c r="B11" s="241">
        <v>309664.07</v>
      </c>
      <c r="C11" s="241">
        <v>103590.19</v>
      </c>
    </row>
    <row r="12" spans="1:3" x14ac:dyDescent="0.2">
      <c r="A12" t="s">
        <v>815</v>
      </c>
      <c r="B12" s="241">
        <v>52910.18</v>
      </c>
      <c r="C12" s="241">
        <v>4047.63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1745984.57</v>
      </c>
      <c r="C13" s="232">
        <f>SUM(C10:C12)</f>
        <v>579548.73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192882.1</v>
      </c>
      <c r="C18" s="230">
        <f>'DOE25'!G190+'DOE25'!G208+'DOE25'!G226+'DOE25'!G269+'DOE25'!G288+'DOE25'!G307</f>
        <v>66741.820000000007</v>
      </c>
    </row>
    <row r="19" spans="1:3" x14ac:dyDescent="0.2">
      <c r="A19" t="s">
        <v>813</v>
      </c>
      <c r="B19" s="241">
        <v>124907.5</v>
      </c>
      <c r="C19" s="241">
        <v>43382.19</v>
      </c>
    </row>
    <row r="20" spans="1:3" x14ac:dyDescent="0.2">
      <c r="A20" t="s">
        <v>814</v>
      </c>
      <c r="B20" s="241">
        <v>67974.600000000006</v>
      </c>
      <c r="C20" s="241">
        <v>23359.63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192882.1</v>
      </c>
      <c r="C22" s="232">
        <f>SUM(C19:C21)</f>
        <v>66741.820000000007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27050</v>
      </c>
      <c r="C36" s="236">
        <f>'DOE25'!G192+'DOE25'!G210+'DOE25'!G228+'DOE25'!G271+'DOE25'!G290+'DOE25'!G309</f>
        <v>9355</v>
      </c>
    </row>
    <row r="37" spans="1:3" x14ac:dyDescent="0.2">
      <c r="A37" t="s">
        <v>813</v>
      </c>
      <c r="B37" s="241">
        <v>24250</v>
      </c>
      <c r="C37" s="241">
        <v>8902.64</v>
      </c>
    </row>
    <row r="38" spans="1:3" x14ac:dyDescent="0.2">
      <c r="A38" t="s">
        <v>814</v>
      </c>
      <c r="B38" s="241">
        <v>2600</v>
      </c>
      <c r="C38" s="241">
        <v>437.06</v>
      </c>
    </row>
    <row r="39" spans="1:3" x14ac:dyDescent="0.2">
      <c r="A39" t="s">
        <v>815</v>
      </c>
      <c r="B39" s="241">
        <v>200</v>
      </c>
      <c r="C39" s="241">
        <v>15.3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27050</v>
      </c>
      <c r="C40" s="232">
        <f>SUM(C37:C39)</f>
        <v>9354.9999999999982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86E4-7E74-4412-9B3E-FCC723F27B78}">
  <sheetPr>
    <tabColor indexed="11"/>
  </sheetPr>
  <dimension ref="A1:I51"/>
  <sheetViews>
    <sheetView workbookViewId="0">
      <pane ySplit="4" topLeftCell="A22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GILMANTON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5843130.6899999995</v>
      </c>
      <c r="D5" s="20">
        <f>SUM('DOE25'!L189:L192)+SUM('DOE25'!L207:L210)+SUM('DOE25'!L225:L228)-F5-G5</f>
        <v>5830272.7199999997</v>
      </c>
      <c r="E5" s="244"/>
      <c r="F5" s="256">
        <f>SUM('DOE25'!J189:J192)+SUM('DOE25'!J207:J210)+SUM('DOE25'!J225:J228)</f>
        <v>3008.97</v>
      </c>
      <c r="G5" s="53">
        <f>SUM('DOE25'!K189:K192)+SUM('DOE25'!K207:K210)+SUM('DOE25'!K225:K228)</f>
        <v>9849</v>
      </c>
      <c r="H5" s="260"/>
    </row>
    <row r="6" spans="1:9" x14ac:dyDescent="0.2">
      <c r="A6" s="32">
        <v>2100</v>
      </c>
      <c r="B6" t="s">
        <v>835</v>
      </c>
      <c r="C6" s="246">
        <f t="shared" si="0"/>
        <v>314568.48</v>
      </c>
      <c r="D6" s="20">
        <f>'DOE25'!L194+'DOE25'!L212+'DOE25'!L230-F6-G6</f>
        <v>313998.48</v>
      </c>
      <c r="E6" s="244"/>
      <c r="F6" s="256">
        <f>'DOE25'!J194+'DOE25'!J212+'DOE25'!J230</f>
        <v>0</v>
      </c>
      <c r="G6" s="53">
        <f>'DOE25'!K194+'DOE25'!K212+'DOE25'!K230</f>
        <v>570</v>
      </c>
      <c r="H6" s="260"/>
    </row>
    <row r="7" spans="1:9" x14ac:dyDescent="0.2">
      <c r="A7" s="32">
        <v>2200</v>
      </c>
      <c r="B7" t="s">
        <v>868</v>
      </c>
      <c r="C7" s="246">
        <f t="shared" si="0"/>
        <v>303518.94</v>
      </c>
      <c r="D7" s="20">
        <f>'DOE25'!L195+'DOE25'!L213+'DOE25'!L231-F7-G7</f>
        <v>232669.75</v>
      </c>
      <c r="E7" s="244"/>
      <c r="F7" s="256">
        <f>'DOE25'!J195+'DOE25'!J213+'DOE25'!J231</f>
        <v>70849.189999999988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106935.49999999996</v>
      </c>
      <c r="D8" s="244"/>
      <c r="E8" s="20">
        <f>'DOE25'!L196+'DOE25'!L214+'DOE25'!L232-F8-G8-D9-D11</f>
        <v>93575.729999999952</v>
      </c>
      <c r="F8" s="256">
        <f>'DOE25'!J196+'DOE25'!J214+'DOE25'!J232</f>
        <v>4904</v>
      </c>
      <c r="G8" s="53">
        <f>'DOE25'!K196+'DOE25'!K214+'DOE25'!K232</f>
        <v>8455.77</v>
      </c>
      <c r="H8" s="260"/>
    </row>
    <row r="9" spans="1:9" x14ac:dyDescent="0.2">
      <c r="A9" s="32">
        <v>2310</v>
      </c>
      <c r="B9" t="s">
        <v>852</v>
      </c>
      <c r="C9" s="246">
        <f t="shared" si="0"/>
        <v>32764.82</v>
      </c>
      <c r="D9" s="245">
        <v>32764.82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10069.5</v>
      </c>
      <c r="D10" s="244"/>
      <c r="E10" s="245">
        <v>10069.5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153923.15</v>
      </c>
      <c r="D11" s="245">
        <v>153923.15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301703.22000000003</v>
      </c>
      <c r="D12" s="20">
        <f>'DOE25'!L197+'DOE25'!L215+'DOE25'!L233-F12-G12</f>
        <v>296969.99000000005</v>
      </c>
      <c r="E12" s="244"/>
      <c r="F12" s="256">
        <f>'DOE25'!J197+'DOE25'!J215+'DOE25'!J233</f>
        <v>0</v>
      </c>
      <c r="G12" s="53">
        <f>'DOE25'!K197+'DOE25'!K215+'DOE25'!K233</f>
        <v>4733.2299999999996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107979.95</v>
      </c>
      <c r="D13" s="244"/>
      <c r="E13" s="20">
        <f>'DOE25'!L198+'DOE25'!L216+'DOE25'!L234-F13-G13</f>
        <v>103232.95</v>
      </c>
      <c r="F13" s="256">
        <f>'DOE25'!J198+'DOE25'!J216+'DOE25'!J234</f>
        <v>2927</v>
      </c>
      <c r="G13" s="53">
        <f>'DOE25'!K198+'DOE25'!K216+'DOE25'!K234</f>
        <v>1820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466323.03</v>
      </c>
      <c r="D14" s="20">
        <f>'DOE25'!L199+'DOE25'!L217+'DOE25'!L235-F14-G14</f>
        <v>455552.38</v>
      </c>
      <c r="E14" s="244"/>
      <c r="F14" s="256">
        <f>'DOE25'!J199+'DOE25'!J217+'DOE25'!J235</f>
        <v>10770.65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364958.42</v>
      </c>
      <c r="D15" s="20">
        <f>'DOE25'!L200+'DOE25'!L218+'DOE25'!L236-F15-G15</f>
        <v>364958.42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207272.5</v>
      </c>
      <c r="D25" s="244"/>
      <c r="E25" s="244"/>
      <c r="F25" s="259"/>
      <c r="G25" s="257"/>
      <c r="H25" s="258">
        <f>'DOE25'!L252+'DOE25'!L253+'DOE25'!L333+'DOE25'!L334</f>
        <v>207272.5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76789.279999999999</v>
      </c>
      <c r="D29" s="20">
        <f>'DOE25'!L350+'DOE25'!L351+'DOE25'!L352-'DOE25'!I359-F29-G29</f>
        <v>73069.11</v>
      </c>
      <c r="E29" s="244"/>
      <c r="F29" s="256">
        <f>'DOE25'!J350+'DOE25'!J351+'DOE25'!J352</f>
        <v>3720.17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325597.94999999995</v>
      </c>
      <c r="D31" s="20">
        <f>'DOE25'!L282+'DOE25'!L301+'DOE25'!L320+'DOE25'!L325+'DOE25'!L326+'DOE25'!L327-F31-G31</f>
        <v>298975.40999999997</v>
      </c>
      <c r="E31" s="244"/>
      <c r="F31" s="256">
        <f>'DOE25'!J282+'DOE25'!J301+'DOE25'!J320+'DOE25'!J325+'DOE25'!J326+'DOE25'!J327</f>
        <v>26622.54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8053154.2300000004</v>
      </c>
      <c r="E33" s="247">
        <f>SUM(E5:E31)</f>
        <v>206878.17999999993</v>
      </c>
      <c r="F33" s="247">
        <f>SUM(F5:F31)</f>
        <v>122802.51999999999</v>
      </c>
      <c r="G33" s="247">
        <f>SUM(G5:G31)</f>
        <v>25428</v>
      </c>
      <c r="H33" s="247">
        <f>SUM(H5:H31)</f>
        <v>207272.5</v>
      </c>
    </row>
    <row r="35" spans="2:8" ht="12" thickBot="1" x14ac:dyDescent="0.25">
      <c r="B35" s="254" t="s">
        <v>881</v>
      </c>
      <c r="D35" s="255">
        <f>E33</f>
        <v>206878.17999999993</v>
      </c>
      <c r="E35" s="250"/>
    </row>
    <row r="36" spans="2:8" ht="12" thickTop="1" x14ac:dyDescent="0.2">
      <c r="B36" t="s">
        <v>849</v>
      </c>
      <c r="D36" s="20">
        <f>D33</f>
        <v>8053154.2300000004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CB6A-8190-4D0A-9B02-687C58F298C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GILMANTON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1712902.48</v>
      </c>
      <c r="D9" s="95">
        <f>'DOE25'!G9</f>
        <v>75</v>
      </c>
      <c r="E9" s="95">
        <f>'DOE25'!H9</f>
        <v>0</v>
      </c>
      <c r="F9" s="95">
        <f>'DOE25'!I9</f>
        <v>0</v>
      </c>
      <c r="G9" s="95">
        <f>'DOE25'!J9</f>
        <v>191229.1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120817.25</v>
      </c>
      <c r="D12" s="95">
        <f>'DOE25'!G12</f>
        <v>36783.870000000003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73437.62</v>
      </c>
      <c r="D13" s="95">
        <f>'DOE25'!G13</f>
        <v>2924.84</v>
      </c>
      <c r="E13" s="95">
        <f>'DOE25'!H13</f>
        <v>121936.64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170.5</v>
      </c>
      <c r="D14" s="95">
        <f>'DOE25'!G14</f>
        <v>557.6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1907327.85</v>
      </c>
      <c r="D19" s="41">
        <f>SUM(D9:D18)</f>
        <v>40341.310000000005</v>
      </c>
      <c r="E19" s="41">
        <f>SUM(E9:E18)</f>
        <v>121936.64</v>
      </c>
      <c r="F19" s="41">
        <f>SUM(F9:F18)</f>
        <v>0</v>
      </c>
      <c r="G19" s="41">
        <f>SUM(G9:G18)</f>
        <v>191229.1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36783.870000000003</v>
      </c>
      <c r="D22" s="95">
        <f>'DOE25'!G23</f>
        <v>0</v>
      </c>
      <c r="E22" s="95">
        <f>'DOE25'!H23</f>
        <v>120817.25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1239588.5</v>
      </c>
      <c r="D23" s="95">
        <f>'DOE25'!G24</f>
        <v>0</v>
      </c>
      <c r="E23" s="95">
        <f>'DOE25'!H24</f>
        <v>764.75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80951.839999999997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179198.86</v>
      </c>
      <c r="D25" s="95">
        <f>'DOE25'!G26</f>
        <v>5454.35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423.19</v>
      </c>
      <c r="E30" s="95">
        <f>'DOE25'!H31</f>
        <v>354.64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1536523.0700000003</v>
      </c>
      <c r="D32" s="41">
        <f>SUM(D22:D31)</f>
        <v>5877.54</v>
      </c>
      <c r="E32" s="41">
        <f>SUM(E22:E31)</f>
        <v>121936.64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141747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34463.769999999997</v>
      </c>
      <c r="E40" s="95">
        <f>'DOE25'!H41</f>
        <v>0</v>
      </c>
      <c r="F40" s="95">
        <f>'DOE25'!I41</f>
        <v>0</v>
      </c>
      <c r="G40" s="95">
        <f>'DOE25'!J41</f>
        <v>191229.1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229057.78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370804.78</v>
      </c>
      <c r="D42" s="41">
        <f>SUM(D34:D41)</f>
        <v>34463.769999999997</v>
      </c>
      <c r="E42" s="41">
        <f>SUM(E34:E41)</f>
        <v>0</v>
      </c>
      <c r="F42" s="41">
        <f>SUM(F34:F41)</f>
        <v>0</v>
      </c>
      <c r="G42" s="41">
        <f>SUM(G34:G41)</f>
        <v>191229.1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1907327.8500000003</v>
      </c>
      <c r="D43" s="41">
        <f>D42+D32</f>
        <v>40341.31</v>
      </c>
      <c r="E43" s="41">
        <f>E42+E32</f>
        <v>121936.64</v>
      </c>
      <c r="F43" s="41">
        <f>F42+F32</f>
        <v>0</v>
      </c>
      <c r="G43" s="41">
        <f>G42+G32</f>
        <v>191229.1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5964263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8980.59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4807.95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46667.290000000008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105.23</v>
      </c>
      <c r="D53" s="95">
        <f>SUM('DOE25'!G90:G102)</f>
        <v>2317.54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9085.82</v>
      </c>
      <c r="D54" s="130">
        <f>SUM(D49:D53)</f>
        <v>48984.830000000009</v>
      </c>
      <c r="E54" s="130">
        <f>SUM(E49:E53)</f>
        <v>0</v>
      </c>
      <c r="F54" s="130">
        <f>SUM(F49:F53)</f>
        <v>0</v>
      </c>
      <c r="G54" s="130">
        <f>SUM(G49:G53)</f>
        <v>4807.95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5973348.8200000003</v>
      </c>
      <c r="D55" s="22">
        <f>D48+D54</f>
        <v>48984.830000000009</v>
      </c>
      <c r="E55" s="22">
        <f>E48+E54</f>
        <v>0</v>
      </c>
      <c r="F55" s="22">
        <f>F48+F54</f>
        <v>0</v>
      </c>
      <c r="G55" s="22">
        <f>G48+G54</f>
        <v>4807.95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775046.52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1147562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297360.48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2219969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48613.61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140385.75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1597.25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188999.36</v>
      </c>
      <c r="D70" s="130">
        <f>SUM(D64:D69)</f>
        <v>1597.25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2408968.36</v>
      </c>
      <c r="D73" s="130">
        <f>SUM(D71:D72)+D70+D62</f>
        <v>1597.25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22279.1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5846.81</v>
      </c>
      <c r="D80" s="95">
        <f>SUM('DOE25'!G145:G153)</f>
        <v>38302.22</v>
      </c>
      <c r="E80" s="95">
        <f>SUM('DOE25'!H145:H153)</f>
        <v>303318.84999999998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5846.81</v>
      </c>
      <c r="D83" s="131">
        <f>SUM(D77:D82)</f>
        <v>38302.22</v>
      </c>
      <c r="E83" s="131">
        <f>SUM(E77:E82)</f>
        <v>325597.94999999995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61393</v>
      </c>
      <c r="E88" s="95">
        <f>'DOE25'!H171</f>
        <v>0</v>
      </c>
      <c r="F88" s="95">
        <f>'DOE25'!I171</f>
        <v>0</v>
      </c>
      <c r="G88" s="95">
        <f>'DOE25'!J171</f>
        <v>71440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61393</v>
      </c>
      <c r="E95" s="86">
        <f>SUM(E85:E94)</f>
        <v>0</v>
      </c>
      <c r="F95" s="86">
        <f>SUM(F85:F94)</f>
        <v>0</v>
      </c>
      <c r="G95" s="86">
        <f>SUM(G85:G94)</f>
        <v>71440</v>
      </c>
    </row>
    <row r="96" spans="1:7" ht="12.75" thickTop="1" thickBot="1" x14ac:dyDescent="0.25">
      <c r="A96" s="33" t="s">
        <v>797</v>
      </c>
      <c r="C96" s="86">
        <f>C55+C73+C83+C95</f>
        <v>8388163.9899999993</v>
      </c>
      <c r="D96" s="86">
        <f>D55+D73+D83+D95</f>
        <v>150277.30000000002</v>
      </c>
      <c r="E96" s="86">
        <f>E55+E73+E83+E95</f>
        <v>325597.94999999995</v>
      </c>
      <c r="F96" s="86">
        <f>F55+F73+F83+F95</f>
        <v>0</v>
      </c>
      <c r="G96" s="86">
        <f>G55+G73+G95</f>
        <v>76247.95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5032988.2699999996</v>
      </c>
      <c r="D101" s="24" t="s">
        <v>312</v>
      </c>
      <c r="E101" s="95">
        <f>('DOE25'!L268)+('DOE25'!L287)+('DOE25'!L306)</f>
        <v>125391.23999999999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752538.73</v>
      </c>
      <c r="D102" s="24" t="s">
        <v>312</v>
      </c>
      <c r="E102" s="95">
        <f>('DOE25'!L269)+('DOE25'!L288)+('DOE25'!L307)</f>
        <v>17436.829999999998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57603.69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5843130.6900000004</v>
      </c>
      <c r="D107" s="86">
        <f>SUM(D101:D106)</f>
        <v>0</v>
      </c>
      <c r="E107" s="86">
        <f>SUM(E101:E106)</f>
        <v>142828.06999999998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314568.48</v>
      </c>
      <c r="D110" s="24" t="s">
        <v>312</v>
      </c>
      <c r="E110" s="95">
        <f>+('DOE25'!L273)+('DOE25'!L292)+('DOE25'!L311)</f>
        <v>60396.31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303518.94</v>
      </c>
      <c r="D111" s="24" t="s">
        <v>312</v>
      </c>
      <c r="E111" s="95">
        <f>+('DOE25'!L274)+('DOE25'!L293)+('DOE25'!L312)</f>
        <v>107073.57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293623.46999999997</v>
      </c>
      <c r="D112" s="24" t="s">
        <v>312</v>
      </c>
      <c r="E112" s="95">
        <f>+('DOE25'!L275)+('DOE25'!L294)+('DOE25'!L313)</f>
        <v>12000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301703.22000000003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107979.95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466323.03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364958.42</v>
      </c>
      <c r="D116" s="24" t="s">
        <v>312</v>
      </c>
      <c r="E116" s="95">
        <f>+('DOE25'!L279)+('DOE25'!L298)+('DOE25'!L317)</f>
        <v>3000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300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134069.81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2152675.5099999998</v>
      </c>
      <c r="D120" s="86">
        <f>SUM(D110:D119)</f>
        <v>134069.81</v>
      </c>
      <c r="E120" s="86">
        <f>SUM(E110:E119)</f>
        <v>182769.88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135000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72272.5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61393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14627.75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61620.2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-4807.9499999999971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340105.5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8335911.7000000002</v>
      </c>
      <c r="D137" s="86">
        <f>(D107+D120+D136)</f>
        <v>134069.81</v>
      </c>
      <c r="E137" s="86">
        <f>(E107+E120+E136)</f>
        <v>325597.94999999995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02/17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2460000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5.63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1325000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1325000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135000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135000</v>
      </c>
    </row>
    <row r="151" spans="1:7" x14ac:dyDescent="0.2">
      <c r="A151" s="22" t="s">
        <v>35</v>
      </c>
      <c r="B151" s="137">
        <f>'DOE25'!F488</f>
        <v>1190000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1190000</v>
      </c>
    </row>
    <row r="152" spans="1:7" x14ac:dyDescent="0.2">
      <c r="A152" s="22" t="s">
        <v>36</v>
      </c>
      <c r="B152" s="137">
        <f>'DOE25'!F489</f>
        <v>255587.5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255587.5</v>
      </c>
    </row>
    <row r="153" spans="1:7" x14ac:dyDescent="0.2">
      <c r="A153" s="22" t="s">
        <v>37</v>
      </c>
      <c r="B153" s="137">
        <f>'DOE25'!F490</f>
        <v>1445587.5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1445587.5</v>
      </c>
    </row>
    <row r="154" spans="1:7" x14ac:dyDescent="0.2">
      <c r="A154" s="22" t="s">
        <v>38</v>
      </c>
      <c r="B154" s="137">
        <f>'DOE25'!F491</f>
        <v>140000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140000</v>
      </c>
    </row>
    <row r="155" spans="1:7" x14ac:dyDescent="0.2">
      <c r="A155" s="22" t="s">
        <v>39</v>
      </c>
      <c r="B155" s="137">
        <f>'DOE25'!F492</f>
        <v>64400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64400</v>
      </c>
    </row>
    <row r="156" spans="1:7" x14ac:dyDescent="0.2">
      <c r="A156" s="22" t="s">
        <v>269</v>
      </c>
      <c r="B156" s="137">
        <f>'DOE25'!F493</f>
        <v>204400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204400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5E71-A881-4CAB-87A9-B2764C9A9443}">
  <sheetPr codeName="Sheet3">
    <tabColor indexed="43"/>
  </sheetPr>
  <dimension ref="A1:D42"/>
  <sheetViews>
    <sheetView topLeftCell="A9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GILMANTON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12183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12183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5158380</v>
      </c>
      <c r="D10" s="182">
        <f>ROUND((C10/$C$28)*100,1)</f>
        <v>60.8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769976</v>
      </c>
      <c r="D11" s="182">
        <f>ROUND((C11/$C$28)*100,1)</f>
        <v>9.1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57604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374965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410593</v>
      </c>
      <c r="D16" s="182">
        <f t="shared" si="0"/>
        <v>4.8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305923</v>
      </c>
      <c r="D17" s="182">
        <f t="shared" si="0"/>
        <v>3.6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301703</v>
      </c>
      <c r="D18" s="182">
        <f t="shared" si="0"/>
        <v>3.6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107980</v>
      </c>
      <c r="D19" s="182">
        <f t="shared" si="0"/>
        <v>1.3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466323</v>
      </c>
      <c r="D20" s="182">
        <f t="shared" si="0"/>
        <v>5.5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367958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72273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85085.169999999984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8478763.1699999999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8478763.1699999999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135000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5964263</v>
      </c>
      <c r="D35" s="182">
        <f t="shared" ref="D35:D40" si="1">ROUND((C35/$C$41)*100,1)</f>
        <v>68.099999999999994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13893.770000000484</v>
      </c>
      <c r="D36" s="182">
        <f t="shared" si="1"/>
        <v>0.2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1922609</v>
      </c>
      <c r="D37" s="182">
        <f t="shared" si="1"/>
        <v>22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487957</v>
      </c>
      <c r="D38" s="182">
        <f t="shared" si="1"/>
        <v>5.6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369747</v>
      </c>
      <c r="D39" s="182">
        <f t="shared" si="1"/>
        <v>4.2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8758469.7699999996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B89B-ADF6-4B7D-8B19-1A5DED72131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GILMANTON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2010-11-04T16:30:11Z</cp:lastPrinted>
  <dcterms:created xsi:type="dcterms:W3CDTF">1997-12-04T19:04:30Z</dcterms:created>
  <dcterms:modified xsi:type="dcterms:W3CDTF">2025-01-09T20:03:14Z</dcterms:modified>
</cp:coreProperties>
</file>