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B31B88A1-DF7A-4F3E-BB27-FED346DA9A8C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C8043EBA-84C2-4C07-BB7C-DDA70C2B24C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9" i="1"/>
  <c r="I41" i="1"/>
  <c r="I9" i="1"/>
  <c r="I19" i="1" s="1"/>
  <c r="G610" i="1" s="1"/>
  <c r="J610" i="1" s="1"/>
  <c r="I455" i="1"/>
  <c r="J350" i="1"/>
  <c r="F29" i="13" s="1"/>
  <c r="G9" i="1"/>
  <c r="D9" i="2" s="1"/>
  <c r="D19" i="2" s="1"/>
  <c r="G601" i="1"/>
  <c r="F601" i="1"/>
  <c r="J581" i="1"/>
  <c r="I581" i="1"/>
  <c r="H581" i="1"/>
  <c r="K513" i="1"/>
  <c r="J513" i="1"/>
  <c r="I513" i="1"/>
  <c r="K512" i="1"/>
  <c r="J512" i="1"/>
  <c r="I512" i="1"/>
  <c r="G512" i="1"/>
  <c r="K511" i="1"/>
  <c r="K514" i="1" s="1"/>
  <c r="K535" i="1" s="1"/>
  <c r="J511" i="1"/>
  <c r="J514" i="1" s="1"/>
  <c r="J535" i="1" s="1"/>
  <c r="I511" i="1"/>
  <c r="I514" i="1" s="1"/>
  <c r="I535" i="1" s="1"/>
  <c r="H235" i="1"/>
  <c r="I235" i="1"/>
  <c r="L235" i="1" s="1"/>
  <c r="I233" i="1"/>
  <c r="H231" i="1"/>
  <c r="I228" i="1"/>
  <c r="H227" i="1"/>
  <c r="J225" i="1"/>
  <c r="J239" i="1" s="1"/>
  <c r="J594" i="1" s="1"/>
  <c r="J595" i="1" s="1"/>
  <c r="I225" i="1"/>
  <c r="I239" i="1" s="1"/>
  <c r="H225" i="1"/>
  <c r="H239" i="1" s="1"/>
  <c r="H218" i="1"/>
  <c r="L218" i="1" s="1"/>
  <c r="J217" i="1"/>
  <c r="I217" i="1"/>
  <c r="H217" i="1"/>
  <c r="J207" i="1"/>
  <c r="F5" i="13" s="1"/>
  <c r="I207" i="1"/>
  <c r="I221" i="1" s="1"/>
  <c r="H207" i="1"/>
  <c r="I199" i="1"/>
  <c r="H199" i="1"/>
  <c r="I189" i="1"/>
  <c r="I203" i="1" s="1"/>
  <c r="J199" i="1"/>
  <c r="J203" i="1" s="1"/>
  <c r="H197" i="1"/>
  <c r="H195" i="1"/>
  <c r="H189" i="1"/>
  <c r="H194" i="1"/>
  <c r="J189" i="1"/>
  <c r="G189" i="1"/>
  <c r="H190" i="1"/>
  <c r="H203" i="1" s="1"/>
  <c r="F42" i="1"/>
  <c r="F9" i="1"/>
  <c r="F37" i="1"/>
  <c r="F31" i="1"/>
  <c r="F33" i="1" s="1"/>
  <c r="F44" i="1" s="1"/>
  <c r="H607" i="1" s="1"/>
  <c r="G488" i="1"/>
  <c r="F488" i="1"/>
  <c r="B151" i="2" s="1"/>
  <c r="G151" i="2" s="1"/>
  <c r="F102" i="1"/>
  <c r="C53" i="2" s="1"/>
  <c r="F152" i="1"/>
  <c r="H371" i="1"/>
  <c r="H147" i="1"/>
  <c r="H146" i="1"/>
  <c r="G150" i="1"/>
  <c r="D80" i="2" s="1"/>
  <c r="D83" i="2" s="1"/>
  <c r="G89" i="1"/>
  <c r="D52" i="2" s="1"/>
  <c r="G352" i="1"/>
  <c r="F352" i="1"/>
  <c r="G351" i="1"/>
  <c r="F351" i="1"/>
  <c r="G350" i="1"/>
  <c r="G354" i="1" s="1"/>
  <c r="F350" i="1"/>
  <c r="L350" i="1" s="1"/>
  <c r="I352" i="1"/>
  <c r="H352" i="1"/>
  <c r="K351" i="1"/>
  <c r="J351" i="1"/>
  <c r="I351" i="1"/>
  <c r="I354" i="1" s="1"/>
  <c r="G624" i="1" s="1"/>
  <c r="H351" i="1"/>
  <c r="K350" i="1"/>
  <c r="G29" i="13" s="1"/>
  <c r="I350" i="1"/>
  <c r="H350" i="1"/>
  <c r="G307" i="1"/>
  <c r="G269" i="1"/>
  <c r="G282" i="1" s="1"/>
  <c r="F269" i="1"/>
  <c r="F282" i="1" s="1"/>
  <c r="G274" i="1"/>
  <c r="F274" i="1"/>
  <c r="L274" i="1" s="1"/>
  <c r="G288" i="1"/>
  <c r="F307" i="1"/>
  <c r="F320" i="1" s="1"/>
  <c r="H274" i="1"/>
  <c r="H282" i="1" s="1"/>
  <c r="H330" i="1" s="1"/>
  <c r="H344" i="1" s="1"/>
  <c r="I274" i="1"/>
  <c r="I268" i="1"/>
  <c r="K315" i="1"/>
  <c r="I312" i="1"/>
  <c r="G312" i="1"/>
  <c r="F312" i="1"/>
  <c r="L312" i="1" s="1"/>
  <c r="G311" i="1"/>
  <c r="L311" i="1" s="1"/>
  <c r="F311" i="1"/>
  <c r="I306" i="1"/>
  <c r="I293" i="1"/>
  <c r="F288" i="1"/>
  <c r="K296" i="1"/>
  <c r="K301" i="1" s="1"/>
  <c r="K277" i="1"/>
  <c r="G237" i="1"/>
  <c r="L237" i="1" s="1"/>
  <c r="H236" i="1"/>
  <c r="F233" i="1"/>
  <c r="F232" i="1"/>
  <c r="F217" i="1"/>
  <c r="L217" i="1" s="1"/>
  <c r="G215" i="1"/>
  <c r="L215" i="1" s="1"/>
  <c r="F213" i="1"/>
  <c r="G213" i="1"/>
  <c r="F210" i="1"/>
  <c r="F208" i="1"/>
  <c r="F512" i="1" s="1"/>
  <c r="L512" i="1" s="1"/>
  <c r="F540" i="1" s="1"/>
  <c r="K540" i="1" s="1"/>
  <c r="F207" i="1"/>
  <c r="L207" i="1" s="1"/>
  <c r="K253" i="1"/>
  <c r="K252" i="1"/>
  <c r="K262" i="1" s="1"/>
  <c r="H200" i="1"/>
  <c r="G199" i="1"/>
  <c r="F197" i="1"/>
  <c r="F194" i="1"/>
  <c r="L194" i="1" s="1"/>
  <c r="F189" i="1"/>
  <c r="L189" i="1" s="1"/>
  <c r="J235" i="1"/>
  <c r="G235" i="1"/>
  <c r="F235" i="1"/>
  <c r="H233" i="1"/>
  <c r="L233" i="1" s="1"/>
  <c r="G231" i="1"/>
  <c r="F231" i="1"/>
  <c r="L231" i="1" s="1"/>
  <c r="I230" i="1"/>
  <c r="L230" i="1" s="1"/>
  <c r="H230" i="1"/>
  <c r="G226" i="1"/>
  <c r="G513" i="1" s="1"/>
  <c r="F226" i="1"/>
  <c r="F513" i="1" s="1"/>
  <c r="G225" i="1"/>
  <c r="F225" i="1"/>
  <c r="L225" i="1" s="1"/>
  <c r="G219" i="1"/>
  <c r="G217" i="1"/>
  <c r="H215" i="1"/>
  <c r="H213" i="1"/>
  <c r="L213" i="1" s="1"/>
  <c r="I212" i="1"/>
  <c r="H212" i="1"/>
  <c r="L212" i="1" s="1"/>
  <c r="I208" i="1"/>
  <c r="H208" i="1"/>
  <c r="H512" i="1" s="1"/>
  <c r="G208" i="1"/>
  <c r="G207" i="1"/>
  <c r="F199" i="1"/>
  <c r="L199" i="1" s="1"/>
  <c r="G197" i="1"/>
  <c r="L197" i="1" s="1"/>
  <c r="F196" i="1"/>
  <c r="J195" i="1"/>
  <c r="I195" i="1"/>
  <c r="G195" i="1"/>
  <c r="F195" i="1"/>
  <c r="L195" i="1" s="1"/>
  <c r="I194" i="1"/>
  <c r="H192" i="1"/>
  <c r="L192" i="1" s="1"/>
  <c r="G192" i="1"/>
  <c r="F192" i="1"/>
  <c r="I190" i="1"/>
  <c r="G190" i="1"/>
  <c r="C18" i="12" s="1"/>
  <c r="F190" i="1"/>
  <c r="B18" i="12" s="1"/>
  <c r="H232" i="1"/>
  <c r="G232" i="1"/>
  <c r="H245" i="1"/>
  <c r="G228" i="1"/>
  <c r="F228" i="1"/>
  <c r="H226" i="1"/>
  <c r="L226" i="1" s="1"/>
  <c r="H214" i="1"/>
  <c r="L214" i="1" s="1"/>
  <c r="G214" i="1"/>
  <c r="F214" i="1"/>
  <c r="K214" i="1"/>
  <c r="I214" i="1"/>
  <c r="G210" i="1"/>
  <c r="C36" i="12" s="1"/>
  <c r="H196" i="1"/>
  <c r="G196" i="1"/>
  <c r="L196" i="1" s="1"/>
  <c r="K196" i="1"/>
  <c r="I196" i="1"/>
  <c r="C60" i="2"/>
  <c r="C62" i="2" s="1"/>
  <c r="C73" i="2" s="1"/>
  <c r="B2" i="13"/>
  <c r="F8" i="13"/>
  <c r="G8" i="13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G5" i="13"/>
  <c r="L191" i="1"/>
  <c r="C103" i="2" s="1"/>
  <c r="L209" i="1"/>
  <c r="L210" i="1"/>
  <c r="L227" i="1"/>
  <c r="L228" i="1"/>
  <c r="F6" i="13"/>
  <c r="G6" i="13"/>
  <c r="F7" i="13"/>
  <c r="G7" i="13"/>
  <c r="F12" i="13"/>
  <c r="G12" i="13"/>
  <c r="F14" i="13"/>
  <c r="G14" i="13"/>
  <c r="F15" i="13"/>
  <c r="G15" i="13"/>
  <c r="L200" i="1"/>
  <c r="L236" i="1"/>
  <c r="G641" i="1" s="1"/>
  <c r="J641" i="1" s="1"/>
  <c r="F17" i="13"/>
  <c r="G17" i="13"/>
  <c r="L243" i="1"/>
  <c r="D17" i="13"/>
  <c r="F18" i="13"/>
  <c r="G18" i="13"/>
  <c r="L244" i="1"/>
  <c r="D18" i="13" s="1"/>
  <c r="C18" i="13" s="1"/>
  <c r="F19" i="13"/>
  <c r="G19" i="13"/>
  <c r="L245" i="1"/>
  <c r="D19" i="13" s="1"/>
  <c r="C19" i="13" s="1"/>
  <c r="L351" i="1"/>
  <c r="L352" i="1"/>
  <c r="I359" i="1"/>
  <c r="I361" i="1" s="1"/>
  <c r="H624" i="1" s="1"/>
  <c r="J282" i="1"/>
  <c r="J301" i="1"/>
  <c r="J320" i="1"/>
  <c r="F31" i="13"/>
  <c r="K282" i="1"/>
  <c r="K320" i="1"/>
  <c r="L268" i="1"/>
  <c r="E101" i="2" s="1"/>
  <c r="L270" i="1"/>
  <c r="E103" i="2" s="1"/>
  <c r="L271" i="1"/>
  <c r="L273" i="1"/>
  <c r="L275" i="1"/>
  <c r="L276" i="1"/>
  <c r="E113" i="2" s="1"/>
  <c r="L277" i="1"/>
  <c r="L278" i="1"/>
  <c r="L279" i="1"/>
  <c r="L280" i="1"/>
  <c r="L287" i="1"/>
  <c r="L288" i="1"/>
  <c r="L289" i="1"/>
  <c r="L290" i="1"/>
  <c r="L292" i="1"/>
  <c r="L293" i="1"/>
  <c r="L294" i="1"/>
  <c r="E112" i="2" s="1"/>
  <c r="L295" i="1"/>
  <c r="L297" i="1"/>
  <c r="L298" i="1"/>
  <c r="L299" i="1"/>
  <c r="L306" i="1"/>
  <c r="L307" i="1"/>
  <c r="L308" i="1"/>
  <c r="L309" i="1"/>
  <c r="L313" i="1"/>
  <c r="L314" i="1"/>
  <c r="L315" i="1"/>
  <c r="L316" i="1"/>
  <c r="L317" i="1"/>
  <c r="E116" i="2" s="1"/>
  <c r="L318" i="1"/>
  <c r="L325" i="1"/>
  <c r="E106" i="2" s="1"/>
  <c r="L326" i="1"/>
  <c r="L327" i="1"/>
  <c r="L252" i="1"/>
  <c r="H25" i="13" s="1"/>
  <c r="L253" i="1"/>
  <c r="C124" i="2" s="1"/>
  <c r="L333" i="1"/>
  <c r="L334" i="1"/>
  <c r="L247" i="1"/>
  <c r="C122" i="2" s="1"/>
  <c r="L328" i="1"/>
  <c r="F22" i="13" s="1"/>
  <c r="C22" i="13" s="1"/>
  <c r="C17" i="13"/>
  <c r="C11" i="13"/>
  <c r="C10" i="13"/>
  <c r="C9" i="13"/>
  <c r="L353" i="1"/>
  <c r="B4" i="12"/>
  <c r="B36" i="12"/>
  <c r="B40" i="12"/>
  <c r="C40" i="12"/>
  <c r="B27" i="12"/>
  <c r="C27" i="12"/>
  <c r="A31" i="12" s="1"/>
  <c r="B31" i="12"/>
  <c r="C31" i="12"/>
  <c r="B13" i="12"/>
  <c r="C9" i="12"/>
  <c r="C13" i="12"/>
  <c r="B22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 s="1"/>
  <c r="C132" i="2" s="1"/>
  <c r="L258" i="1"/>
  <c r="J52" i="1"/>
  <c r="G48" i="2"/>
  <c r="G51" i="2"/>
  <c r="G54" i="2" s="1"/>
  <c r="G55" i="2" s="1"/>
  <c r="G53" i="2"/>
  <c r="F2" i="11"/>
  <c r="L603" i="1"/>
  <c r="H653" i="1" s="1"/>
  <c r="L602" i="1"/>
  <c r="L604" i="1" s="1"/>
  <c r="L601" i="1"/>
  <c r="C40" i="10"/>
  <c r="F52" i="1"/>
  <c r="C48" i="2" s="1"/>
  <c r="G52" i="1"/>
  <c r="D48" i="2" s="1"/>
  <c r="H52" i="1"/>
  <c r="I52" i="1"/>
  <c r="I104" i="1" s="1"/>
  <c r="F71" i="1"/>
  <c r="F86" i="1"/>
  <c r="C50" i="2" s="1"/>
  <c r="H71" i="1"/>
  <c r="H104" i="1" s="1"/>
  <c r="H86" i="1"/>
  <c r="E50" i="2" s="1"/>
  <c r="H103" i="1"/>
  <c r="I103" i="1"/>
  <c r="J103" i="1"/>
  <c r="J104" i="1" s="1"/>
  <c r="C37" i="10"/>
  <c r="F113" i="1"/>
  <c r="F128" i="1"/>
  <c r="F132" i="1"/>
  <c r="G113" i="1"/>
  <c r="G132" i="1" s="1"/>
  <c r="G128" i="1"/>
  <c r="H113" i="1"/>
  <c r="H128" i="1"/>
  <c r="H132" i="1"/>
  <c r="I113" i="1"/>
  <c r="I128" i="1"/>
  <c r="I132" i="1" s="1"/>
  <c r="J113" i="1"/>
  <c r="J128" i="1"/>
  <c r="J132" i="1"/>
  <c r="F139" i="1"/>
  <c r="F161" i="1" s="1"/>
  <c r="F154" i="1"/>
  <c r="G139" i="1"/>
  <c r="G154" i="1"/>
  <c r="G161" i="1" s="1"/>
  <c r="H139" i="1"/>
  <c r="H161" i="1" s="1"/>
  <c r="H154" i="1"/>
  <c r="I139" i="1"/>
  <c r="I154" i="1"/>
  <c r="I161" i="1"/>
  <c r="L242" i="1"/>
  <c r="C23" i="10" s="1"/>
  <c r="L324" i="1"/>
  <c r="L246" i="1"/>
  <c r="L260" i="1"/>
  <c r="C26" i="10" s="1"/>
  <c r="L261" i="1"/>
  <c r="C135" i="2" s="1"/>
  <c r="L341" i="1"/>
  <c r="L342" i="1"/>
  <c r="I655" i="1"/>
  <c r="I660" i="1"/>
  <c r="F652" i="1"/>
  <c r="H652" i="1"/>
  <c r="I659" i="1"/>
  <c r="C42" i="10"/>
  <c r="L366" i="1"/>
  <c r="L374" i="1" s="1"/>
  <c r="L367" i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6" i="1"/>
  <c r="L519" i="1" s="1"/>
  <c r="G539" i="1"/>
  <c r="G542" i="1" s="1"/>
  <c r="L517" i="1"/>
  <c r="G540" i="1"/>
  <c r="L518" i="1"/>
  <c r="G541" i="1"/>
  <c r="L521" i="1"/>
  <c r="L524" i="1" s="1"/>
  <c r="H539" i="1"/>
  <c r="L522" i="1"/>
  <c r="H540" i="1"/>
  <c r="L523" i="1"/>
  <c r="H541" i="1"/>
  <c r="H542" i="1"/>
  <c r="L526" i="1"/>
  <c r="I539" i="1"/>
  <c r="L527" i="1"/>
  <c r="I540" i="1"/>
  <c r="L528" i="1"/>
  <c r="L529" i="1" s="1"/>
  <c r="I541" i="1"/>
  <c r="I542" i="1"/>
  <c r="L531" i="1"/>
  <c r="J539" i="1"/>
  <c r="L532" i="1"/>
  <c r="J540" i="1"/>
  <c r="J542" i="1" s="1"/>
  <c r="L533" i="1"/>
  <c r="J541" i="1" s="1"/>
  <c r="E124" i="2"/>
  <c r="E123" i="2"/>
  <c r="J262" i="1"/>
  <c r="I262" i="1"/>
  <c r="H262" i="1"/>
  <c r="L262" i="1" s="1"/>
  <c r="G262" i="1"/>
  <c r="F262" i="1"/>
  <c r="A1" i="2"/>
  <c r="A2" i="2"/>
  <c r="C9" i="2"/>
  <c r="C19" i="2" s="1"/>
  <c r="E9" i="2"/>
  <c r="E19" i="2" s="1"/>
  <c r="I431" i="1"/>
  <c r="I438" i="1" s="1"/>
  <c r="G632" i="1" s="1"/>
  <c r="J9" i="1"/>
  <c r="G9" i="2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C32" i="2" s="1"/>
  <c r="D22" i="2"/>
  <c r="D32" i="2" s="1"/>
  <c r="E22" i="2"/>
  <c r="F22" i="2"/>
  <c r="I440" i="1"/>
  <c r="J23" i="1" s="1"/>
  <c r="C23" i="2"/>
  <c r="D23" i="2"/>
  <c r="E23" i="2"/>
  <c r="F23" i="2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F32" i="2" s="1"/>
  <c r="F43" i="2" s="1"/>
  <c r="C27" i="2"/>
  <c r="F27" i="2"/>
  <c r="C28" i="2"/>
  <c r="D28" i="2"/>
  <c r="E28" i="2"/>
  <c r="E32" i="2" s="1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D42" i="2" s="1"/>
  <c r="D43" i="2" s="1"/>
  <c r="E35" i="2"/>
  <c r="F35" i="2"/>
  <c r="C36" i="2"/>
  <c r="D36" i="2"/>
  <c r="E36" i="2"/>
  <c r="F36" i="2"/>
  <c r="I446" i="1"/>
  <c r="I450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C42" i="2" s="1"/>
  <c r="C43" i="2" s="1"/>
  <c r="D40" i="2"/>
  <c r="E40" i="2"/>
  <c r="F40" i="2"/>
  <c r="I449" i="1"/>
  <c r="J41" i="1"/>
  <c r="G40" i="2"/>
  <c r="C41" i="2"/>
  <c r="D41" i="2"/>
  <c r="E41" i="2"/>
  <c r="F41" i="2"/>
  <c r="E42" i="2"/>
  <c r="E43" i="2" s="1"/>
  <c r="E48" i="2"/>
  <c r="F48" i="2"/>
  <c r="C49" i="2"/>
  <c r="C54" i="2" s="1"/>
  <c r="E49" i="2"/>
  <c r="E54" i="2" s="1"/>
  <c r="E55" i="2" s="1"/>
  <c r="C51" i="2"/>
  <c r="D51" i="2"/>
  <c r="D54" i="2" s="1"/>
  <c r="E51" i="2"/>
  <c r="F51" i="2"/>
  <c r="D53" i="2"/>
  <c r="E53" i="2"/>
  <c r="F53" i="2"/>
  <c r="F54" i="2"/>
  <c r="F55" i="2"/>
  <c r="C58" i="2"/>
  <c r="C59" i="2"/>
  <c r="C61" i="2"/>
  <c r="D61" i="2"/>
  <c r="D62" i="2"/>
  <c r="E61" i="2"/>
  <c r="F61" i="2"/>
  <c r="F62" i="2" s="1"/>
  <c r="G61" i="2"/>
  <c r="E62" i="2"/>
  <c r="G62" i="2"/>
  <c r="G73" i="2" s="1"/>
  <c r="C64" i="2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F70" i="2"/>
  <c r="C71" i="2"/>
  <c r="D71" i="2"/>
  <c r="E71" i="2"/>
  <c r="C72" i="2"/>
  <c r="E72" i="2"/>
  <c r="D77" i="2"/>
  <c r="E77" i="2"/>
  <c r="E83" i="2" s="1"/>
  <c r="F77" i="2"/>
  <c r="F83" i="2" s="1"/>
  <c r="C79" i="2"/>
  <c r="E79" i="2"/>
  <c r="F79" i="2"/>
  <c r="C80" i="2"/>
  <c r="E80" i="2"/>
  <c r="F80" i="2"/>
  <c r="C81" i="2"/>
  <c r="D81" i="2"/>
  <c r="E81" i="2"/>
  <c r="F81" i="2"/>
  <c r="C82" i="2"/>
  <c r="C85" i="2"/>
  <c r="F85" i="2"/>
  <c r="C86" i="2"/>
  <c r="C95" i="2" s="1"/>
  <c r="F86" i="2"/>
  <c r="F95" i="2" s="1"/>
  <c r="D88" i="2"/>
  <c r="E88" i="2"/>
  <c r="F88" i="2"/>
  <c r="G88" i="2"/>
  <c r="G95" i="2" s="1"/>
  <c r="C89" i="2"/>
  <c r="D89" i="2"/>
  <c r="D95" i="2" s="1"/>
  <c r="E89" i="2"/>
  <c r="F89" i="2"/>
  <c r="G89" i="2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4" i="2"/>
  <c r="E105" i="2"/>
  <c r="D107" i="2"/>
  <c r="F107" i="2"/>
  <c r="G107" i="2"/>
  <c r="G137" i="2" s="1"/>
  <c r="E115" i="2"/>
  <c r="E117" i="2"/>
  <c r="F120" i="2"/>
  <c r="G120" i="2"/>
  <c r="E122" i="2"/>
  <c r="E136" i="2" s="1"/>
  <c r="F122" i="2"/>
  <c r="F136" i="2" s="1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/>
  <c r="E129" i="2"/>
  <c r="C134" i="2"/>
  <c r="E134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C151" i="2"/>
  <c r="D151" i="2"/>
  <c r="E151" i="2"/>
  <c r="F151" i="2"/>
  <c r="B152" i="2"/>
  <c r="G152" i="2" s="1"/>
  <c r="C152" i="2"/>
  <c r="D152" i="2"/>
  <c r="E152" i="2"/>
  <c r="F152" i="2"/>
  <c r="G490" i="1"/>
  <c r="C153" i="2" s="1"/>
  <c r="H490" i="1"/>
  <c r="D153" i="2" s="1"/>
  <c r="I490" i="1"/>
  <c r="E153" i="2"/>
  <c r="J490" i="1"/>
  <c r="F153" i="2"/>
  <c r="B154" i="2"/>
  <c r="C154" i="2"/>
  <c r="D154" i="2"/>
  <c r="E154" i="2"/>
  <c r="G154" i="2" s="1"/>
  <c r="F154" i="2"/>
  <c r="B155" i="2"/>
  <c r="C155" i="2"/>
  <c r="D155" i="2"/>
  <c r="E155" i="2"/>
  <c r="G155" i="2" s="1"/>
  <c r="F155" i="2"/>
  <c r="F493" i="1"/>
  <c r="B156" i="2"/>
  <c r="G493" i="1"/>
  <c r="C156" i="2"/>
  <c r="H493" i="1"/>
  <c r="D156" i="2"/>
  <c r="I493" i="1"/>
  <c r="E156" i="2" s="1"/>
  <c r="J493" i="1"/>
  <c r="F156" i="2" s="1"/>
  <c r="F19" i="1"/>
  <c r="G607" i="1" s="1"/>
  <c r="G19" i="1"/>
  <c r="H19" i="1"/>
  <c r="G609" i="1" s="1"/>
  <c r="J609" i="1" s="1"/>
  <c r="G33" i="1"/>
  <c r="H33" i="1"/>
  <c r="I33" i="1"/>
  <c r="F43" i="1"/>
  <c r="G43" i="1"/>
  <c r="G44" i="1" s="1"/>
  <c r="H608" i="1" s="1"/>
  <c r="J608" i="1" s="1"/>
  <c r="H43" i="1"/>
  <c r="H44" i="1" s="1"/>
  <c r="H609" i="1" s="1"/>
  <c r="I43" i="1"/>
  <c r="G615" i="1" s="1"/>
  <c r="I44" i="1"/>
  <c r="F169" i="1"/>
  <c r="I169" i="1"/>
  <c r="I184" i="1" s="1"/>
  <c r="F175" i="1"/>
  <c r="G175" i="1"/>
  <c r="G184" i="1" s="1"/>
  <c r="H175" i="1"/>
  <c r="H184" i="1" s="1"/>
  <c r="I175" i="1"/>
  <c r="J175" i="1"/>
  <c r="G635" i="1" s="1"/>
  <c r="J635" i="1" s="1"/>
  <c r="F180" i="1"/>
  <c r="G180" i="1"/>
  <c r="H180" i="1"/>
  <c r="I180" i="1"/>
  <c r="F184" i="1"/>
  <c r="G203" i="1"/>
  <c r="K203" i="1"/>
  <c r="K249" i="1" s="1"/>
  <c r="K263" i="1" s="1"/>
  <c r="H221" i="1"/>
  <c r="K221" i="1"/>
  <c r="G239" i="1"/>
  <c r="K239" i="1"/>
  <c r="F248" i="1"/>
  <c r="L248" i="1" s="1"/>
  <c r="G248" i="1"/>
  <c r="H248" i="1"/>
  <c r="I248" i="1"/>
  <c r="J248" i="1"/>
  <c r="K248" i="1"/>
  <c r="I282" i="1"/>
  <c r="F301" i="1"/>
  <c r="G301" i="1"/>
  <c r="H301" i="1"/>
  <c r="I301" i="1"/>
  <c r="H320" i="1"/>
  <c r="I320" i="1"/>
  <c r="I330" i="1" s="1"/>
  <c r="I344" i="1" s="1"/>
  <c r="F329" i="1"/>
  <c r="G329" i="1"/>
  <c r="H329" i="1"/>
  <c r="I329" i="1"/>
  <c r="J329" i="1"/>
  <c r="K329" i="1"/>
  <c r="L329" i="1"/>
  <c r="J330" i="1"/>
  <c r="J344" i="1" s="1"/>
  <c r="H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G399" i="1"/>
  <c r="H399" i="1"/>
  <c r="I399" i="1"/>
  <c r="F400" i="1"/>
  <c r="H633" i="1" s="1"/>
  <c r="J633" i="1" s="1"/>
  <c r="G400" i="1"/>
  <c r="L405" i="1"/>
  <c r="L406" i="1"/>
  <c r="L411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I426" i="1"/>
  <c r="J426" i="1"/>
  <c r="F438" i="1"/>
  <c r="G438" i="1"/>
  <c r="H438" i="1"/>
  <c r="G631" i="1" s="1"/>
  <c r="J631" i="1" s="1"/>
  <c r="F444" i="1"/>
  <c r="F451" i="1" s="1"/>
  <c r="H629" i="1" s="1"/>
  <c r="J629" i="1" s="1"/>
  <c r="G444" i="1"/>
  <c r="G451" i="1" s="1"/>
  <c r="H630" i="1" s="1"/>
  <c r="H444" i="1"/>
  <c r="F450" i="1"/>
  <c r="G450" i="1"/>
  <c r="H450" i="1"/>
  <c r="H451" i="1" s="1"/>
  <c r="H631" i="1" s="1"/>
  <c r="J460" i="1"/>
  <c r="J466" i="1" s="1"/>
  <c r="H616" i="1" s="1"/>
  <c r="J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G550" i="1"/>
  <c r="H550" i="1"/>
  <c r="I550" i="1"/>
  <c r="I561" i="1" s="1"/>
  <c r="J550" i="1"/>
  <c r="J561" i="1" s="1"/>
  <c r="K550" i="1"/>
  <c r="K561" i="1" s="1"/>
  <c r="L552" i="1"/>
  <c r="L553" i="1"/>
  <c r="L554" i="1"/>
  <c r="L555" i="1" s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G561" i="1" s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J588" i="1"/>
  <c r="K588" i="1"/>
  <c r="G637" i="1" s="1"/>
  <c r="K592" i="1"/>
  <c r="K593" i="1"/>
  <c r="F604" i="1"/>
  <c r="G604" i="1"/>
  <c r="H604" i="1"/>
  <c r="I604" i="1"/>
  <c r="J604" i="1"/>
  <c r="K604" i="1"/>
  <c r="G608" i="1"/>
  <c r="H610" i="1"/>
  <c r="G612" i="1"/>
  <c r="G613" i="1"/>
  <c r="G614" i="1"/>
  <c r="H621" i="1"/>
  <c r="H627" i="1"/>
  <c r="H628" i="1"/>
  <c r="G629" i="1"/>
  <c r="G630" i="1"/>
  <c r="G633" i="1"/>
  <c r="G634" i="1"/>
  <c r="H635" i="1"/>
  <c r="G639" i="1"/>
  <c r="H639" i="1"/>
  <c r="J639" i="1"/>
  <c r="H640" i="1"/>
  <c r="H641" i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F42" i="2"/>
  <c r="C70" i="2"/>
  <c r="L426" i="1" l="1"/>
  <c r="G628" i="1" s="1"/>
  <c r="J628" i="1" s="1"/>
  <c r="G156" i="2"/>
  <c r="G19" i="2"/>
  <c r="C133" i="2"/>
  <c r="C112" i="2"/>
  <c r="C17" i="10"/>
  <c r="E8" i="13"/>
  <c r="E111" i="2"/>
  <c r="F33" i="13"/>
  <c r="C38" i="10"/>
  <c r="C39" i="10"/>
  <c r="D55" i="2"/>
  <c r="D96" i="2" s="1"/>
  <c r="I185" i="1"/>
  <c r="E96" i="2"/>
  <c r="C55" i="2"/>
  <c r="A22" i="12"/>
  <c r="C113" i="2"/>
  <c r="C18" i="10"/>
  <c r="D12" i="13"/>
  <c r="C12" i="13" s="1"/>
  <c r="L239" i="1"/>
  <c r="C101" i="2"/>
  <c r="C10" i="10"/>
  <c r="E110" i="2"/>
  <c r="L320" i="1"/>
  <c r="F330" i="1"/>
  <c r="F344" i="1" s="1"/>
  <c r="D29" i="13"/>
  <c r="C29" i="13" s="1"/>
  <c r="F651" i="1"/>
  <c r="D119" i="2"/>
  <c r="D120" i="2" s="1"/>
  <c r="D137" i="2" s="1"/>
  <c r="G651" i="1"/>
  <c r="H651" i="1"/>
  <c r="L354" i="1"/>
  <c r="C116" i="2"/>
  <c r="G640" i="1"/>
  <c r="J640" i="1" s="1"/>
  <c r="G652" i="1"/>
  <c r="I652" i="1" s="1"/>
  <c r="H637" i="1"/>
  <c r="J637" i="1" s="1"/>
  <c r="C21" i="10"/>
  <c r="D15" i="13"/>
  <c r="C15" i="13" s="1"/>
  <c r="F73" i="2"/>
  <c r="I462" i="1"/>
  <c r="G626" i="1"/>
  <c r="D14" i="13"/>
  <c r="C14" i="13" s="1"/>
  <c r="C115" i="2"/>
  <c r="C20" i="10"/>
  <c r="C110" i="2"/>
  <c r="C15" i="10"/>
  <c r="D6" i="13"/>
  <c r="C6" i="13" s="1"/>
  <c r="J185" i="1"/>
  <c r="H594" i="1"/>
  <c r="J607" i="1"/>
  <c r="F96" i="2"/>
  <c r="J33" i="1"/>
  <c r="G22" i="2"/>
  <c r="G32" i="2" s="1"/>
  <c r="I249" i="1"/>
  <c r="I263" i="1" s="1"/>
  <c r="C130" i="2"/>
  <c r="L400" i="1"/>
  <c r="J634" i="1"/>
  <c r="F137" i="2"/>
  <c r="A40" i="12"/>
  <c r="H33" i="13"/>
  <c r="C25" i="13"/>
  <c r="K330" i="1"/>
  <c r="K344" i="1" s="1"/>
  <c r="C104" i="2"/>
  <c r="C13" i="10"/>
  <c r="H185" i="1"/>
  <c r="J630" i="1"/>
  <c r="G96" i="2"/>
  <c r="C111" i="2"/>
  <c r="D7" i="13"/>
  <c r="C7" i="13" s="1"/>
  <c r="C16" i="10"/>
  <c r="J624" i="1"/>
  <c r="H249" i="1"/>
  <c r="H263" i="1" s="1"/>
  <c r="F203" i="1"/>
  <c r="F354" i="1"/>
  <c r="G320" i="1"/>
  <c r="G330" i="1" s="1"/>
  <c r="G344" i="1" s="1"/>
  <c r="F490" i="1"/>
  <c r="F9" i="2"/>
  <c r="F19" i="2" s="1"/>
  <c r="C32" i="10"/>
  <c r="B9" i="12"/>
  <c r="A13" i="12" s="1"/>
  <c r="L208" i="1"/>
  <c r="L221" i="1" s="1"/>
  <c r="I444" i="1"/>
  <c r="I451" i="1" s="1"/>
  <c r="H632" i="1" s="1"/>
  <c r="J632" i="1" s="1"/>
  <c r="J221" i="1"/>
  <c r="I594" i="1" s="1"/>
  <c r="I595" i="1" s="1"/>
  <c r="J19" i="1"/>
  <c r="G611" i="1" s="1"/>
  <c r="C114" i="2"/>
  <c r="F511" i="1"/>
  <c r="F239" i="1"/>
  <c r="J37" i="1"/>
  <c r="G103" i="1"/>
  <c r="G104" i="1" s="1"/>
  <c r="G185" i="1" s="1"/>
  <c r="G511" i="1"/>
  <c r="G514" i="1" s="1"/>
  <c r="G535" i="1" s="1"/>
  <c r="C106" i="2"/>
  <c r="F104" i="1"/>
  <c r="F185" i="1" s="1"/>
  <c r="G653" i="1"/>
  <c r="H511" i="1"/>
  <c r="H513" i="1"/>
  <c r="L513" i="1" s="1"/>
  <c r="F541" i="1" s="1"/>
  <c r="K541" i="1" s="1"/>
  <c r="G221" i="1"/>
  <c r="G249" i="1" s="1"/>
  <c r="G263" i="1" s="1"/>
  <c r="C29" i="10"/>
  <c r="F103" i="1"/>
  <c r="L190" i="1"/>
  <c r="D5" i="13" s="1"/>
  <c r="F221" i="1"/>
  <c r="C105" i="2"/>
  <c r="C25" i="10"/>
  <c r="L269" i="1"/>
  <c r="J184" i="1"/>
  <c r="C123" i="2"/>
  <c r="C136" i="2" s="1"/>
  <c r="C24" i="10"/>
  <c r="L534" i="1"/>
  <c r="K354" i="1"/>
  <c r="C117" i="2"/>
  <c r="C12" i="10"/>
  <c r="C35" i="10"/>
  <c r="G31" i="13"/>
  <c r="G33" i="13" s="1"/>
  <c r="J354" i="1"/>
  <c r="C77" i="2"/>
  <c r="C83" i="2" s="1"/>
  <c r="L296" i="1"/>
  <c r="E114" i="2" s="1"/>
  <c r="G618" i="1" l="1"/>
  <c r="G458" i="1"/>
  <c r="C5" i="13"/>
  <c r="H514" i="1"/>
  <c r="H535" i="1" s="1"/>
  <c r="I651" i="1"/>
  <c r="C19" i="10"/>
  <c r="F249" i="1"/>
  <c r="F263" i="1" s="1"/>
  <c r="G621" i="1"/>
  <c r="J621" i="1" s="1"/>
  <c r="G636" i="1"/>
  <c r="C96" i="2"/>
  <c r="H626" i="1"/>
  <c r="I464" i="1"/>
  <c r="G617" i="1"/>
  <c r="F458" i="1"/>
  <c r="C8" i="13"/>
  <c r="E33" i="13"/>
  <c r="D35" i="13" s="1"/>
  <c r="L282" i="1"/>
  <c r="E102" i="2"/>
  <c r="E107" i="2" s="1"/>
  <c r="C120" i="2"/>
  <c r="E120" i="2"/>
  <c r="G620" i="1"/>
  <c r="I458" i="1"/>
  <c r="J43" i="1"/>
  <c r="G36" i="2"/>
  <c r="G42" i="2" s="1"/>
  <c r="G43" i="2" s="1"/>
  <c r="C107" i="2"/>
  <c r="C36" i="10"/>
  <c r="C41" i="10"/>
  <c r="D39" i="10" s="1"/>
  <c r="C11" i="10"/>
  <c r="C28" i="10" s="1"/>
  <c r="C102" i="2"/>
  <c r="K490" i="1"/>
  <c r="B153" i="2"/>
  <c r="G153" i="2" s="1"/>
  <c r="K594" i="1"/>
  <c r="K595" i="1" s="1"/>
  <c r="G638" i="1" s="1"/>
  <c r="H595" i="1"/>
  <c r="F653" i="1"/>
  <c r="I653" i="1" s="1"/>
  <c r="L203" i="1"/>
  <c r="L511" i="1"/>
  <c r="F514" i="1"/>
  <c r="F535" i="1" s="1"/>
  <c r="G619" i="1"/>
  <c r="H458" i="1"/>
  <c r="G627" i="1"/>
  <c r="J627" i="1" s="1"/>
  <c r="H636" i="1"/>
  <c r="J249" i="1"/>
  <c r="C27" i="10"/>
  <c r="G625" i="1"/>
  <c r="G462" i="1"/>
  <c r="H650" i="1"/>
  <c r="H654" i="1" s="1"/>
  <c r="L301" i="1"/>
  <c r="G650" i="1" s="1"/>
  <c r="G654" i="1" s="1"/>
  <c r="J626" i="1"/>
  <c r="G657" i="1" l="1"/>
  <c r="G662" i="1"/>
  <c r="C5" i="10" s="1"/>
  <c r="D22" i="10"/>
  <c r="C30" i="10"/>
  <c r="D26" i="10"/>
  <c r="D23" i="10"/>
  <c r="D15" i="10"/>
  <c r="D24" i="10"/>
  <c r="D18" i="10"/>
  <c r="D25" i="10"/>
  <c r="D13" i="10"/>
  <c r="D21" i="10"/>
  <c r="D12" i="10"/>
  <c r="D17" i="10"/>
  <c r="D20" i="10"/>
  <c r="D10" i="10"/>
  <c r="D16" i="10"/>
  <c r="D27" i="10"/>
  <c r="H638" i="1"/>
  <c r="J638" i="1" s="1"/>
  <c r="J263" i="1"/>
  <c r="D19" i="10"/>
  <c r="D38" i="10"/>
  <c r="F460" i="1"/>
  <c r="H617" i="1"/>
  <c r="D35" i="10"/>
  <c r="H460" i="1"/>
  <c r="H619" i="1"/>
  <c r="J619" i="1" s="1"/>
  <c r="D11" i="10"/>
  <c r="J617" i="1"/>
  <c r="D36" i="10"/>
  <c r="C137" i="2"/>
  <c r="H662" i="1"/>
  <c r="C6" i="10" s="1"/>
  <c r="H657" i="1"/>
  <c r="F650" i="1"/>
  <c r="L249" i="1"/>
  <c r="L263" i="1" s="1"/>
  <c r="G616" i="1"/>
  <c r="J44" i="1"/>
  <c r="H611" i="1" s="1"/>
  <c r="J611" i="1" s="1"/>
  <c r="E137" i="2"/>
  <c r="D40" i="10"/>
  <c r="D37" i="10"/>
  <c r="F539" i="1"/>
  <c r="L514" i="1"/>
  <c r="L535" i="1" s="1"/>
  <c r="G460" i="1"/>
  <c r="G466" i="1" s="1"/>
  <c r="H613" i="1" s="1"/>
  <c r="J613" i="1" s="1"/>
  <c r="H618" i="1"/>
  <c r="J618" i="1" s="1"/>
  <c r="G464" i="1"/>
  <c r="H625" i="1"/>
  <c r="J625" i="1" s="1"/>
  <c r="I460" i="1"/>
  <c r="I466" i="1" s="1"/>
  <c r="H615" i="1" s="1"/>
  <c r="J615" i="1" s="1"/>
  <c r="H620" i="1"/>
  <c r="J620" i="1" s="1"/>
  <c r="L330" i="1"/>
  <c r="L344" i="1" s="1"/>
  <c r="D31" i="13"/>
  <c r="J636" i="1"/>
  <c r="C31" i="13" l="1"/>
  <c r="D33" i="13"/>
  <c r="D36" i="13" s="1"/>
  <c r="K539" i="1"/>
  <c r="K542" i="1" s="1"/>
  <c r="F542" i="1"/>
  <c r="G623" i="1"/>
  <c r="H462" i="1"/>
  <c r="D28" i="10"/>
  <c r="J616" i="1"/>
  <c r="D41" i="10"/>
  <c r="F462" i="1"/>
  <c r="G622" i="1"/>
  <c r="F654" i="1"/>
  <c r="I650" i="1"/>
  <c r="I654" i="1" s="1"/>
  <c r="H622" i="1" l="1"/>
  <c r="F464" i="1"/>
  <c r="F466" i="1" s="1"/>
  <c r="H612" i="1" s="1"/>
  <c r="J612" i="1" s="1"/>
  <c r="F657" i="1"/>
  <c r="F662" i="1"/>
  <c r="C4" i="10" s="1"/>
  <c r="H623" i="1"/>
  <c r="J623" i="1" s="1"/>
  <c r="H464" i="1"/>
  <c r="H466" i="1" s="1"/>
  <c r="H614" i="1" s="1"/>
  <c r="J614" i="1" s="1"/>
  <c r="I657" i="1"/>
  <c r="I662" i="1"/>
  <c r="C7" i="10" s="1"/>
  <c r="J622" i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31E7D8F-6665-4D2A-A14D-5D77CC7FCA3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7D613E8-B125-41F4-BB6D-095CB5324EF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F1F704F-893C-4517-8034-6EFD446F738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A846C7A-938E-482F-AD67-E6A8302D977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EA292AB-A144-42A7-A525-02E8B093639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36DF324-3493-460D-BB44-F254573E703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355050A-659A-422C-A6E7-370BB046CC6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09EE223-46AA-44C4-89BA-4EA3814F20EE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FD5D0CD-F1BF-47F9-9BF6-63A07AB2C5B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C955B72-27F9-476E-BFEA-9A810985BA9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066931D-4436-4FCA-BD4E-5AE2EF61B06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06B367C-77FA-464C-9DEA-4BB6150FABD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<sst xmlns="http://schemas.openxmlformats.org/spreadsheetml/2006/main" count="3862" uniqueCount="899">
  <si>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</si>
  <si>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</si>
  <si>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</si>
  <si>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</si>
  <si>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</si>
  <si>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</si>
  <si>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</si>
  <si>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</si>
  <si>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</si>
  <si>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</si>
  <si>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</si>
  <si>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</si>
  <si>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</si>
  <si>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</si>
  <si>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</si>
  <si>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</si>
  <si>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</si>
  <si>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</si>
  <si>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</si>
  <si>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</si>
  <si>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</si>
  <si>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</si>
  <si>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</si>
  <si>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</si>
  <si>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</si>
  <si>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</si>
  <si>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</si>
  <si>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</si>
  <si>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</si>
  <si>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</si>
  <si>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</si>
  <si>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</si>
  <si>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</si>
  <si>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</si>
  <si>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</si>
  <si>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</si>
  <si>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</si>
  <si>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</si>
  <si>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</si>
  <si>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</si>
  <si>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</si>
  <si>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</si>
  <si>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</si>
  <si>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</si>
  <si>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</si>
  <si>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</si>
  <si>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</si>
  <si>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</si>
  <si>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</si>
  <si>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</si>
  <si>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</si>
  <si>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</si>
  <si>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</si>
  <si>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</si>
  <si>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</si>
  <si>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</si>
  <si>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</si>
  <si>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</si>
  <si>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</si>
  <si>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</si>
  <si>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</si>
  <si>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</si>
  <si>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</si>
  <si>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</si>
  <si>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</si>
  <si>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</si>
  <si>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</si>
  <si>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</si>
  <si>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</si>
  <si>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</si>
  <si>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</si>
  <si>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</si>
  <si>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</si>
  <si>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</si>
  <si>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</si>
  <si>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</si>
  <si>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</si>
  <si>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</si>
  <si>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</si>
  <si>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</si>
  <si>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</si>
  <si>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</si>
  <si>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</si>
  <si>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</si>
  <si>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</si>
  <si>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</si>
  <si>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</si>
  <si>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</si>
  <si>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</si>
  <si>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</si>
  <si>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</si>
  <si>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</si>
  <si>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</si>
  <si>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</si>
  <si>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</si>
  <si>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</si>
  <si>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</si>
  <si>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</si>
  <si>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</si>
  <si>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</si>
  <si>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</si>
  <si>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</si>
  <si>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</si>
  <si>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</si>
  <si>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</si>
  <si>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</si>
  <si>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</si>
  <si>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</si>
  <si>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</si>
  <si>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</si>
  <si>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</si>
  <si>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</si>
  <si>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</si>
  <si>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</si>
  <si>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</si>
  <si>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</si>
  <si>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</si>
  <si>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</si>
  <si>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</si>
  <si>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</si>
  <si>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</si>
  <si>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</si>
  <si>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</si>
  <si>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</si>
  <si>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</si>
  <si>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</si>
  <si>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</si>
  <si>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</si>
  <si>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</si>
  <si>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</si>
  <si>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</si>
  <si>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</si>
  <si>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</si>
  <si>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</si>
  <si>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</si>
  <si>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</si>
  <si>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</si>
  <si>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</si>
  <si>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</si>
  <si>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</si>
  <si>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</si>
  <si>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</si>
  <si>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</si>
  <si>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</si>
  <si>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</si>
  <si>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</si>
  <si>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</si>
  <si>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</si>
  <si>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</si>
  <si>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</si>
  <si>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</si>
  <si>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</si>
  <si>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</si>
  <si>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</si>
  <si>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</si>
  <si>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</si>
  <si>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</si>
  <si>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</si>
  <si>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</si>
  <si>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</si>
  <si>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</si>
  <si>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</si>
  <si>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</si>
  <si>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</si>
  <si>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</si>
  <si>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</si>
  <si>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</si>
  <si>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</si>
  <si>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</si>
  <si>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</si>
  <si>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</si>
  <si>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</si>
  <si>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</si>
  <si>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</si>
  <si>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</si>
  <si>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</si>
  <si>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</si>
  <si>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</si>
  <si>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</si>
  <si>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</si>
  <si>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</si>
  <si>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</si>
  <si>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</si>
  <si>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</si>
  <si>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</si>
  <si>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</si>
  <si>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</si>
  <si>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</si>
  <si>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</si>
  <si>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</si>
  <si>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</si>
  <si>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</si>
  <si>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</si>
  <si>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</si>
  <si>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</si>
  <si>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</si>
  <si>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</si>
  <si>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</si>
  <si>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</si>
  <si>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</si>
  <si>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</si>
  <si>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</si>
  <si>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</si>
  <si>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</si>
  <si>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</si>
  <si>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</si>
  <si>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</si>
  <si>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</si>
  <si>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</si>
  <si>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</si>
  <si>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</si>
  <si>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</si>
  <si>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</si>
  <si>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</si>
  <si>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</si>
  <si>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</si>
  <si>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</si>
  <si>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</si>
  <si>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</si>
  <si>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</si>
  <si>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</si>
  <si>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</si>
  <si>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</si>
  <si>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</si>
  <si>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</si>
  <si>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</si>
  <si>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</si>
  <si>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</si>
  <si>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</si>
  <si>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</si>
  <si>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</si>
  <si>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</si>
  <si>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</si>
  <si>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</si>
  <si>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</si>
  <si>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</si>
  <si>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</si>
  <si>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</si>
  <si>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</si>
  <si>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</si>
  <si>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</si>
  <si>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</si>
  <si>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</si>
  <si>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</si>
  <si>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</si>
  <si>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</si>
  <si>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</si>
  <si>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</si>
  <si>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</si>
  <si>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</si>
  <si>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</si>
  <si>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</si>
  <si>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</si>
  <si>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</si>
  <si>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</si>
  <si>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</si>
  <si>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</si>
  <si>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</si>
  <si>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</si>
  <si>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</si>
  <si>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</si>
  <si>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</si>
  <si>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</si>
  <si>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</si>
  <si>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</si>
  <si>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</si>
  <si>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</si>
  <si>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</si>
  <si>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</si>
  <si>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</si>
  <si>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</si>
  <si>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</si>
  <si>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</si>
  <si>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</si>
  <si>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</si>
  <si>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</si>
  <si>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</si>
  <si>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</si>
  <si>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</si>
  <si>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</si>
  <si>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</si>
  <si>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</si>
  <si>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</si>
  <si>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</si>
  <si>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</si>
  <si>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</si>
  <si>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</si>
  <si>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</si>
  <si>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</si>
  <si>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</si>
  <si>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</si>
  <si>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</si>
  <si>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</si>
  <si>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</si>
  <si>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</si>
  <si>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</si>
  <si>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</si>
  <si>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</si>
  <si>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</si>
  <si>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</si>
  <si>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</si>
  <si>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</si>
  <si>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</si>
  <si>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</si>
  <si>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</si>
  <si>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</si>
  <si>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</si>
  <si>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</si>
  <si>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</si>
  <si>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</si>
  <si>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</si>
  <si>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</si>
  <si>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</si>
  <si>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</si>
  <si>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</si>
  <si>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</si>
  <si>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</si>
  <si>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</si>
  <si>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</si>
  <si>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</si>
  <si>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</si>
  <si>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</si>
  <si>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</si>
  <si>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</si>
  <si>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</si>
  <si>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</si>
  <si>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</si>
  <si>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</si>
  <si>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</si>
  <si>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</si>
  <si>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</si>
  <si>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</si>
  <si>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</si>
  <si>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</si>
  <si>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</si>
  <si>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</si>
  <si>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</si>
  <si>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</si>
  <si>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</si>
  <si>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</si>
  <si>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</si>
  <si>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</si>
  <si>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</si>
  <si>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</si>
  <si>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</si>
  <si>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</si>
  <si>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</si>
  <si>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</si>
  <si>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</si>
  <si>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</si>
  <si>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</si>
  <si>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</si>
  <si>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</si>
  <si>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</si>
  <si>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</si>
  <si>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</si>
  <si>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</si>
  <si>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</si>
  <si>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</si>
  <si>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</si>
  <si>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</si>
  <si>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</si>
  <si>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</si>
  <si>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</si>
  <si>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</si>
  <si>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</si>
  <si>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</si>
  <si>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</si>
  <si>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</si>
  <si>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</si>
  <si>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</si>
  <si>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</si>
  <si>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</si>
  <si>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</si>
  <si>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</si>
  <si>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</si>
  <si>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</si>
  <si>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</si>
  <si>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</si>
  <si>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</si>
  <si>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</si>
  <si>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</si>
  <si>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</si>
  <si>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</si>
  <si>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</si>
  <si>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</si>
  <si>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</si>
  <si>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</si>
  <si>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</si>
  <si>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</si>
  <si>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</si>
  <si>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</si>
  <si>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</si>
  <si>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</si>
  <si>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</si>
  <si>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</si>
  <si>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</si>
  <si>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</si>
  <si>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</si>
  <si>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</si>
  <si>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</si>
  <si>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</si>
  <si>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</si>
  <si>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</si>
  <si>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</si>
  <si>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</si>
  <si>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</si>
  <si>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</si>
  <si>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</si>
  <si>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</si>
  <si>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</si>
  <si>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</si>
  <si>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</si>
  <si>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</si>
  <si>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</si>
  <si>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</si>
  <si>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</si>
  <si>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</si>
  <si>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</si>
  <si>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</si>
  <si>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</si>
  <si>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</si>
  <si>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</si>
  <si>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</si>
  <si>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</si>
  <si>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</si>
  <si>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</si>
  <si>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</si>
  <si>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</si>
  <si>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</si>
  <si>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</si>
  <si>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</si>
  <si>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</si>
  <si>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</si>
  <si>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</si>
  <si>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</si>
  <si>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</si>
  <si>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</si>
  <si>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</si>
  <si>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</si>
  <si>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</si>
  <si>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</si>
  <si>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</si>
  <si>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</si>
  <si>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</si>
  <si>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</si>
  <si>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</si>
  <si>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</si>
  <si>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</si>
  <si>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</si>
  <si>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</si>
  <si>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</si>
  <si>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</si>
  <si>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</si>
  <si>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</si>
  <si>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</si>
  <si>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</si>
  <si>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</si>
  <si>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</si>
  <si>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</si>
  <si>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</si>
  <si>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</si>
  <si>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</si>
  <si>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</si>
  <si>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</si>
  <si>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</si>
  <si>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</si>
  <si>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</si>
  <si>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</si>
  <si>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</si>
  <si>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</si>
  <si>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</si>
  <si>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</si>
  <si>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</si>
  <si>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</si>
  <si>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</si>
  <si>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</si>
  <si>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</si>
  <si>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</si>
  <si>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</si>
  <si>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</si>
  <si>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</si>
  <si>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</si>
  <si>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</si>
  <si>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</si>
  <si>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</si>
  <si>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</si>
  <si>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</si>
  <si>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</si>
  <si>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</si>
  <si>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</si>
  <si>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</si>
  <si>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</si>
  <si>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</si>
  <si>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</si>
  <si>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</si>
  <si>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</si>
  <si>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</si>
  <si>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</si>
  <si>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</si>
  <si>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</si>
  <si>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</si>
  <si>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</si>
  <si>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</si>
  <si>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</si>
  <si>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</si>
  <si>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</si>
  <si>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</si>
  <si>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</si>
  <si>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</si>
  <si>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</si>
  <si>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</si>
  <si>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</si>
  <si>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</si>
  <si>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</si>
  <si>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</si>
  <si>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</si>
  <si>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</si>
  <si>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</si>
  <si>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</si>
  <si>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</si>
  <si>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</si>
  <si>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</si>
  <si>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</si>
  <si>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</si>
  <si>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</si>
  <si>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</si>
  <si>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</si>
  <si>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</si>
  <si>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</si>
  <si>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</si>
  <si>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</si>
  <si>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</si>
  <si>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</si>
  <si>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</si>
  <si>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</si>
  <si>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</si>
  <si>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</si>
  <si>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</si>
  <si>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</si>
  <si>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</si>
  <si>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</si>
  <si>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</si>
  <si>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</si>
  <si>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</si>
  <si>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</si>
  <si>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</si>
  <si>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</si>
  <si>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</si>
  <si>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</si>
  <si>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</si>
  <si>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</si>
  <si>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</si>
  <si>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</si>
  <si>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</si>
  <si>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</si>
  <si>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</si>
  <si>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</si>
  <si>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</si>
  <si>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</si>
  <si>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</si>
  <si>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</si>
  <si>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</si>
  <si>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</si>
  <si>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</si>
  <si>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</si>
  <si>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</si>
  <si>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</si>
  <si>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</si>
  <si>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</si>
  <si>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</si>
  <si>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</si>
  <si>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</si>
  <si>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</si>
  <si>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</si>
  <si>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</si>
  <si>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</si>
  <si>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</si>
  <si>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</si>
  <si>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</si>
  <si>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</si>
  <si>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</si>
  <si>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</si>
  <si>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</si>
  <si>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</si>
  <si>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</si>
  <si>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</si>
  <si>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</si>
  <si>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</si>
  <si>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</si>
  <si>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</si>
  <si>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</si>
  <si>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</si>
  <si>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</si>
  <si>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</si>
  <si>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</si>
  <si>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</si>
  <si>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</si>
  <si>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</si>
  <si>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</si>
  <si>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</si>
  <si>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</si>
  <si>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</si>
  <si>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</si>
  <si>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</si>
  <si>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</si>
  <si>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</si>
  <si>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</si>
  <si>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</si>
  <si>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</si>
  <si>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</si>
  <si>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</si>
  <si>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</si>
  <si>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</si>
  <si>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</si>
  <si>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</si>
  <si>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</si>
  <si>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</si>
  <si>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</si>
  <si>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</si>
  <si>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</si>
  <si>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</si>
  <si>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</si>
  <si>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</si>
  <si>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</si>
  <si>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</si>
  <si>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</si>
  <si>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</si>
  <si>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</si>
  <si>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</si>
  <si>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</si>
  <si>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</si>
  <si>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</si>
  <si>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</si>
  <si>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</si>
  <si>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</si>
  <si>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</si>
  <si>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</si>
  <si>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</si>
  <si>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</si>
  <si>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</si>
  <si>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</si>
  <si>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</si>
  <si>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</si>
  <si>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</si>
  <si>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</si>
  <si>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</si>
  <si>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</si>
  <si>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</si>
  <si>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</si>
  <si>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</si>
  <si>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</si>
  <si>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</si>
  <si>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</si>
  <si>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</si>
  <si>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</si>
  <si>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</si>
  <si>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</si>
  <si>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</si>
  <si>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</si>
  <si>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</si>
  <si>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</si>
  <si>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</si>
  <si>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</si>
  <si>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</si>
  <si>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</si>
  <si>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</si>
  <si>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</si>
  <si>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</si>
  <si>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</si>
  <si>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</si>
  <si>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</si>
  <si>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</si>
  <si>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</si>
  <si>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</si>
  <si>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</si>
  <si>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</si>
  <si>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</si>
  <si>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</si>
  <si>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</si>
  <si>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</si>
  <si>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</si>
  <si>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</si>
  <si>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</si>
  <si>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</si>
  <si>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</si>
  <si>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</si>
  <si>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</si>
  <si>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</si>
  <si>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</si>
  <si>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</si>
  <si>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</si>
  <si>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</si>
  <si>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</si>
  <si>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</si>
  <si>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</si>
  <si>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</si>
  <si>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</si>
  <si>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</si>
  <si>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</si>
  <si>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</si>
  <si>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</si>
  <si>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</si>
  <si>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</si>
  <si>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</si>
  <si>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</si>
  <si>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</si>
  <si>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</si>
  <si>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</si>
  <si>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</si>
  <si>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</si>
  <si>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</si>
  <si>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</si>
  <si>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</si>
  <si>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</si>
  <si>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</si>
  <si>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</si>
  <si>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</si>
  <si>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</si>
  <si>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</si>
  <si>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</si>
  <si>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</si>
  <si>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</si>
  <si>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</si>
  <si>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</si>
  <si>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</si>
  <si>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</si>
  <si>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</si>
  <si>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</si>
  <si>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</si>
  <si>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</si>
  <si>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</si>
  <si>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</si>
  <si>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</si>
  <si>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</si>
  <si>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</si>
  <si>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</si>
  <si>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</si>
  <si>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</si>
  <si>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</si>
  <si>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</si>
  <si>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</si>
  <si>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</si>
  <si>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</si>
  <si>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</si>
  <si>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</si>
  <si>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</si>
  <si>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</si>
  <si>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</si>
  <si>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</si>
  <si>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</si>
  <si>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</si>
  <si>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</si>
  <si>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</si>
  <si>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</si>
  <si>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</si>
  <si>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</si>
  <si>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</si>
  <si>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</si>
  <si>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</si>
  <si>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</si>
  <si>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</si>
  <si>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</si>
  <si>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</si>
  <si>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</si>
  <si>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</si>
  <si>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</si>
  <si>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</si>
  <si>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</si>
  <si>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</si>
  <si>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</si>
  <si>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</si>
  <si>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</si>
  <si>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</si>
  <si>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</si>
  <si>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</si>
  <si>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</si>
  <si>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</si>
  <si>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</si>
  <si>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</si>
  <si>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</si>
  <si>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</si>
  <si>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</si>
  <si>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</si>
  <si>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</si>
  <si>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</si>
  <si>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</si>
  <si>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</si>
  <si>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</si>
  <si>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</si>
  <si>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</si>
  <si>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</si>
  <si>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</si>
  <si>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</si>
  <si>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</si>
  <si>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</si>
  <si>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</si>
  <si>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</si>
  <si>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</si>
  <si>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</si>
  <si>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</si>
  <si>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</si>
  <si>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</si>
  <si>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</si>
  <si>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</si>
  <si>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</si>
  <si>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</si>
  <si>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</si>
  <si>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</si>
  <si>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</si>
  <si>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</si>
  <si>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</si>
  <si>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</si>
  <si>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</si>
  <si>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</si>
  <si>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</si>
  <si>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</si>
  <si>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</si>
  <si>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</si>
  <si>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</si>
  <si>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</si>
  <si>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</si>
  <si>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</si>
  <si>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</si>
  <si>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</si>
  <si>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</si>
  <si>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</si>
  <si>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</si>
  <si>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</si>
  <si>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</si>
  <si>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</si>
  <si>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</si>
  <si>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</si>
  <si>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</si>
  <si>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</si>
  <si>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</si>
  <si>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</si>
  <si>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</si>
  <si>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</si>
  <si>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</si>
  <si>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</si>
  <si>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</si>
  <si>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</si>
  <si>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</si>
  <si>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</si>
  <si>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</si>
  <si>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</si>
  <si>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</si>
  <si>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</si>
  <si>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</si>
  <si>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</si>
  <si>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</si>
  <si>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</si>
  <si>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</si>
  <si>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</si>
  <si>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</si>
  <si>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</si>
  <si>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</si>
  <si>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</si>
  <si>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</si>
  <si>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</si>
  <si>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</si>
  <si>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</si>
  <si>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</si>
  <si>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</si>
  <si>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</si>
  <si>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</si>
  <si>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</si>
  <si>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</si>
  <si>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</si>
  <si>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</si>
  <si>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</si>
  <si>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</si>
  <si>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</si>
  <si>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</si>
  <si>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</si>
  <si>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</si>
  <si>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</si>
  <si>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</si>
  <si>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</si>
  <si>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</si>
  <si>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</si>
  <si>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</si>
  <si>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</si>
  <si>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</si>
  <si>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</si>
  <si>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</si>
  <si>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</si>
  <si>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</si>
  <si>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</si>
  <si>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</si>
  <si>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</si>
  <si>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</si>
  <si>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</si>
  <si>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05/01</t>
  </si>
  <si>
    <t>07/21</t>
  </si>
  <si>
    <t>08/03</t>
  </si>
  <si>
    <t>08/11</t>
  </si>
  <si>
    <t>Goffstown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</si>
</sst>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ECF7-8B97-439B-BEDF-CB76DF7B427B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55" sqref="H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199</v>
      </c>
      <c r="C2" s="21">
        <v>199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48372438-43049290-453024</f>
        <v>4870124</v>
      </c>
      <c r="G9" s="18">
        <f>118997</f>
        <v>118997</v>
      </c>
      <c r="H9" s="18">
        <f>1784653-2624501</f>
        <v>-839848</v>
      </c>
      <c r="I9" s="18">
        <f>227986-550</f>
        <v>227436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-314475</v>
      </c>
      <c r="G12" s="18">
        <v>-1920</v>
      </c>
      <c r="H12" s="18">
        <f>373563-57253+478494+43433+80593</f>
        <v>918830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107345</v>
      </c>
      <c r="G13" s="18">
        <v>16456</v>
      </c>
      <c r="H13" s="18">
        <v>44406</v>
      </c>
      <c r="I13" s="18"/>
      <c r="J13" s="67">
        <f>SUM(I434)</f>
        <v>360020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553</v>
      </c>
      <c r="G14" s="18"/>
      <c r="H14" s="18">
        <v>638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30851</v>
      </c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36825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4731223</v>
      </c>
      <c r="G19" s="41">
        <f>SUM(G9:G18)</f>
        <v>133533</v>
      </c>
      <c r="H19" s="41">
        <f>SUM(H9:H18)</f>
        <v>124026</v>
      </c>
      <c r="I19" s="41">
        <f>SUM(I9:I18)</f>
        <v>227436</v>
      </c>
      <c r="J19" s="41">
        <f>SUM(J9:J18)</f>
        <v>360020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5994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156470</v>
      </c>
      <c r="G29" s="18">
        <v>9609</v>
      </c>
      <c r="H29" s="18">
        <v>-10058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-12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f>1314+1890</f>
        <v>3204</v>
      </c>
      <c r="G31" s="18"/>
      <c r="H31" s="18">
        <v>47497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9610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169272</v>
      </c>
      <c r="G33" s="41">
        <f>SUM(G23:G32)</f>
        <v>9609</v>
      </c>
      <c r="H33" s="41">
        <f>SUM(H23:H32)</f>
        <v>43433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30851</v>
      </c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36825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1778629+7639</f>
        <v>1786268</v>
      </c>
      <c r="G37" s="18"/>
      <c r="H37" s="18"/>
      <c r="I37" s="18">
        <v>24950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360020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123924</v>
      </c>
      <c r="H41" s="18">
        <v>80593</v>
      </c>
      <c r="I41" s="18">
        <f>203036-550</f>
        <v>202486</v>
      </c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2846153+314878-453024</f>
        <v>2708007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4561951</v>
      </c>
      <c r="G43" s="41">
        <f>SUM(G35:G42)</f>
        <v>123924</v>
      </c>
      <c r="H43" s="41">
        <f>SUM(H35:H42)</f>
        <v>80593</v>
      </c>
      <c r="I43" s="41">
        <f>SUM(I35:I42)</f>
        <v>227436</v>
      </c>
      <c r="J43" s="41">
        <f>SUM(J35:J42)</f>
        <v>360020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4731223</v>
      </c>
      <c r="G44" s="41">
        <f>G43+G33</f>
        <v>133533</v>
      </c>
      <c r="H44" s="41">
        <f>H43+H33</f>
        <v>124026</v>
      </c>
      <c r="I44" s="41">
        <f>I43+I33</f>
        <v>227436</v>
      </c>
      <c r="J44" s="41">
        <f>J43+J33</f>
        <v>360020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13368345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13368345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20970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19073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5811238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126175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5977456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2688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2688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15689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615869+12969+10122+91429</f>
        <v>730389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>
        <v>5010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v>17761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6368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32283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1637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3202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58460+419-19890</f>
        <v>38989</v>
      </c>
      <c r="G102" s="18"/>
      <c r="H102" s="18">
        <v>388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65885</v>
      </c>
      <c r="G103" s="41">
        <f>SUM(G88:G102)</f>
        <v>730389</v>
      </c>
      <c r="H103" s="41">
        <f>SUM(H88:H102)</f>
        <v>55442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19414374</v>
      </c>
      <c r="G104" s="41">
        <f>G52+G103</f>
        <v>730389</v>
      </c>
      <c r="H104" s="41">
        <f>H52+H71+H86+H103</f>
        <v>55442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5041531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3326283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1934279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10302093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608240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381476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24031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10427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33600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1047347</v>
      </c>
      <c r="G128" s="41">
        <f>SUM(G115:G127)</f>
        <v>10427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11349440</v>
      </c>
      <c r="G132" s="41">
        <f>G113+SUM(G128:G129)</f>
        <v>10427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211811+55802</f>
        <v>267613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537267+33000+8854</f>
        <v>579121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194726+24977</f>
        <v>219703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158347+44107</f>
        <v>202454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202454</v>
      </c>
      <c r="G154" s="41">
        <f>SUM(G142:G153)</f>
        <v>219703</v>
      </c>
      <c r="H154" s="41">
        <f>SUM(H142:H153)</f>
        <v>846734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49366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202454</v>
      </c>
      <c r="G161" s="41">
        <f>G139+G154+SUM(G155:G160)</f>
        <v>269069</v>
      </c>
      <c r="H161" s="41">
        <f>H139+H154+SUM(H155:H160)</f>
        <v>846734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17387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17387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>
        <v>651</v>
      </c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651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17387</v>
      </c>
      <c r="G184" s="41">
        <f>G175+SUM(G180:G183)</f>
        <v>0</v>
      </c>
      <c r="H184" s="41">
        <f>+H175+SUM(H180:H183)</f>
        <v>651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30983655</v>
      </c>
      <c r="G185" s="47">
        <f>G104+G132+G161+G184</f>
        <v>1009885</v>
      </c>
      <c r="H185" s="47">
        <f>H104+H132+H161+H184</f>
        <v>902827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113855+2254356</f>
        <v>2368211</v>
      </c>
      <c r="G189" s="18">
        <f>29241+926642</f>
        <v>955883</v>
      </c>
      <c r="H189" s="18">
        <f>1195+2004+80483-3558</f>
        <v>80124</v>
      </c>
      <c r="I189" s="18">
        <f>279061-41993-49457-13395</f>
        <v>174216</v>
      </c>
      <c r="J189" s="18">
        <f>3725-1805</f>
        <v>1920</v>
      </c>
      <c r="K189" s="18">
        <v>30</v>
      </c>
      <c r="L189" s="19">
        <f>SUM(F189:K189)</f>
        <v>3580384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191600+33203+691786</f>
        <v>916589</v>
      </c>
      <c r="G190" s="18">
        <f>65302+18759+310189</f>
        <v>394250</v>
      </c>
      <c r="H190" s="18">
        <f>611968+2238</f>
        <v>614206</v>
      </c>
      <c r="I190" s="18">
        <f>7903</f>
        <v>7903</v>
      </c>
      <c r="J190" s="18">
        <v>1363</v>
      </c>
      <c r="K190" s="18"/>
      <c r="L190" s="19">
        <f>SUM(F190:K190)</f>
        <v>1934311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39475+2475</f>
        <v>41950</v>
      </c>
      <c r="G192" s="18">
        <f>6143+330</f>
        <v>6473</v>
      </c>
      <c r="H192" s="18">
        <f>7234+1600</f>
        <v>8834</v>
      </c>
      <c r="I192" s="18"/>
      <c r="J192" s="18"/>
      <c r="K192" s="18"/>
      <c r="L192" s="19">
        <f>SUM(F192:K192)</f>
        <v>57257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388399-977</f>
        <v>387422</v>
      </c>
      <c r="G194" s="18">
        <v>132950</v>
      </c>
      <c r="H194" s="18">
        <f>849+4187</f>
        <v>5036</v>
      </c>
      <c r="I194" s="18">
        <f>3391+163+3559</f>
        <v>7113</v>
      </c>
      <c r="J194" s="18"/>
      <c r="K194" s="18"/>
      <c r="L194" s="19">
        <f t="shared" ref="L194:L200" si="0">SUM(F194:K194)</f>
        <v>532521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1143+77366+101967</f>
        <v>180476</v>
      </c>
      <c r="G195" s="18">
        <f>172+31713+33900</f>
        <v>65785</v>
      </c>
      <c r="H195" s="18">
        <f>22010+1500+2068-1655</f>
        <v>23923</v>
      </c>
      <c r="I195" s="18">
        <f>13823</f>
        <v>13823</v>
      </c>
      <c r="J195" s="18">
        <f>8116</f>
        <v>8116</v>
      </c>
      <c r="K195" s="18"/>
      <c r="L195" s="19">
        <f t="shared" si="0"/>
        <v>292123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5938+254</f>
        <v>6192</v>
      </c>
      <c r="G196" s="18">
        <f>435+22</f>
        <v>457</v>
      </c>
      <c r="H196" s="18">
        <f>2550+60+2441+457+319353</f>
        <v>324861</v>
      </c>
      <c r="I196" s="18">
        <f>270</f>
        <v>270</v>
      </c>
      <c r="J196" s="18"/>
      <c r="K196" s="18">
        <f>1588</f>
        <v>1588</v>
      </c>
      <c r="L196" s="19">
        <f t="shared" si="0"/>
        <v>333368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452642-244</f>
        <v>452398</v>
      </c>
      <c r="G197" s="18">
        <f>83+171318</f>
        <v>171401</v>
      </c>
      <c r="H197" s="18">
        <f>1662+29963-1924</f>
        <v>29701</v>
      </c>
      <c r="I197" s="18">
        <v>2644</v>
      </c>
      <c r="J197" s="18"/>
      <c r="K197" s="18">
        <v>4006</v>
      </c>
      <c r="L197" s="19">
        <f t="shared" si="0"/>
        <v>660150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44197+139990</f>
        <v>184187</v>
      </c>
      <c r="G199" s="18">
        <f>13227+75912</f>
        <v>89139</v>
      </c>
      <c r="H199" s="18">
        <f>37797+313482+7357-9607-1000-29192-34262-2815</f>
        <v>281760</v>
      </c>
      <c r="I199" s="18">
        <f>1016+158211-8851-9771-20435</f>
        <v>120170</v>
      </c>
      <c r="J199" s="18">
        <f>228+12639-2051</f>
        <v>10816</v>
      </c>
      <c r="K199" s="18"/>
      <c r="L199" s="19">
        <f t="shared" si="0"/>
        <v>686072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276609+394504+5800</f>
        <v>676913</v>
      </c>
      <c r="I200" s="18"/>
      <c r="J200" s="18"/>
      <c r="K200" s="18"/>
      <c r="L200" s="19">
        <f t="shared" si="0"/>
        <v>676913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2540</v>
      </c>
      <c r="H201" s="18"/>
      <c r="I201" s="18"/>
      <c r="J201" s="18"/>
      <c r="K201" s="18"/>
      <c r="L201" s="19">
        <f>SUM(F201:K201)</f>
        <v>2540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4537425</v>
      </c>
      <c r="G203" s="41">
        <f t="shared" si="1"/>
        <v>1818878</v>
      </c>
      <c r="H203" s="41">
        <f t="shared" si="1"/>
        <v>2045358</v>
      </c>
      <c r="I203" s="41">
        <f t="shared" si="1"/>
        <v>326139</v>
      </c>
      <c r="J203" s="41">
        <f t="shared" si="1"/>
        <v>22215</v>
      </c>
      <c r="K203" s="41">
        <f t="shared" si="1"/>
        <v>5624</v>
      </c>
      <c r="L203" s="41">
        <f t="shared" si="1"/>
        <v>8755639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130833+2598079</f>
        <v>2728912</v>
      </c>
      <c r="G207" s="18">
        <f>33601+947327</f>
        <v>980928</v>
      </c>
      <c r="H207" s="18">
        <f>3676+92998-7938</f>
        <v>88736</v>
      </c>
      <c r="I207" s="18">
        <f>137487-16167</f>
        <v>121320</v>
      </c>
      <c r="J207" s="18">
        <f>35360-23479</f>
        <v>11881</v>
      </c>
      <c r="K207" s="18">
        <v>305</v>
      </c>
      <c r="L207" s="19">
        <f>SUM(F207:K207)</f>
        <v>3932082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95800+16601+802045</f>
        <v>914446</v>
      </c>
      <c r="G208" s="18">
        <f>32651+9380+348550</f>
        <v>390581</v>
      </c>
      <c r="H208" s="18">
        <f>305984+420</f>
        <v>306404</v>
      </c>
      <c r="I208" s="18">
        <f>7237</f>
        <v>7237</v>
      </c>
      <c r="J208" s="18">
        <v>1351</v>
      </c>
      <c r="K208" s="18"/>
      <c r="L208" s="19">
        <f>SUM(F208:K208)</f>
        <v>1620019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121431</f>
        <v>121431</v>
      </c>
      <c r="G210" s="18">
        <f>19561</f>
        <v>19561</v>
      </c>
      <c r="H210" s="18"/>
      <c r="I210" s="18">
        <v>3841</v>
      </c>
      <c r="J210" s="18">
        <v>4729</v>
      </c>
      <c r="K210" s="18">
        <v>12672</v>
      </c>
      <c r="L210" s="19">
        <f>SUM(F210:K210)</f>
        <v>162234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348931</v>
      </c>
      <c r="G212" s="18">
        <v>153301</v>
      </c>
      <c r="H212" s="18">
        <f>975+5020</f>
        <v>5995</v>
      </c>
      <c r="I212" s="18">
        <f>3897+187+3757</f>
        <v>7841</v>
      </c>
      <c r="J212" s="18"/>
      <c r="K212" s="18"/>
      <c r="L212" s="19">
        <f t="shared" ref="L212:L218" si="2">SUM(F212:K212)</f>
        <v>516068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1314+38683+81186</f>
        <v>121183</v>
      </c>
      <c r="G213" s="18">
        <f>198+15856+25454</f>
        <v>41508</v>
      </c>
      <c r="H213" s="18">
        <f>25292+750+2828</f>
        <v>28870</v>
      </c>
      <c r="I213" s="18">
        <v>9847</v>
      </c>
      <c r="J213" s="18">
        <v>788</v>
      </c>
      <c r="K213" s="18"/>
      <c r="L213" s="19">
        <f t="shared" si="2"/>
        <v>202196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6823+292</f>
        <v>7115</v>
      </c>
      <c r="G214" s="18">
        <f>446+26</f>
        <v>472</v>
      </c>
      <c r="H214" s="18">
        <f>2931+69+2805+367498</f>
        <v>373303</v>
      </c>
      <c r="I214" s="18">
        <f>309</f>
        <v>309</v>
      </c>
      <c r="J214" s="18"/>
      <c r="K214" s="18">
        <f>1825</f>
        <v>1825</v>
      </c>
      <c r="L214" s="19">
        <f t="shared" si="2"/>
        <v>383024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411436</v>
      </c>
      <c r="G215" s="18">
        <f>96+171623</f>
        <v>171719</v>
      </c>
      <c r="H215" s="18">
        <f>1910+15038</f>
        <v>16948</v>
      </c>
      <c r="I215" s="18">
        <v>2757</v>
      </c>
      <c r="J215" s="18"/>
      <c r="K215" s="18">
        <v>2216</v>
      </c>
      <c r="L215" s="19">
        <f t="shared" si="2"/>
        <v>605076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50787+210768</f>
        <v>261555</v>
      </c>
      <c r="G217" s="18">
        <f>15197+100761</f>
        <v>115958</v>
      </c>
      <c r="H217" s="18">
        <f>43433+8454+316368-186247</f>
        <v>182008</v>
      </c>
      <c r="I217" s="18">
        <f>1168+178405-34598</f>
        <v>144975</v>
      </c>
      <c r="J217" s="18">
        <f>262+161703-46459-55846</f>
        <v>59660</v>
      </c>
      <c r="K217" s="18"/>
      <c r="L217" s="19">
        <f t="shared" si="2"/>
        <v>764156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317855+197252+13704-1864</f>
        <v>526947</v>
      </c>
      <c r="I218" s="18"/>
      <c r="J218" s="18"/>
      <c r="K218" s="18"/>
      <c r="L218" s="19">
        <f t="shared" si="2"/>
        <v>526947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>
        <f>2919</f>
        <v>2919</v>
      </c>
      <c r="H219" s="18">
        <v>1340</v>
      </c>
      <c r="I219" s="18"/>
      <c r="J219" s="18"/>
      <c r="K219" s="18"/>
      <c r="L219" s="19">
        <f>SUM(F219:K219)</f>
        <v>4259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4915009</v>
      </c>
      <c r="G221" s="41">
        <f>SUM(G207:G220)</f>
        <v>1876947</v>
      </c>
      <c r="H221" s="41">
        <f>SUM(H207:H220)</f>
        <v>1530551</v>
      </c>
      <c r="I221" s="41">
        <f>SUM(I207:I220)</f>
        <v>298127</v>
      </c>
      <c r="J221" s="41">
        <f>SUM(J207:J220)</f>
        <v>78409</v>
      </c>
      <c r="K221" s="41">
        <f t="shared" si="3"/>
        <v>17018</v>
      </c>
      <c r="L221" s="41">
        <f t="shared" si="3"/>
        <v>8716061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158724+3854125</f>
        <v>4012849</v>
      </c>
      <c r="G225" s="18">
        <f>40765+1489681</f>
        <v>1530446</v>
      </c>
      <c r="H225" s="18">
        <f>2794+1665+142059-15565</f>
        <v>130953</v>
      </c>
      <c r="I225" s="18">
        <f>231473-39405</f>
        <v>192068</v>
      </c>
      <c r="J225" s="18">
        <f>148064-84792</f>
        <v>63272</v>
      </c>
      <c r="K225" s="18">
        <v>555</v>
      </c>
      <c r="L225" s="19">
        <f>SUM(F225:K225)</f>
        <v>5930143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95800+16601+740265</f>
        <v>852666</v>
      </c>
      <c r="G226" s="18">
        <f>32651+9380+294964</f>
        <v>336995</v>
      </c>
      <c r="H226" s="18">
        <f>305984</f>
        <v>305984</v>
      </c>
      <c r="I226" s="18">
        <v>11786</v>
      </c>
      <c r="J226" s="18">
        <v>261</v>
      </c>
      <c r="K226" s="18"/>
      <c r="L226" s="19">
        <f>SUM(F226:K226)</f>
        <v>1507692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72050-36821</f>
        <v>35229</v>
      </c>
      <c r="I227" s="18"/>
      <c r="J227" s="18"/>
      <c r="K227" s="18"/>
      <c r="L227" s="19">
        <f>SUM(F227:K227)</f>
        <v>35229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182147</f>
        <v>182147</v>
      </c>
      <c r="G228" s="18">
        <f>29341</f>
        <v>29341</v>
      </c>
      <c r="H228" s="18">
        <v>66528</v>
      </c>
      <c r="I228" s="18">
        <f>12863-7563</f>
        <v>5300</v>
      </c>
      <c r="J228" s="18">
        <v>11485</v>
      </c>
      <c r="K228" s="18">
        <v>60939</v>
      </c>
      <c r="L228" s="19">
        <f>SUM(F228:K228)</f>
        <v>355740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530507</v>
      </c>
      <c r="G230" s="18">
        <v>210222</v>
      </c>
      <c r="H230" s="18">
        <f>1183+6466</f>
        <v>7649</v>
      </c>
      <c r="I230" s="18">
        <f>4727+227+17603</f>
        <v>22557</v>
      </c>
      <c r="J230" s="18"/>
      <c r="K230" s="18">
        <v>1770</v>
      </c>
      <c r="L230" s="19">
        <f t="shared" ref="L230:L236" si="4">SUM(F230:K230)</f>
        <v>772705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1593+38683+104374</f>
        <v>144650</v>
      </c>
      <c r="G231" s="18">
        <f>240+15856+47910</f>
        <v>64006</v>
      </c>
      <c r="H231" s="18">
        <f>30683+750+2832-2797</f>
        <v>31468</v>
      </c>
      <c r="I231" s="18">
        <v>43878</v>
      </c>
      <c r="J231" s="18">
        <v>867</v>
      </c>
      <c r="K231" s="18"/>
      <c r="L231" s="19">
        <f t="shared" si="4"/>
        <v>284869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8278+354</f>
        <v>8632</v>
      </c>
      <c r="G232" s="18">
        <f>532+31</f>
        <v>563</v>
      </c>
      <c r="H232" s="18">
        <f>3555+83+4041+445205</f>
        <v>452884</v>
      </c>
      <c r="I232" s="18">
        <v>375</v>
      </c>
      <c r="J232" s="18"/>
      <c r="K232" s="18">
        <v>2214</v>
      </c>
      <c r="L232" s="19">
        <f t="shared" si="4"/>
        <v>464668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439342+116</f>
        <v>439458</v>
      </c>
      <c r="G233" s="18">
        <v>162322</v>
      </c>
      <c r="H233" s="18">
        <f>2317+51416</f>
        <v>53733</v>
      </c>
      <c r="I233" s="18">
        <f>5749-1414-1641</f>
        <v>2694</v>
      </c>
      <c r="J233" s="18"/>
      <c r="K233" s="18">
        <v>17746</v>
      </c>
      <c r="L233" s="19">
        <f t="shared" si="4"/>
        <v>675953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61614+320634</f>
        <v>382248</v>
      </c>
      <c r="G235" s="18">
        <f>18437+144696</f>
        <v>163133</v>
      </c>
      <c r="H235" s="18">
        <f>52692+10256+336360-12195-25885</f>
        <v>361228</v>
      </c>
      <c r="I235" s="18">
        <f>1416+334658-82145</f>
        <v>253929</v>
      </c>
      <c r="J235" s="18">
        <f>318+15790</f>
        <v>16108</v>
      </c>
      <c r="K235" s="18"/>
      <c r="L235" s="19">
        <f t="shared" si="4"/>
        <v>1176646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582867+118593</f>
        <v>701460</v>
      </c>
      <c r="I236" s="18"/>
      <c r="J236" s="18"/>
      <c r="K236" s="18"/>
      <c r="L236" s="19">
        <f t="shared" si="4"/>
        <v>701460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>
        <f>3541</f>
        <v>3541</v>
      </c>
      <c r="H237" s="18"/>
      <c r="I237" s="18"/>
      <c r="J237" s="18"/>
      <c r="K237" s="18"/>
      <c r="L237" s="19">
        <f>SUM(F237:K237)</f>
        <v>3541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6553157</v>
      </c>
      <c r="G239" s="41">
        <f t="shared" si="5"/>
        <v>2500569</v>
      </c>
      <c r="H239" s="41">
        <f t="shared" si="5"/>
        <v>2147116</v>
      </c>
      <c r="I239" s="41">
        <f t="shared" si="5"/>
        <v>532587</v>
      </c>
      <c r="J239" s="41">
        <f t="shared" si="5"/>
        <v>91993</v>
      </c>
      <c r="K239" s="41">
        <f t="shared" si="5"/>
        <v>83224</v>
      </c>
      <c r="L239" s="41">
        <f t="shared" si="5"/>
        <v>11908646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50579</v>
      </c>
      <c r="G243" s="18">
        <v>5715</v>
      </c>
      <c r="H243" s="18">
        <v>999</v>
      </c>
      <c r="I243" s="18">
        <v>470</v>
      </c>
      <c r="J243" s="18">
        <v>1089</v>
      </c>
      <c r="K243" s="18"/>
      <c r="L243" s="19">
        <f t="shared" si="6"/>
        <v>58852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>
        <f>5000</f>
        <v>5000</v>
      </c>
      <c r="I245" s="18"/>
      <c r="J245" s="18"/>
      <c r="K245" s="18"/>
      <c r="L245" s="19">
        <f t="shared" si="6"/>
        <v>5000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50579</v>
      </c>
      <c r="G248" s="41">
        <f t="shared" si="7"/>
        <v>5715</v>
      </c>
      <c r="H248" s="41">
        <f t="shared" si="7"/>
        <v>5999</v>
      </c>
      <c r="I248" s="41">
        <f t="shared" si="7"/>
        <v>470</v>
      </c>
      <c r="J248" s="41">
        <f t="shared" si="7"/>
        <v>1089</v>
      </c>
      <c r="K248" s="41">
        <f t="shared" si="7"/>
        <v>0</v>
      </c>
      <c r="L248" s="41">
        <f>SUM(F248:K248)</f>
        <v>63852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16056170</v>
      </c>
      <c r="G249" s="41">
        <f t="shared" si="8"/>
        <v>6202109</v>
      </c>
      <c r="H249" s="41">
        <f t="shared" si="8"/>
        <v>5729024</v>
      </c>
      <c r="I249" s="41">
        <f t="shared" si="8"/>
        <v>1157323</v>
      </c>
      <c r="J249" s="41">
        <f t="shared" si="8"/>
        <v>193706</v>
      </c>
      <c r="K249" s="41">
        <f t="shared" si="8"/>
        <v>105866</v>
      </c>
      <c r="L249" s="41">
        <f t="shared" si="8"/>
        <v>29444198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f>675000+600000</f>
        <v>1275000</v>
      </c>
      <c r="L252" s="19">
        <f>SUM(F252:K252)</f>
        <v>1275000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40755+361850</f>
        <v>402605</v>
      </c>
      <c r="L253" s="19">
        <f>SUM(F253:K253)</f>
        <v>402605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1677605</v>
      </c>
      <c r="L262" s="41">
        <f t="shared" si="9"/>
        <v>1677605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16056170</v>
      </c>
      <c r="G263" s="42">
        <f t="shared" si="11"/>
        <v>6202109</v>
      </c>
      <c r="H263" s="42">
        <f t="shared" si="11"/>
        <v>5729024</v>
      </c>
      <c r="I263" s="42">
        <f t="shared" si="11"/>
        <v>1157323</v>
      </c>
      <c r="J263" s="42">
        <f t="shared" si="11"/>
        <v>193706</v>
      </c>
      <c r="K263" s="42">
        <f t="shared" si="11"/>
        <v>1783471</v>
      </c>
      <c r="L263" s="42">
        <f t="shared" si="11"/>
        <v>31121803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206650</v>
      </c>
      <c r="G268" s="18">
        <v>91101</v>
      </c>
      <c r="H268" s="18"/>
      <c r="I268" s="18">
        <f>8540+2415+563</f>
        <v>11518</v>
      </c>
      <c r="J268" s="18"/>
      <c r="K268" s="18"/>
      <c r="L268" s="19">
        <f>SUM(F268:K268)</f>
        <v>309269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7175+57479+49363</f>
        <v>114017</v>
      </c>
      <c r="G269" s="18">
        <f>9749+2500+13147</f>
        <v>25396</v>
      </c>
      <c r="H269" s="18">
        <v>2931</v>
      </c>
      <c r="I269" s="18"/>
      <c r="J269" s="18"/>
      <c r="K269" s="18"/>
      <c r="L269" s="19">
        <f>SUM(F269:K269)</f>
        <v>142344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6966</v>
      </c>
      <c r="G273" s="18">
        <v>568</v>
      </c>
      <c r="H273" s="18"/>
      <c r="I273" s="18"/>
      <c r="J273" s="18"/>
      <c r="K273" s="18"/>
      <c r="L273" s="19">
        <f t="shared" ref="L273:L279" si="12">SUM(F273:K273)</f>
        <v>7534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11127+741+41015</f>
        <v>52883</v>
      </c>
      <c r="G274" s="18">
        <f>1388+112+5434+627</f>
        <v>7561</v>
      </c>
      <c r="H274" s="18">
        <f>3926+14941+1571</f>
        <v>20438</v>
      </c>
      <c r="I274" s="18">
        <f>407+7034+125</f>
        <v>7566</v>
      </c>
      <c r="J274" s="18">
        <v>272</v>
      </c>
      <c r="K274" s="18"/>
      <c r="L274" s="19">
        <f t="shared" si="12"/>
        <v>88720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1125+511</f>
        <v>1636</v>
      </c>
      <c r="L277" s="19">
        <f t="shared" si="12"/>
        <v>1636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380516</v>
      </c>
      <c r="G282" s="42">
        <f t="shared" si="13"/>
        <v>124626</v>
      </c>
      <c r="H282" s="42">
        <f t="shared" si="13"/>
        <v>23369</v>
      </c>
      <c r="I282" s="42">
        <f t="shared" si="13"/>
        <v>19084</v>
      </c>
      <c r="J282" s="42">
        <f t="shared" si="13"/>
        <v>272</v>
      </c>
      <c r="K282" s="42">
        <f t="shared" si="13"/>
        <v>1636</v>
      </c>
      <c r="L282" s="41">
        <f t="shared" si="13"/>
        <v>549503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>
        <v>112</v>
      </c>
      <c r="H287" s="18"/>
      <c r="I287" s="18">
        <v>2775</v>
      </c>
      <c r="J287" s="18">
        <v>19087</v>
      </c>
      <c r="K287" s="18"/>
      <c r="L287" s="19">
        <f>SUM(F287:K287)</f>
        <v>21974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8238+70318+113942</f>
        <v>192498</v>
      </c>
      <c r="G288" s="18">
        <f>2873+32448+63045</f>
        <v>98366</v>
      </c>
      <c r="H288" s="18"/>
      <c r="I288" s="18"/>
      <c r="J288" s="18"/>
      <c r="K288" s="18"/>
      <c r="L288" s="19">
        <f>SUM(F288:K288)</f>
        <v>290864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2311</v>
      </c>
      <c r="G290" s="18">
        <v>262</v>
      </c>
      <c r="H290" s="18"/>
      <c r="I290" s="18"/>
      <c r="J290" s="18"/>
      <c r="K290" s="18"/>
      <c r="L290" s="19">
        <f>SUM(F290:K290)</f>
        <v>2573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8005</v>
      </c>
      <c r="G292" s="18">
        <v>653</v>
      </c>
      <c r="H292" s="18"/>
      <c r="I292" s="18">
        <v>279</v>
      </c>
      <c r="J292" s="18"/>
      <c r="K292" s="18"/>
      <c r="L292" s="19">
        <f t="shared" ref="L292:L298" si="14">SUM(F292:K292)</f>
        <v>8937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852</v>
      </c>
      <c r="G293" s="18">
        <v>129</v>
      </c>
      <c r="H293" s="18">
        <v>17170</v>
      </c>
      <c r="I293" s="18">
        <f>3517+144-1596</f>
        <v>2065</v>
      </c>
      <c r="J293" s="18">
        <v>312</v>
      </c>
      <c r="K293" s="18"/>
      <c r="L293" s="19">
        <f t="shared" si="14"/>
        <v>20528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f>1292+587</f>
        <v>1879</v>
      </c>
      <c r="L296" s="19">
        <f t="shared" si="14"/>
        <v>1879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>
        <v>1500</v>
      </c>
      <c r="I297" s="18"/>
      <c r="J297" s="18"/>
      <c r="K297" s="18"/>
      <c r="L297" s="19">
        <f t="shared" si="14"/>
        <v>1500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203666</v>
      </c>
      <c r="G301" s="42">
        <f t="shared" si="15"/>
        <v>99522</v>
      </c>
      <c r="H301" s="42">
        <f t="shared" si="15"/>
        <v>18670</v>
      </c>
      <c r="I301" s="42">
        <f t="shared" si="15"/>
        <v>5119</v>
      </c>
      <c r="J301" s="42">
        <f t="shared" si="15"/>
        <v>19399</v>
      </c>
      <c r="K301" s="42">
        <f t="shared" si="15"/>
        <v>1879</v>
      </c>
      <c r="L301" s="41">
        <f t="shared" si="15"/>
        <v>348255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>
        <v>136</v>
      </c>
      <c r="H306" s="18">
        <v>7480</v>
      </c>
      <c r="I306" s="18">
        <f>3367+907</f>
        <v>4274</v>
      </c>
      <c r="J306" s="18"/>
      <c r="K306" s="18"/>
      <c r="L306" s="19">
        <f>SUM(F306:K306)</f>
        <v>11890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127616+181432+9994</f>
        <v>319042</v>
      </c>
      <c r="G307" s="18">
        <f>3486+79442+57163+7</f>
        <v>140098</v>
      </c>
      <c r="H307" s="18"/>
      <c r="I307" s="18">
        <v>211</v>
      </c>
      <c r="J307" s="18"/>
      <c r="K307" s="18"/>
      <c r="L307" s="19">
        <f>SUM(F307:K307)</f>
        <v>459351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4135</v>
      </c>
      <c r="G309" s="18">
        <v>470</v>
      </c>
      <c r="H309" s="18"/>
      <c r="I309" s="18"/>
      <c r="J309" s="18"/>
      <c r="K309" s="18"/>
      <c r="L309" s="19">
        <f>SUM(F309:K309)</f>
        <v>4605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9711+31</f>
        <v>9742</v>
      </c>
      <c r="G311" s="18">
        <f>792+5</f>
        <v>797</v>
      </c>
      <c r="H311" s="18">
        <v>388</v>
      </c>
      <c r="I311" s="18"/>
      <c r="J311" s="18"/>
      <c r="K311" s="18"/>
      <c r="L311" s="19">
        <f t="shared" ref="L311:L317" si="16">SUM(F311:K311)</f>
        <v>10927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1033+1697</f>
        <v>2730</v>
      </c>
      <c r="G312" s="18">
        <f>157+239</f>
        <v>396</v>
      </c>
      <c r="H312" s="18">
        <v>20830</v>
      </c>
      <c r="I312" s="18">
        <f>3517+175+863</f>
        <v>4555</v>
      </c>
      <c r="J312" s="18">
        <v>379</v>
      </c>
      <c r="K312" s="18"/>
      <c r="L312" s="19">
        <f t="shared" si="16"/>
        <v>28890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f>1568+712+200</f>
        <v>2480</v>
      </c>
      <c r="L315" s="19">
        <f t="shared" si="16"/>
        <v>2480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335649</v>
      </c>
      <c r="G320" s="42">
        <f t="shared" si="17"/>
        <v>141897</v>
      </c>
      <c r="H320" s="42">
        <f t="shared" si="17"/>
        <v>28698</v>
      </c>
      <c r="I320" s="42">
        <f t="shared" si="17"/>
        <v>9040</v>
      </c>
      <c r="J320" s="42">
        <f t="shared" si="17"/>
        <v>379</v>
      </c>
      <c r="K320" s="42">
        <f t="shared" si="17"/>
        <v>2480</v>
      </c>
      <c r="L320" s="41">
        <f t="shared" si="17"/>
        <v>518143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4615</v>
      </c>
      <c r="G325" s="18">
        <v>579</v>
      </c>
      <c r="H325" s="18">
        <v>533</v>
      </c>
      <c r="I325" s="18">
        <v>4576</v>
      </c>
      <c r="J325" s="18">
        <v>9343</v>
      </c>
      <c r="K325" s="18"/>
      <c r="L325" s="19">
        <f t="shared" si="18"/>
        <v>19646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16436</v>
      </c>
      <c r="G327" s="18">
        <v>2238</v>
      </c>
      <c r="H327" s="18">
        <v>1150</v>
      </c>
      <c r="I327" s="18"/>
      <c r="J327" s="18"/>
      <c r="K327" s="18"/>
      <c r="L327" s="19">
        <f t="shared" si="18"/>
        <v>19824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21051</v>
      </c>
      <c r="G329" s="41">
        <f t="shared" si="19"/>
        <v>2817</v>
      </c>
      <c r="H329" s="41">
        <f t="shared" si="19"/>
        <v>1683</v>
      </c>
      <c r="I329" s="41">
        <f t="shared" si="19"/>
        <v>4576</v>
      </c>
      <c r="J329" s="41">
        <f t="shared" si="19"/>
        <v>9343</v>
      </c>
      <c r="K329" s="41">
        <f t="shared" si="19"/>
        <v>0</v>
      </c>
      <c r="L329" s="41">
        <f t="shared" si="18"/>
        <v>39470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940882</v>
      </c>
      <c r="G330" s="41">
        <f t="shared" si="20"/>
        <v>368862</v>
      </c>
      <c r="H330" s="41">
        <f t="shared" si="20"/>
        <v>72420</v>
      </c>
      <c r="I330" s="41">
        <f t="shared" si="20"/>
        <v>37819</v>
      </c>
      <c r="J330" s="41">
        <f t="shared" si="20"/>
        <v>29393</v>
      </c>
      <c r="K330" s="41">
        <f t="shared" si="20"/>
        <v>5995</v>
      </c>
      <c r="L330" s="41">
        <f t="shared" si="20"/>
        <v>1455371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205</v>
      </c>
      <c r="L336" s="19">
        <f t="shared" ref="L336:L342" si="21">SUM(F336:K336)</f>
        <v>205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205</v>
      </c>
      <c r="L343" s="41">
        <f>SUM(L333:L342)</f>
        <v>205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940882</v>
      </c>
      <c r="G344" s="41">
        <f>G330</f>
        <v>368862</v>
      </c>
      <c r="H344" s="41">
        <f>H330</f>
        <v>72420</v>
      </c>
      <c r="I344" s="41">
        <f>I330</f>
        <v>37819</v>
      </c>
      <c r="J344" s="41">
        <f>J330</f>
        <v>29393</v>
      </c>
      <c r="K344" s="47">
        <f>K330+K343</f>
        <v>6200</v>
      </c>
      <c r="L344" s="41">
        <f>L330+L343</f>
        <v>1455576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14789+71126</f>
        <v>85915</v>
      </c>
      <c r="G350" s="18">
        <f>4384+14779</f>
        <v>19163</v>
      </c>
      <c r="H350" s="18">
        <f>3507</f>
        <v>3507</v>
      </c>
      <c r="I350" s="18">
        <f>109437</f>
        <v>109437</v>
      </c>
      <c r="J350" s="18">
        <f>4726</f>
        <v>4726</v>
      </c>
      <c r="K350" s="18">
        <f>3111</f>
        <v>3111</v>
      </c>
      <c r="L350" s="13">
        <f>SUM(F350:K350)</f>
        <v>225859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16994+138936</f>
        <v>155930</v>
      </c>
      <c r="G351" s="18">
        <f>5026+39154</f>
        <v>44180</v>
      </c>
      <c r="H351" s="18">
        <f>3911</f>
        <v>3911</v>
      </c>
      <c r="I351" s="18">
        <f>147824</f>
        <v>147824</v>
      </c>
      <c r="J351" s="18">
        <f>6049</f>
        <v>6049</v>
      </c>
      <c r="K351" s="18">
        <f>3365</f>
        <v>3365</v>
      </c>
      <c r="L351" s="19">
        <f>SUM(F351:K351)</f>
        <v>361259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20617+113555</f>
        <v>134172</v>
      </c>
      <c r="G352" s="18">
        <f>6097+27293+167</f>
        <v>33557</v>
      </c>
      <c r="H352" s="18">
        <f>4436</f>
        <v>4436</v>
      </c>
      <c r="I352" s="18">
        <f>256411</f>
        <v>256411</v>
      </c>
      <c r="J352" s="18"/>
      <c r="K352" s="18">
        <v>2948</v>
      </c>
      <c r="L352" s="19">
        <f>SUM(F352:K352)</f>
        <v>431524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376017</v>
      </c>
      <c r="G354" s="47">
        <f t="shared" si="22"/>
        <v>96900</v>
      </c>
      <c r="H354" s="47">
        <f t="shared" si="22"/>
        <v>11854</v>
      </c>
      <c r="I354" s="47">
        <f t="shared" si="22"/>
        <v>513672</v>
      </c>
      <c r="J354" s="47">
        <f t="shared" si="22"/>
        <v>10775</v>
      </c>
      <c r="K354" s="47">
        <f t="shared" si="22"/>
        <v>9424</v>
      </c>
      <c r="L354" s="47">
        <f t="shared" si="22"/>
        <v>1018642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102407</v>
      </c>
      <c r="G359" s="18">
        <v>138934</v>
      </c>
      <c r="H359" s="18">
        <v>246227</v>
      </c>
      <c r="I359" s="56">
        <f>SUM(F359:H359)</f>
        <v>487568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7030</v>
      </c>
      <c r="G360" s="63">
        <v>8890</v>
      </c>
      <c r="H360" s="63">
        <v>10184</v>
      </c>
      <c r="I360" s="56">
        <f>SUM(F360:H360)</f>
        <v>26104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109437</v>
      </c>
      <c r="G361" s="47">
        <f>SUM(G359:G360)</f>
        <v>147824</v>
      </c>
      <c r="H361" s="47">
        <f>SUM(H359:H360)</f>
        <v>256411</v>
      </c>
      <c r="I361" s="47">
        <f>SUM(I359:I360)</f>
        <v>513672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f>27690+275</f>
        <v>27965</v>
      </c>
      <c r="I371" s="18"/>
      <c r="J371" s="18"/>
      <c r="K371" s="18"/>
      <c r="L371" s="13">
        <f t="shared" si="23"/>
        <v>27965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27965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27965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360020</v>
      </c>
      <c r="G434" s="18"/>
      <c r="H434" s="18"/>
      <c r="I434" s="56">
        <f t="shared" si="33"/>
        <v>360020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360020</v>
      </c>
      <c r="G438" s="13">
        <f>SUM(G431:G437)</f>
        <v>0</v>
      </c>
      <c r="H438" s="13">
        <f>SUM(H431:H437)</f>
        <v>0</v>
      </c>
      <c r="I438" s="13">
        <f>SUM(I431:I437)</f>
        <v>360020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360020</v>
      </c>
      <c r="G447" s="18"/>
      <c r="H447" s="18"/>
      <c r="I447" s="56">
        <f>SUM(F447:H447)</f>
        <v>360020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360020</v>
      </c>
      <c r="G450" s="83">
        <f>SUM(G446:G449)</f>
        <v>0</v>
      </c>
      <c r="H450" s="83">
        <f>SUM(H446:H449)</f>
        <v>0</v>
      </c>
      <c r="I450" s="83">
        <f>SUM(I446:I449)</f>
        <v>360020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360020</v>
      </c>
      <c r="G451" s="42">
        <f>G444+G450</f>
        <v>0</v>
      </c>
      <c r="H451" s="42">
        <f>H444+H450</f>
        <v>0</v>
      </c>
      <c r="I451" s="42">
        <f>I444+I450</f>
        <v>360020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4700099</v>
      </c>
      <c r="G455" s="18">
        <v>132681</v>
      </c>
      <c r="H455" s="18">
        <v>633342</v>
      </c>
      <c r="I455" s="18">
        <f>255676-275</f>
        <v>255401</v>
      </c>
      <c r="J455" s="18">
        <v>360020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30983655</v>
      </c>
      <c r="G458" s="18">
        <f>G185</f>
        <v>1009885</v>
      </c>
      <c r="H458" s="18">
        <f>H185</f>
        <v>902827</v>
      </c>
      <c r="I458" s="18">
        <f>I185</f>
        <v>0</v>
      </c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30983655</v>
      </c>
      <c r="G460" s="53">
        <f>SUM(G458:G459)</f>
        <v>1009885</v>
      </c>
      <c r="H460" s="53">
        <f>SUM(H458:H459)</f>
        <v>902827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31121803</v>
      </c>
      <c r="G462" s="18">
        <f>L354</f>
        <v>1018642</v>
      </c>
      <c r="H462" s="18">
        <f>L344</f>
        <v>1455576</v>
      </c>
      <c r="I462" s="18">
        <f>L374</f>
        <v>27965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31121803</v>
      </c>
      <c r="G464" s="53">
        <f>SUM(G462:G463)</f>
        <v>1018642</v>
      </c>
      <c r="H464" s="53">
        <f>SUM(H462:H463)</f>
        <v>1455576</v>
      </c>
      <c r="I464" s="53">
        <f>SUM(I462:I463)</f>
        <v>27965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4561951</v>
      </c>
      <c r="G466" s="53">
        <f>(G455+G460)- G464</f>
        <v>123924</v>
      </c>
      <c r="H466" s="53">
        <f>(H455+H460)- H464</f>
        <v>80593</v>
      </c>
      <c r="I466" s="53">
        <f>(I455+I460)- I464</f>
        <v>227436</v>
      </c>
      <c r="J466" s="53">
        <f>(J455+J460)- J464</f>
        <v>360020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8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11995000</v>
      </c>
      <c r="G483" s="18">
        <v>5166775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4.7300000000000004</v>
      </c>
      <c r="G484" s="18">
        <v>2.89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7795000</v>
      </c>
      <c r="G485" s="18">
        <v>1778624</v>
      </c>
      <c r="H485" s="18"/>
      <c r="I485" s="18"/>
      <c r="J485" s="18"/>
      <c r="K485" s="53">
        <f>SUM(F485:J485)</f>
        <v>9573624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600000</v>
      </c>
      <c r="G487" s="18">
        <v>675000</v>
      </c>
      <c r="H487" s="18"/>
      <c r="I487" s="18"/>
      <c r="J487" s="18"/>
      <c r="K487" s="53">
        <f t="shared" si="34"/>
        <v>1275000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7195000</v>
      </c>
      <c r="G488" s="205">
        <f>G485-G487</f>
        <v>1103624</v>
      </c>
      <c r="H488" s="205"/>
      <c r="I488" s="205"/>
      <c r="J488" s="205"/>
      <c r="K488" s="206">
        <f t="shared" si="34"/>
        <v>8298624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2574175</v>
      </c>
      <c r="G489" s="18">
        <v>226127</v>
      </c>
      <c r="H489" s="18"/>
      <c r="I489" s="18"/>
      <c r="J489" s="18"/>
      <c r="K489" s="53">
        <f t="shared" si="34"/>
        <v>2800302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9769175</v>
      </c>
      <c r="G490" s="42">
        <f>SUM(G488:G489)</f>
        <v>1329751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11098926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600000</v>
      </c>
      <c r="G491" s="205">
        <v>610000</v>
      </c>
      <c r="H491" s="205"/>
      <c r="I491" s="205"/>
      <c r="J491" s="205"/>
      <c r="K491" s="206">
        <f t="shared" si="34"/>
        <v>1210000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335750</v>
      </c>
      <c r="G492" s="18">
        <v>20565</v>
      </c>
      <c r="H492" s="18"/>
      <c r="I492" s="18"/>
      <c r="J492" s="18"/>
      <c r="K492" s="53">
        <f t="shared" si="34"/>
        <v>356315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935750</v>
      </c>
      <c r="G493" s="42">
        <f>SUM(G491:G492)</f>
        <v>630565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1566315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F190+F269</f>
        <v>1030606</v>
      </c>
      <c r="G511" s="18">
        <f t="shared" si="35"/>
        <v>419646</v>
      </c>
      <c r="H511" s="18">
        <f t="shared" si="35"/>
        <v>617137</v>
      </c>
      <c r="I511" s="18">
        <f t="shared" si="35"/>
        <v>7903</v>
      </c>
      <c r="J511" s="18">
        <f t="shared" si="35"/>
        <v>1363</v>
      </c>
      <c r="K511" s="18">
        <f t="shared" si="35"/>
        <v>0</v>
      </c>
      <c r="L511" s="88">
        <f>SUM(F511:K511)</f>
        <v>2076655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F208+F288</f>
        <v>1106944</v>
      </c>
      <c r="G512" s="18">
        <f t="shared" si="36"/>
        <v>488947</v>
      </c>
      <c r="H512" s="18">
        <f t="shared" si="36"/>
        <v>306404</v>
      </c>
      <c r="I512" s="18">
        <f t="shared" si="36"/>
        <v>7237</v>
      </c>
      <c r="J512" s="18">
        <f t="shared" si="36"/>
        <v>1351</v>
      </c>
      <c r="K512" s="18">
        <f t="shared" si="36"/>
        <v>0</v>
      </c>
      <c r="L512" s="88">
        <f>SUM(F512:K512)</f>
        <v>1910883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F226+F307</f>
        <v>1171708</v>
      </c>
      <c r="G513" s="18">
        <f t="shared" si="37"/>
        <v>477093</v>
      </c>
      <c r="H513" s="18">
        <f t="shared" si="37"/>
        <v>305984</v>
      </c>
      <c r="I513" s="18">
        <f t="shared" si="37"/>
        <v>11997</v>
      </c>
      <c r="J513" s="18">
        <f t="shared" si="37"/>
        <v>261</v>
      </c>
      <c r="K513" s="18">
        <f t="shared" si="37"/>
        <v>0</v>
      </c>
      <c r="L513" s="88">
        <f>SUM(F513:K513)</f>
        <v>1967043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3309258</v>
      </c>
      <c r="G514" s="108">
        <f t="shared" ref="G514:L514" si="38">SUM(G511:G513)</f>
        <v>1385686</v>
      </c>
      <c r="H514" s="108">
        <f t="shared" si="38"/>
        <v>1229525</v>
      </c>
      <c r="I514" s="108">
        <f t="shared" si="38"/>
        <v>27137</v>
      </c>
      <c r="J514" s="108">
        <f t="shared" si="38"/>
        <v>2975</v>
      </c>
      <c r="K514" s="108">
        <f t="shared" si="38"/>
        <v>0</v>
      </c>
      <c r="L514" s="89">
        <f t="shared" si="38"/>
        <v>5954581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128513</v>
      </c>
      <c r="G516" s="18">
        <v>44634</v>
      </c>
      <c r="H516" s="18"/>
      <c r="I516" s="18"/>
      <c r="J516" s="18"/>
      <c r="K516" s="18"/>
      <c r="L516" s="88">
        <f>SUM(F516:K516)</f>
        <v>173147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63139</v>
      </c>
      <c r="G517" s="18">
        <v>24709</v>
      </c>
      <c r="H517" s="18"/>
      <c r="I517" s="18"/>
      <c r="J517" s="18"/>
      <c r="K517" s="18"/>
      <c r="L517" s="88">
        <f>SUM(F517:K517)</f>
        <v>87848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60586</v>
      </c>
      <c r="G518" s="18">
        <v>10073</v>
      </c>
      <c r="H518" s="18"/>
      <c r="I518" s="18"/>
      <c r="J518" s="18"/>
      <c r="K518" s="18"/>
      <c r="L518" s="88">
        <f>SUM(F518:K518)</f>
        <v>70659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252238</v>
      </c>
      <c r="G519" s="89">
        <f t="shared" ref="G519:L519" si="39">SUM(G516:G518)</f>
        <v>79416</v>
      </c>
      <c r="H519" s="89">
        <f t="shared" si="39"/>
        <v>0</v>
      </c>
      <c r="I519" s="89">
        <f t="shared" si="39"/>
        <v>0</v>
      </c>
      <c r="J519" s="89">
        <f t="shared" si="39"/>
        <v>0</v>
      </c>
      <c r="K519" s="89">
        <f t="shared" si="39"/>
        <v>0</v>
      </c>
      <c r="L519" s="89">
        <f t="shared" si="39"/>
        <v>331654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22673</v>
      </c>
      <c r="G521" s="18">
        <v>7238</v>
      </c>
      <c r="H521" s="18"/>
      <c r="I521" s="18"/>
      <c r="J521" s="18"/>
      <c r="K521" s="18"/>
      <c r="L521" s="88">
        <f>SUM(F521:K521)</f>
        <v>29911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22139</v>
      </c>
      <c r="G522" s="18">
        <v>5524</v>
      </c>
      <c r="H522" s="18"/>
      <c r="I522" s="18"/>
      <c r="J522" s="18"/>
      <c r="K522" s="18"/>
      <c r="L522" s="88">
        <f>SUM(F522:K522)</f>
        <v>27663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24606</v>
      </c>
      <c r="G523" s="18">
        <v>6617</v>
      </c>
      <c r="H523" s="18"/>
      <c r="I523" s="18"/>
      <c r="J523" s="18"/>
      <c r="K523" s="18"/>
      <c r="L523" s="88">
        <f>SUM(F523:K523)</f>
        <v>31223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69418</v>
      </c>
      <c r="G524" s="89">
        <f t="shared" ref="G524:L524" si="40">SUM(G521:G523)</f>
        <v>19379</v>
      </c>
      <c r="H524" s="89">
        <f t="shared" si="40"/>
        <v>0</v>
      </c>
      <c r="I524" s="89">
        <f t="shared" si="40"/>
        <v>0</v>
      </c>
      <c r="J524" s="89">
        <f t="shared" si="40"/>
        <v>0</v>
      </c>
      <c r="K524" s="89">
        <f t="shared" si="40"/>
        <v>0</v>
      </c>
      <c r="L524" s="89">
        <f t="shared" si="40"/>
        <v>88797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1">SUM(G526:G528)</f>
        <v>0</v>
      </c>
      <c r="H529" s="89">
        <f t="shared" si="41"/>
        <v>0</v>
      </c>
      <c r="I529" s="89">
        <f t="shared" si="41"/>
        <v>0</v>
      </c>
      <c r="J529" s="89">
        <f t="shared" si="41"/>
        <v>0</v>
      </c>
      <c r="K529" s="89">
        <f t="shared" si="41"/>
        <v>0</v>
      </c>
      <c r="L529" s="89">
        <f t="shared" si="41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394504</v>
      </c>
      <c r="I531" s="18"/>
      <c r="J531" s="18"/>
      <c r="K531" s="18"/>
      <c r="L531" s="88">
        <f>SUM(F531:K531)</f>
        <v>394504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197252</v>
      </c>
      <c r="I532" s="18"/>
      <c r="J532" s="18"/>
      <c r="K532" s="18"/>
      <c r="L532" s="88">
        <f>SUM(F532:K532)</f>
        <v>197252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197252</v>
      </c>
      <c r="I533" s="18"/>
      <c r="J533" s="18"/>
      <c r="K533" s="18"/>
      <c r="L533" s="88">
        <f>SUM(F533:K533)</f>
        <v>197252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2">SUM(G531:G533)</f>
        <v>0</v>
      </c>
      <c r="H534" s="194">
        <f t="shared" si="42"/>
        <v>789008</v>
      </c>
      <c r="I534" s="194">
        <f t="shared" si="42"/>
        <v>0</v>
      </c>
      <c r="J534" s="194">
        <f t="shared" si="42"/>
        <v>0</v>
      </c>
      <c r="K534" s="194">
        <f t="shared" si="42"/>
        <v>0</v>
      </c>
      <c r="L534" s="194">
        <f t="shared" si="42"/>
        <v>789008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3630914</v>
      </c>
      <c r="G535" s="89">
        <f t="shared" ref="G535:L535" si="43">G514+G519+G524+G529+G534</f>
        <v>1484481</v>
      </c>
      <c r="H535" s="89">
        <f t="shared" si="43"/>
        <v>2018533</v>
      </c>
      <c r="I535" s="89">
        <f t="shared" si="43"/>
        <v>27137</v>
      </c>
      <c r="J535" s="89">
        <f t="shared" si="43"/>
        <v>2975</v>
      </c>
      <c r="K535" s="89">
        <f t="shared" si="43"/>
        <v>0</v>
      </c>
      <c r="L535" s="89">
        <f t="shared" si="43"/>
        <v>7164040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2076655</v>
      </c>
      <c r="G539" s="87">
        <f>L516</f>
        <v>173147</v>
      </c>
      <c r="H539" s="87">
        <f>L521</f>
        <v>29911</v>
      </c>
      <c r="I539" s="87">
        <f>L526</f>
        <v>0</v>
      </c>
      <c r="J539" s="87">
        <f>L531</f>
        <v>394504</v>
      </c>
      <c r="K539" s="87">
        <f>SUM(F539:J539)</f>
        <v>2674217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1910883</v>
      </c>
      <c r="G540" s="87">
        <f>L517</f>
        <v>87848</v>
      </c>
      <c r="H540" s="87">
        <f>L522</f>
        <v>27663</v>
      </c>
      <c r="I540" s="87">
        <f>L527</f>
        <v>0</v>
      </c>
      <c r="J540" s="87">
        <f>L532</f>
        <v>197252</v>
      </c>
      <c r="K540" s="87">
        <f>SUM(F540:J540)</f>
        <v>2223646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1967043</v>
      </c>
      <c r="G541" s="87">
        <f>L518</f>
        <v>70659</v>
      </c>
      <c r="H541" s="87">
        <f>L523</f>
        <v>31223</v>
      </c>
      <c r="I541" s="87">
        <f>L528</f>
        <v>0</v>
      </c>
      <c r="J541" s="87">
        <f>L533</f>
        <v>197252</v>
      </c>
      <c r="K541" s="87">
        <f>SUM(F541:J541)</f>
        <v>2266177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4">SUM(F539:F541)</f>
        <v>5954581</v>
      </c>
      <c r="G542" s="89">
        <f t="shared" si="44"/>
        <v>331654</v>
      </c>
      <c r="H542" s="89">
        <f t="shared" si="44"/>
        <v>88797</v>
      </c>
      <c r="I542" s="89">
        <f t="shared" si="44"/>
        <v>0</v>
      </c>
      <c r="J542" s="89">
        <f t="shared" si="44"/>
        <v>789008</v>
      </c>
      <c r="K542" s="89">
        <f t="shared" si="44"/>
        <v>7164040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5">SUM(F547:F549)</f>
        <v>0</v>
      </c>
      <c r="G550" s="108">
        <f t="shared" si="45"/>
        <v>0</v>
      </c>
      <c r="H550" s="108">
        <f t="shared" si="45"/>
        <v>0</v>
      </c>
      <c r="I550" s="108">
        <f t="shared" si="45"/>
        <v>0</v>
      </c>
      <c r="J550" s="108">
        <f t="shared" si="45"/>
        <v>0</v>
      </c>
      <c r="K550" s="108">
        <f t="shared" si="45"/>
        <v>0</v>
      </c>
      <c r="L550" s="89">
        <f t="shared" si="45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33203</v>
      </c>
      <c r="G552" s="18">
        <v>18759</v>
      </c>
      <c r="H552" s="18"/>
      <c r="I552" s="18"/>
      <c r="J552" s="18"/>
      <c r="K552" s="18"/>
      <c r="L552" s="88">
        <f>SUM(F552:K552)</f>
        <v>51962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16601</v>
      </c>
      <c r="G553" s="18">
        <v>9380</v>
      </c>
      <c r="H553" s="18"/>
      <c r="I553" s="18"/>
      <c r="J553" s="18"/>
      <c r="K553" s="18"/>
      <c r="L553" s="88">
        <f>SUM(F553:K553)</f>
        <v>25981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16601</v>
      </c>
      <c r="G554" s="18">
        <v>9380</v>
      </c>
      <c r="H554" s="18"/>
      <c r="I554" s="18"/>
      <c r="J554" s="18"/>
      <c r="K554" s="18"/>
      <c r="L554" s="88">
        <f>SUM(F554:K554)</f>
        <v>25981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6">SUM(F552:F554)</f>
        <v>66405</v>
      </c>
      <c r="G555" s="89">
        <f t="shared" si="46"/>
        <v>37519</v>
      </c>
      <c r="H555" s="89">
        <f t="shared" si="46"/>
        <v>0</v>
      </c>
      <c r="I555" s="89">
        <f t="shared" si="46"/>
        <v>0</v>
      </c>
      <c r="J555" s="89">
        <f t="shared" si="46"/>
        <v>0</v>
      </c>
      <c r="K555" s="89">
        <f t="shared" si="46"/>
        <v>0</v>
      </c>
      <c r="L555" s="89">
        <f t="shared" si="46"/>
        <v>103924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7">SUM(G557:G559)</f>
        <v>0</v>
      </c>
      <c r="H560" s="194">
        <f t="shared" si="47"/>
        <v>0</v>
      </c>
      <c r="I560" s="194">
        <f t="shared" si="47"/>
        <v>0</v>
      </c>
      <c r="J560" s="194">
        <f t="shared" si="47"/>
        <v>0</v>
      </c>
      <c r="K560" s="194">
        <f t="shared" si="47"/>
        <v>0</v>
      </c>
      <c r="L560" s="194">
        <f t="shared" si="47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66405</v>
      </c>
      <c r="G561" s="89">
        <f t="shared" ref="G561:L561" si="48">G550+G555+G560</f>
        <v>37519</v>
      </c>
      <c r="H561" s="89">
        <f t="shared" si="48"/>
        <v>0</v>
      </c>
      <c r="I561" s="89">
        <f t="shared" si="48"/>
        <v>0</v>
      </c>
      <c r="J561" s="89">
        <f t="shared" si="48"/>
        <v>0</v>
      </c>
      <c r="K561" s="89">
        <f t="shared" si="48"/>
        <v>0</v>
      </c>
      <c r="L561" s="89">
        <f t="shared" si="48"/>
        <v>103924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9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9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40238</v>
      </c>
      <c r="G569" s="18">
        <v>20119</v>
      </c>
      <c r="H569" s="18">
        <v>20119</v>
      </c>
      <c r="I569" s="87">
        <f t="shared" si="49"/>
        <v>80476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9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481106</v>
      </c>
      <c r="G572" s="18">
        <v>240553</v>
      </c>
      <c r="H572" s="18">
        <v>240553</v>
      </c>
      <c r="I572" s="87">
        <f t="shared" si="49"/>
        <v>962212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9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35229</v>
      </c>
      <c r="I574" s="87">
        <f t="shared" si="49"/>
        <v>35229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9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276609+554</f>
        <v>277163</v>
      </c>
      <c r="I581" s="18">
        <f>317855-1864</f>
        <v>315991</v>
      </c>
      <c r="J581" s="18">
        <f>385616+4887+328</f>
        <v>390831</v>
      </c>
      <c r="K581" s="104">
        <f t="shared" ref="K581:K587" si="50">SUM(H581:J581)</f>
        <v>983985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394504</v>
      </c>
      <c r="I582" s="18">
        <v>197252</v>
      </c>
      <c r="J582" s="18">
        <v>197252</v>
      </c>
      <c r="K582" s="104">
        <f t="shared" si="50"/>
        <v>789008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45071</v>
      </c>
      <c r="K583" s="104">
        <f t="shared" si="50"/>
        <v>45071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13379</v>
      </c>
      <c r="J584" s="18">
        <v>53180</v>
      </c>
      <c r="K584" s="104">
        <f t="shared" si="50"/>
        <v>66559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5246</v>
      </c>
      <c r="I585" s="18">
        <v>325</v>
      </c>
      <c r="J585" s="18">
        <v>15126</v>
      </c>
      <c r="K585" s="104">
        <f t="shared" si="50"/>
        <v>20697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50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676913</v>
      </c>
      <c r="I588" s="108">
        <f>SUM(I581:I587)</f>
        <v>526947</v>
      </c>
      <c r="J588" s="108">
        <f>SUM(J581:J587)</f>
        <v>701460</v>
      </c>
      <c r="K588" s="108">
        <f>SUM(K581:K587)</f>
        <v>1905320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22487</v>
      </c>
      <c r="I594" s="18">
        <f>J221+J301</f>
        <v>97808</v>
      </c>
      <c r="J594" s="18">
        <f>J239+J320+J329+J248</f>
        <v>102804</v>
      </c>
      <c r="K594" s="104">
        <f>SUM(H594:J594)</f>
        <v>223099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22487</v>
      </c>
      <c r="I595" s="108">
        <f>SUM(I592:I594)</f>
        <v>97808</v>
      </c>
      <c r="J595" s="108">
        <f>SUM(J592:J594)</f>
        <v>102804</v>
      </c>
      <c r="K595" s="108">
        <f>SUM(K592:K594)</f>
        <v>223099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39475+2325-150</f>
        <v>41650</v>
      </c>
      <c r="G601" s="18">
        <f>6143+329</f>
        <v>6472</v>
      </c>
      <c r="H601" s="18"/>
      <c r="I601" s="18">
        <v>7234</v>
      </c>
      <c r="J601" s="18"/>
      <c r="K601" s="18"/>
      <c r="L601" s="88">
        <f>SUM(F601:K601)</f>
        <v>55356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1">SUM(F601:F603)</f>
        <v>41650</v>
      </c>
      <c r="G604" s="108">
        <f t="shared" si="51"/>
        <v>6472</v>
      </c>
      <c r="H604" s="108">
        <f t="shared" si="51"/>
        <v>0</v>
      </c>
      <c r="I604" s="108">
        <f t="shared" si="51"/>
        <v>7234</v>
      </c>
      <c r="J604" s="108">
        <f t="shared" si="51"/>
        <v>0</v>
      </c>
      <c r="K604" s="108">
        <f t="shared" si="51"/>
        <v>0</v>
      </c>
      <c r="L604" s="89">
        <f t="shared" si="51"/>
        <v>55356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4731223</v>
      </c>
      <c r="H607" s="109">
        <f>SUM(F44)</f>
        <v>4731223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133533</v>
      </c>
      <c r="H608" s="109">
        <f>SUM(G44)</f>
        <v>133533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124026</v>
      </c>
      <c r="H609" s="109">
        <f>SUM(H44)</f>
        <v>124026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227436</v>
      </c>
      <c r="H610" s="109">
        <f>SUM(I44)</f>
        <v>227436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360020</v>
      </c>
      <c r="H611" s="109">
        <f>SUM(J44)</f>
        <v>360020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4561951</v>
      </c>
      <c r="H612" s="109">
        <f>F466</f>
        <v>4561951</v>
      </c>
      <c r="I612" s="121" t="s">
        <v>106</v>
      </c>
      <c r="J612" s="109">
        <f t="shared" ref="J612:J645" si="52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123924</v>
      </c>
      <c r="H613" s="109">
        <f>G466</f>
        <v>123924</v>
      </c>
      <c r="I613" s="121" t="s">
        <v>108</v>
      </c>
      <c r="J613" s="109">
        <f t="shared" si="52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80593</v>
      </c>
      <c r="H614" s="109">
        <f>H466</f>
        <v>80593</v>
      </c>
      <c r="I614" s="121" t="s">
        <v>110</v>
      </c>
      <c r="J614" s="109">
        <f t="shared" si="52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227436</v>
      </c>
      <c r="H615" s="109">
        <f>I466</f>
        <v>227436</v>
      </c>
      <c r="I615" s="121" t="s">
        <v>112</v>
      </c>
      <c r="J615" s="109">
        <f t="shared" si="52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360020</v>
      </c>
      <c r="H616" s="109">
        <f>J466</f>
        <v>360020</v>
      </c>
      <c r="I616" s="140" t="s">
        <v>114</v>
      </c>
      <c r="J616" s="109">
        <f t="shared" si="52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30983655</v>
      </c>
      <c r="H617" s="104">
        <f>SUM(F458)</f>
        <v>30983655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1009885</v>
      </c>
      <c r="H618" s="104">
        <f>SUM(G458)</f>
        <v>1009885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902827</v>
      </c>
      <c r="H619" s="104">
        <f>SUM(H458)</f>
        <v>902827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31121803</v>
      </c>
      <c r="H622" s="104">
        <f>SUM(F462)</f>
        <v>31121803</v>
      </c>
      <c r="I622" s="140" t="s">
        <v>120</v>
      </c>
      <c r="J622" s="109">
        <f t="shared" si="52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1455576</v>
      </c>
      <c r="H623" s="104">
        <f>SUM(H462)</f>
        <v>1455576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513672</v>
      </c>
      <c r="H624" s="104">
        <f>I361</f>
        <v>513672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1018642</v>
      </c>
      <c r="H625" s="104">
        <f>SUM(G462)</f>
        <v>1018642</v>
      </c>
      <c r="I625" s="140" t="s">
        <v>123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27965</v>
      </c>
      <c r="H626" s="104">
        <f>SUM(I462)</f>
        <v>27965</v>
      </c>
      <c r="I626" s="140" t="s">
        <v>125</v>
      </c>
      <c r="J626" s="109">
        <f t="shared" si="52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52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52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360020</v>
      </c>
      <c r="H629" s="104">
        <f>SUM(F451)</f>
        <v>360020</v>
      </c>
      <c r="I629" s="140" t="s">
        <v>128</v>
      </c>
      <c r="J629" s="109">
        <f t="shared" si="52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52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360020</v>
      </c>
      <c r="H632" s="104">
        <f>SUM(I451)</f>
        <v>360020</v>
      </c>
      <c r="I632" s="140" t="s">
        <v>134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2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52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52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52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1905320</v>
      </c>
      <c r="H637" s="104">
        <f>L200+L218+L236</f>
        <v>1905320</v>
      </c>
      <c r="I637" s="140" t="s">
        <v>420</v>
      </c>
      <c r="J637" s="109">
        <f t="shared" si="52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223099</v>
      </c>
      <c r="H638" s="104">
        <f>(J249+J330)-(J247+J328)</f>
        <v>223099</v>
      </c>
      <c r="I638" s="140" t="s">
        <v>734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676913</v>
      </c>
      <c r="H639" s="104">
        <f>H588</f>
        <v>676913</v>
      </c>
      <c r="I639" s="140" t="s">
        <v>412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526947</v>
      </c>
      <c r="H640" s="104">
        <f>I588</f>
        <v>526947</v>
      </c>
      <c r="I640" s="140" t="s">
        <v>413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701460</v>
      </c>
      <c r="H641" s="104">
        <f>J588</f>
        <v>701460</v>
      </c>
      <c r="I641" s="140" t="s">
        <v>414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9531001</v>
      </c>
      <c r="G650" s="19">
        <f>(L221+L301+L351)</f>
        <v>9425575</v>
      </c>
      <c r="H650" s="19">
        <f>(L239+L320+L352)</f>
        <v>12858313</v>
      </c>
      <c r="I650" s="19">
        <f>SUM(F650:H650)</f>
        <v>31814889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161945.9330667693</v>
      </c>
      <c r="G651" s="19">
        <f>(L351/IF(SUM(L350:L352)=0,1,SUM(L350:L352))*(SUM(G89:G102)))</f>
        <v>259030.74853677739</v>
      </c>
      <c r="H651" s="19">
        <f>(L352/IF(SUM(L350:L352)=0,1,SUM(L350:L352))*(SUM(G89:G102)))</f>
        <v>309412.31839645334</v>
      </c>
      <c r="I651" s="19">
        <f>SUM(F651:H651)</f>
        <v>730389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676913</v>
      </c>
      <c r="G652" s="19">
        <f>(L218+L298)-(J218+J298)</f>
        <v>526947</v>
      </c>
      <c r="H652" s="19">
        <f>(L236+L317)-(J236+J317)</f>
        <v>701460</v>
      </c>
      <c r="I652" s="19">
        <f>SUM(F652:H652)</f>
        <v>1905320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599187</v>
      </c>
      <c r="G653" s="200">
        <f>SUM(G565:G577)+SUM(I592:I594)+L602</f>
        <v>358480</v>
      </c>
      <c r="H653" s="200">
        <f>SUM(H565:H577)+SUM(J592:J594)+L603</f>
        <v>398705</v>
      </c>
      <c r="I653" s="19">
        <f>SUM(F653:H653)</f>
        <v>1356372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8092955.0669332305</v>
      </c>
      <c r="G654" s="19">
        <f>G650-SUM(G651:G653)</f>
        <v>8281117.2514632223</v>
      </c>
      <c r="H654" s="19">
        <f>H650-SUM(H651:H653)</f>
        <v>11448735.681603547</v>
      </c>
      <c r="I654" s="19">
        <f>I650-SUM(I651:I653)</f>
        <v>27822808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747.44</v>
      </c>
      <c r="G655" s="249">
        <v>964.32</v>
      </c>
      <c r="H655" s="249">
        <v>1188.8800000000001</v>
      </c>
      <c r="I655" s="19">
        <f>SUM(F655:H655)</f>
        <v>2900.6400000000003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10827.56</v>
      </c>
      <c r="G657" s="19">
        <f>ROUND(G654/G655,2)</f>
        <v>8587.52</v>
      </c>
      <c r="H657" s="19">
        <f>ROUND(H654/H655,2)</f>
        <v>9629.85</v>
      </c>
      <c r="I657" s="19">
        <f>ROUND(I654/I655,2)</f>
        <v>9591.9500000000007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-33.4</v>
      </c>
      <c r="I660" s="19">
        <f>SUM(F660:H660)</f>
        <v>-33.4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10827.56</v>
      </c>
      <c r="G662" s="19">
        <f>ROUND((G654+G659)/(G655+G660),2)</f>
        <v>8587.52</v>
      </c>
      <c r="H662" s="19">
        <f>ROUND((H654+H659)/(H655+H660),2)</f>
        <v>9908.2099999999991</v>
      </c>
      <c r="I662" s="19">
        <f>ROUND((I654+I659)/(I655+I660),2)</f>
        <v>9703.69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D6E-1D25-42A0-AB1E-00F7D238DEF2}">
  <sheetPr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Goffstown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9316622</v>
      </c>
      <c r="C9" s="230">
        <f>'DOE25'!G189+'DOE25'!G207+'DOE25'!G225+'DOE25'!G268+'DOE25'!G287+'DOE25'!G306</f>
        <v>3558606</v>
      </c>
    </row>
    <row r="10" spans="1:3" x14ac:dyDescent="0.2">
      <c r="A10" t="s">
        <v>813</v>
      </c>
      <c r="B10" s="241">
        <v>8896589</v>
      </c>
      <c r="C10" s="241">
        <v>3398170</v>
      </c>
    </row>
    <row r="11" spans="1:3" x14ac:dyDescent="0.2">
      <c r="A11" t="s">
        <v>814</v>
      </c>
      <c r="B11" s="241">
        <v>10123</v>
      </c>
      <c r="C11" s="241">
        <v>941</v>
      </c>
    </row>
    <row r="12" spans="1:3" x14ac:dyDescent="0.2">
      <c r="A12" t="s">
        <v>815</v>
      </c>
      <c r="B12" s="241">
        <v>409910</v>
      </c>
      <c r="C12" s="241">
        <v>159495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9316622</v>
      </c>
      <c r="C13" s="232">
        <f>SUM(C10:C12)</f>
        <v>3558606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3309258</v>
      </c>
      <c r="C18" s="230">
        <f>'DOE25'!G190+'DOE25'!G208+'DOE25'!G226+'DOE25'!G269+'DOE25'!G288+'DOE25'!G307</f>
        <v>1385686</v>
      </c>
    </row>
    <row r="19" spans="1:3" x14ac:dyDescent="0.2">
      <c r="A19" t="s">
        <v>813</v>
      </c>
      <c r="B19" s="241">
        <v>1905954</v>
      </c>
      <c r="C19" s="241">
        <v>883683</v>
      </c>
    </row>
    <row r="20" spans="1:3" x14ac:dyDescent="0.2">
      <c r="A20" t="s">
        <v>814</v>
      </c>
      <c r="B20" s="241">
        <v>1095850</v>
      </c>
      <c r="C20" s="241">
        <v>381584</v>
      </c>
    </row>
    <row r="21" spans="1:3" x14ac:dyDescent="0.2">
      <c r="A21" t="s">
        <v>815</v>
      </c>
      <c r="B21" s="241">
        <v>307454</v>
      </c>
      <c r="C21" s="241">
        <v>120419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3309258</v>
      </c>
      <c r="C22" s="232">
        <f>SUM(C19:C21)</f>
        <v>1385686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351974</v>
      </c>
      <c r="C36" s="236">
        <f>'DOE25'!G192+'DOE25'!G210+'DOE25'!G228+'DOE25'!G271+'DOE25'!G290+'DOE25'!G309</f>
        <v>56107</v>
      </c>
    </row>
    <row r="37" spans="1:3" x14ac:dyDescent="0.2">
      <c r="A37" t="s">
        <v>813</v>
      </c>
      <c r="B37" s="241">
        <v>40209</v>
      </c>
      <c r="C37" s="241">
        <v>13269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311765</v>
      </c>
      <c r="C39" s="241">
        <v>42838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351974</v>
      </c>
      <c r="C40" s="232">
        <f>SUM(C37:C39)</f>
        <v>56107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614C-9958-43C0-BAB6-D90EAA123B92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Goffstown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19115091</v>
      </c>
      <c r="D5" s="20">
        <f>SUM('DOE25'!L189:L192)+SUM('DOE25'!L207:L210)+SUM('DOE25'!L225:L228)-F5-G5</f>
        <v>18944328</v>
      </c>
      <c r="E5" s="244"/>
      <c r="F5" s="256">
        <f>SUM('DOE25'!J189:J192)+SUM('DOE25'!J207:J210)+SUM('DOE25'!J225:J228)</f>
        <v>96262</v>
      </c>
      <c r="G5" s="53">
        <f>SUM('DOE25'!K189:K192)+SUM('DOE25'!K207:K210)+SUM('DOE25'!K225:K228)</f>
        <v>74501</v>
      </c>
      <c r="H5" s="260"/>
    </row>
    <row r="6" spans="1:9" x14ac:dyDescent="0.2">
      <c r="A6" s="32">
        <v>2100</v>
      </c>
      <c r="B6" t="s">
        <v>835</v>
      </c>
      <c r="C6" s="246">
        <f t="shared" si="0"/>
        <v>1821294</v>
      </c>
      <c r="D6" s="20">
        <f>'DOE25'!L194+'DOE25'!L212+'DOE25'!L230-F6-G6</f>
        <v>1819524</v>
      </c>
      <c r="E6" s="244"/>
      <c r="F6" s="256">
        <f>'DOE25'!J194+'DOE25'!J212+'DOE25'!J230</f>
        <v>0</v>
      </c>
      <c r="G6" s="53">
        <f>'DOE25'!K194+'DOE25'!K212+'DOE25'!K230</f>
        <v>1770</v>
      </c>
      <c r="H6" s="260"/>
    </row>
    <row r="7" spans="1:9" x14ac:dyDescent="0.2">
      <c r="A7" s="32">
        <v>2200</v>
      </c>
      <c r="B7" t="s">
        <v>868</v>
      </c>
      <c r="C7" s="246">
        <f t="shared" si="0"/>
        <v>779188</v>
      </c>
      <c r="D7" s="20">
        <f>'DOE25'!L195+'DOE25'!L213+'DOE25'!L231-F7-G7</f>
        <v>769417</v>
      </c>
      <c r="E7" s="244"/>
      <c r="F7" s="256">
        <f>'DOE25'!J195+'DOE25'!J213+'DOE25'!J231</f>
        <v>9771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645560</v>
      </c>
      <c r="D8" s="244"/>
      <c r="E8" s="20">
        <f>'DOE25'!L196+'DOE25'!L214+'DOE25'!L232-F8-G8-D9-D11</f>
        <v>639933</v>
      </c>
      <c r="F8" s="256">
        <f>'DOE25'!J196+'DOE25'!J214+'DOE25'!J232</f>
        <v>0</v>
      </c>
      <c r="G8" s="53">
        <f>'DOE25'!K196+'DOE25'!K214+'DOE25'!K232</f>
        <v>5627</v>
      </c>
      <c r="H8" s="260"/>
    </row>
    <row r="9" spans="1:9" x14ac:dyDescent="0.2">
      <c r="A9" s="32">
        <v>2310</v>
      </c>
      <c r="B9" t="s">
        <v>852</v>
      </c>
      <c r="C9" s="246">
        <f t="shared" si="0"/>
        <v>39840</v>
      </c>
      <c r="D9" s="245">
        <v>39840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7865</v>
      </c>
      <c r="D10" s="244"/>
      <c r="E10" s="245">
        <v>7865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495660</v>
      </c>
      <c r="D11" s="245">
        <v>495660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1941179</v>
      </c>
      <c r="D12" s="20">
        <f>'DOE25'!L197+'DOE25'!L215+'DOE25'!L233-F12-G12</f>
        <v>1917211</v>
      </c>
      <c r="E12" s="244"/>
      <c r="F12" s="256">
        <f>'DOE25'!J197+'DOE25'!J215+'DOE25'!J233</f>
        <v>0</v>
      </c>
      <c r="G12" s="53">
        <f>'DOE25'!K197+'DOE25'!K215+'DOE25'!K233</f>
        <v>23968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2626874</v>
      </c>
      <c r="D14" s="20">
        <f>'DOE25'!L199+'DOE25'!L217+'DOE25'!L235-F14-G14</f>
        <v>2540290</v>
      </c>
      <c r="E14" s="244"/>
      <c r="F14" s="256">
        <f>'DOE25'!J199+'DOE25'!J217+'DOE25'!J235</f>
        <v>86584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1905320</v>
      </c>
      <c r="D15" s="20">
        <f>'DOE25'!L200+'DOE25'!L218+'DOE25'!L236-F15-G15</f>
        <v>1905320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10340</v>
      </c>
      <c r="D16" s="244"/>
      <c r="E16" s="20">
        <f>'DOE25'!L201+'DOE25'!L219+'DOE25'!L237-F16-G16</f>
        <v>10340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58852</v>
      </c>
      <c r="D17" s="20">
        <f>'DOE25'!L243-F17-G17</f>
        <v>57763</v>
      </c>
      <c r="E17" s="244"/>
      <c r="F17" s="256">
        <f>'DOE25'!J243</f>
        <v>1089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5000</v>
      </c>
      <c r="D19" s="20">
        <f>'DOE25'!L245-F19-G19</f>
        <v>5000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1677605</v>
      </c>
      <c r="D25" s="244"/>
      <c r="E25" s="244"/>
      <c r="F25" s="259"/>
      <c r="G25" s="257"/>
      <c r="H25" s="258">
        <f>'DOE25'!L252+'DOE25'!L253+'DOE25'!L333+'DOE25'!L334</f>
        <v>1677605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531074</v>
      </c>
      <c r="D29" s="20">
        <f>'DOE25'!L350+'DOE25'!L351+'DOE25'!L352-'DOE25'!I359-F29-G29</f>
        <v>510875</v>
      </c>
      <c r="E29" s="244"/>
      <c r="F29" s="256">
        <f>'DOE25'!J350+'DOE25'!J351+'DOE25'!J352</f>
        <v>10775</v>
      </c>
      <c r="G29" s="53">
        <f>'DOE25'!K350+'DOE25'!K351+'DOE25'!K352</f>
        <v>9424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1455371</v>
      </c>
      <c r="D31" s="20">
        <f>'DOE25'!L282+'DOE25'!L301+'DOE25'!L320+'DOE25'!L325+'DOE25'!L326+'DOE25'!L327-F31-G31</f>
        <v>1419983</v>
      </c>
      <c r="E31" s="244"/>
      <c r="F31" s="256">
        <f>'DOE25'!J282+'DOE25'!J301+'DOE25'!J320+'DOE25'!J325+'DOE25'!J326+'DOE25'!J327</f>
        <v>29393</v>
      </c>
      <c r="G31" s="53">
        <f>'DOE25'!K282+'DOE25'!K301+'DOE25'!K320+'DOE25'!K325+'DOE25'!K326+'DOE25'!K327</f>
        <v>5995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30425211</v>
      </c>
      <c r="E33" s="247">
        <f>SUM(E5:E31)</f>
        <v>658138</v>
      </c>
      <c r="F33" s="247">
        <f>SUM(F5:F31)</f>
        <v>233874</v>
      </c>
      <c r="G33" s="247">
        <f>SUM(G5:G31)</f>
        <v>121285</v>
      </c>
      <c r="H33" s="247">
        <f>SUM(H5:H31)</f>
        <v>1677605</v>
      </c>
    </row>
    <row r="35" spans="2:8" ht="12" thickBot="1" x14ac:dyDescent="0.25">
      <c r="B35" s="254" t="s">
        <v>881</v>
      </c>
      <c r="D35" s="255">
        <f>E33</f>
        <v>658138</v>
      </c>
      <c r="E35" s="250"/>
    </row>
    <row r="36" spans="2:8" ht="12" thickTop="1" x14ac:dyDescent="0.2">
      <c r="B36" t="s">
        <v>849</v>
      </c>
      <c r="D36" s="20">
        <f>D33</f>
        <v>30425211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6328-FCAD-4D39-A452-3CE40CD6833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N68" sqref="N6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Goffstown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4870124</v>
      </c>
      <c r="D9" s="95">
        <f>'DOE25'!G9</f>
        <v>118997</v>
      </c>
      <c r="E9" s="95">
        <f>'DOE25'!H9</f>
        <v>-839848</v>
      </c>
      <c r="F9" s="95">
        <f>'DOE25'!I9</f>
        <v>227436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-314475</v>
      </c>
      <c r="D12" s="95">
        <f>'DOE25'!G12</f>
        <v>-1920</v>
      </c>
      <c r="E12" s="95">
        <f>'DOE25'!H12</f>
        <v>918830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107345</v>
      </c>
      <c r="D13" s="95">
        <f>'DOE25'!G13</f>
        <v>16456</v>
      </c>
      <c r="E13" s="95">
        <f>'DOE25'!H13</f>
        <v>44406</v>
      </c>
      <c r="F13" s="95">
        <f>'DOE25'!I13</f>
        <v>0</v>
      </c>
      <c r="G13" s="95">
        <f>'DOE25'!J13</f>
        <v>360020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553</v>
      </c>
      <c r="D14" s="95">
        <f>'DOE25'!G14</f>
        <v>0</v>
      </c>
      <c r="E14" s="95">
        <f>'DOE25'!H14</f>
        <v>638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30851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36825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4731223</v>
      </c>
      <c r="D19" s="41">
        <f>SUM(D9:D18)</f>
        <v>133533</v>
      </c>
      <c r="E19" s="41">
        <f>SUM(E9:E18)</f>
        <v>124026</v>
      </c>
      <c r="F19" s="41">
        <f>SUM(F9:F18)</f>
        <v>227436</v>
      </c>
      <c r="G19" s="41">
        <f>SUM(G9:G18)</f>
        <v>360020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5994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156470</v>
      </c>
      <c r="D28" s="95">
        <f>'DOE25'!G29</f>
        <v>9609</v>
      </c>
      <c r="E28" s="95">
        <f>'DOE25'!H29</f>
        <v>-10058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-12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3204</v>
      </c>
      <c r="D30" s="95">
        <f>'DOE25'!G31</f>
        <v>0</v>
      </c>
      <c r="E30" s="95">
        <f>'DOE25'!H31</f>
        <v>47497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9610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169272</v>
      </c>
      <c r="D32" s="41">
        <f>SUM(D22:D31)</f>
        <v>9609</v>
      </c>
      <c r="E32" s="41">
        <f>SUM(E22:E31)</f>
        <v>43433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30851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36825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1786268</v>
      </c>
      <c r="D36" s="95">
        <f>'DOE25'!G37</f>
        <v>0</v>
      </c>
      <c r="E36" s="95">
        <f>'DOE25'!H37</f>
        <v>0</v>
      </c>
      <c r="F36" s="95">
        <f>'DOE25'!I37</f>
        <v>24950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360020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123924</v>
      </c>
      <c r="E40" s="95">
        <f>'DOE25'!H41</f>
        <v>80593</v>
      </c>
      <c r="F40" s="95">
        <f>'DOE25'!I41</f>
        <v>202486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2708007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4561951</v>
      </c>
      <c r="D42" s="41">
        <f>SUM(D34:D41)</f>
        <v>123924</v>
      </c>
      <c r="E42" s="41">
        <f>SUM(E34:E41)</f>
        <v>80593</v>
      </c>
      <c r="F42" s="41">
        <f>SUM(F34:F41)</f>
        <v>227436</v>
      </c>
      <c r="G42" s="41">
        <f>SUM(G34:G41)</f>
        <v>360020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4731223</v>
      </c>
      <c r="D43" s="41">
        <f>D42+D32</f>
        <v>133533</v>
      </c>
      <c r="E43" s="41">
        <f>E42+E32</f>
        <v>124026</v>
      </c>
      <c r="F43" s="41">
        <f>F42+F32</f>
        <v>227436</v>
      </c>
      <c r="G43" s="41">
        <f>G42+G32</f>
        <v>360020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13368345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5977456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2688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15689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730389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50196</v>
      </c>
      <c r="D53" s="95">
        <f>SUM('DOE25'!G90:G102)</f>
        <v>0</v>
      </c>
      <c r="E53" s="95">
        <f>SUM('DOE25'!H90:H102)</f>
        <v>55442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6046029</v>
      </c>
      <c r="D54" s="130">
        <f>SUM(D49:D53)</f>
        <v>730389</v>
      </c>
      <c r="E54" s="130">
        <f>SUM(E49:E53)</f>
        <v>55442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19414374</v>
      </c>
      <c r="D55" s="22">
        <f>D48+D54</f>
        <v>730389</v>
      </c>
      <c r="E55" s="22">
        <f>E48+E54</f>
        <v>55442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5041531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3326283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1934279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10302093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608240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381476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24031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33600</v>
      </c>
      <c r="D69" s="95">
        <f>SUM('DOE25'!G123:G127)</f>
        <v>10427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1047347</v>
      </c>
      <c r="D70" s="130">
        <f>SUM(D64:D69)</f>
        <v>10427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11349440</v>
      </c>
      <c r="D73" s="130">
        <f>SUM(D71:D72)+D70+D62</f>
        <v>10427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202454</v>
      </c>
      <c r="D80" s="95">
        <f>SUM('DOE25'!G145:G153)</f>
        <v>219703</v>
      </c>
      <c r="E80" s="95">
        <f>SUM('DOE25'!H145:H153)</f>
        <v>846734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49366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202454</v>
      </c>
      <c r="D83" s="131">
        <f>SUM(D77:D82)</f>
        <v>269069</v>
      </c>
      <c r="E83" s="131">
        <f>SUM(E77:E82)</f>
        <v>846734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17387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651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17387</v>
      </c>
      <c r="D95" s="86">
        <f>SUM(D85:D94)</f>
        <v>0</v>
      </c>
      <c r="E95" s="86">
        <f>SUM(E85:E94)</f>
        <v>651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30983655</v>
      </c>
      <c r="D96" s="86">
        <f>D55+D73+D83+D95</f>
        <v>1009885</v>
      </c>
      <c r="E96" s="86">
        <f>E55+E73+E83+E95</f>
        <v>902827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13442609</v>
      </c>
      <c r="D101" s="24" t="s">
        <v>312</v>
      </c>
      <c r="E101" s="95">
        <f>('DOE25'!L268)+('DOE25'!L287)+('DOE25'!L306)</f>
        <v>343133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5062022</v>
      </c>
      <c r="D102" s="24" t="s">
        <v>312</v>
      </c>
      <c r="E102" s="95">
        <f>('DOE25'!L269)+('DOE25'!L288)+('DOE25'!L307)</f>
        <v>892559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35229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575231</v>
      </c>
      <c r="D104" s="24" t="s">
        <v>312</v>
      </c>
      <c r="E104" s="95">
        <f>+('DOE25'!L271)+('DOE25'!L290)+('DOE25'!L309)</f>
        <v>7178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63852</v>
      </c>
      <c r="D106" s="24" t="s">
        <v>312</v>
      </c>
      <c r="E106" s="95">
        <f>+ SUM('DOE25'!L325:L327)</f>
        <v>39470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19178943</v>
      </c>
      <c r="D107" s="86">
        <f>SUM(D101:D106)</f>
        <v>0</v>
      </c>
      <c r="E107" s="86">
        <f>SUM(E101:E106)</f>
        <v>1282340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1821294</v>
      </c>
      <c r="D110" s="24" t="s">
        <v>312</v>
      </c>
      <c r="E110" s="95">
        <f>+('DOE25'!L273)+('DOE25'!L292)+('DOE25'!L311)</f>
        <v>27398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779188</v>
      </c>
      <c r="D111" s="24" t="s">
        <v>312</v>
      </c>
      <c r="E111" s="95">
        <f>+('DOE25'!L274)+('DOE25'!L293)+('DOE25'!L312)</f>
        <v>138138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1181060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1941179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5995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2626874</v>
      </c>
      <c r="D115" s="24" t="s">
        <v>312</v>
      </c>
      <c r="E115" s="95">
        <f>+('DOE25'!L278)+('DOE25'!L297)+('DOE25'!L316)</f>
        <v>1500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1905320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10340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1018642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10265255</v>
      </c>
      <c r="D120" s="86">
        <f>SUM(D110:D119)</f>
        <v>1018642</v>
      </c>
      <c r="E120" s="86">
        <f>SUM(E110:E119)</f>
        <v>173031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27965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1275000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402605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205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1677605</v>
      </c>
      <c r="D136" s="141">
        <f>SUM(D122:D135)</f>
        <v>0</v>
      </c>
      <c r="E136" s="141">
        <f>SUM(E122:E135)</f>
        <v>205</v>
      </c>
      <c r="F136" s="141">
        <f>SUM(F122:F135)</f>
        <v>27965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31121803</v>
      </c>
      <c r="D137" s="86">
        <f>(D107+D120+D136)</f>
        <v>1018642</v>
      </c>
      <c r="E137" s="86">
        <f>(E107+E120+E136)</f>
        <v>1455576</v>
      </c>
      <c r="F137" s="86">
        <f>(F107+F120+F136)</f>
        <v>27965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8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05/01</v>
      </c>
      <c r="C144" s="152" t="str">
        <f>'DOE25'!G481</f>
        <v>08/03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07/21</v>
      </c>
      <c r="C145" s="152" t="str">
        <f>'DOE25'!G482</f>
        <v>08/11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11995000</v>
      </c>
      <c r="C146" s="137">
        <f>'DOE25'!G483</f>
        <v>5166775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4.7300000000000004</v>
      </c>
      <c r="C147" s="137">
        <f>'DOE25'!G484</f>
        <v>2.89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7795000</v>
      </c>
      <c r="C148" s="137">
        <f>'DOE25'!G485</f>
        <v>1778624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9573624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600000</v>
      </c>
      <c r="C150" s="137">
        <f>'DOE25'!G487</f>
        <v>675000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1275000</v>
      </c>
    </row>
    <row r="151" spans="1:7" x14ac:dyDescent="0.2">
      <c r="A151" s="22" t="s">
        <v>35</v>
      </c>
      <c r="B151" s="137">
        <f>'DOE25'!F488</f>
        <v>7195000</v>
      </c>
      <c r="C151" s="137">
        <f>'DOE25'!G488</f>
        <v>1103624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8298624</v>
      </c>
    </row>
    <row r="152" spans="1:7" x14ac:dyDescent="0.2">
      <c r="A152" s="22" t="s">
        <v>36</v>
      </c>
      <c r="B152" s="137">
        <f>'DOE25'!F489</f>
        <v>2574175</v>
      </c>
      <c r="C152" s="137">
        <f>'DOE25'!G489</f>
        <v>226127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2800302</v>
      </c>
    </row>
    <row r="153" spans="1:7" x14ac:dyDescent="0.2">
      <c r="A153" s="22" t="s">
        <v>37</v>
      </c>
      <c r="B153" s="137">
        <f>'DOE25'!F490</f>
        <v>9769175</v>
      </c>
      <c r="C153" s="137">
        <f>'DOE25'!G490</f>
        <v>1329751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11098926</v>
      </c>
    </row>
    <row r="154" spans="1:7" x14ac:dyDescent="0.2">
      <c r="A154" s="22" t="s">
        <v>38</v>
      </c>
      <c r="B154" s="137">
        <f>'DOE25'!F491</f>
        <v>600000</v>
      </c>
      <c r="C154" s="137">
        <f>'DOE25'!G491</f>
        <v>610000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1210000</v>
      </c>
    </row>
    <row r="155" spans="1:7" x14ac:dyDescent="0.2">
      <c r="A155" s="22" t="s">
        <v>39</v>
      </c>
      <c r="B155" s="137">
        <f>'DOE25'!F492</f>
        <v>335750</v>
      </c>
      <c r="C155" s="137">
        <f>'DOE25'!G492</f>
        <v>20565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356315</v>
      </c>
    </row>
    <row r="156" spans="1:7" x14ac:dyDescent="0.2">
      <c r="A156" s="22" t="s">
        <v>269</v>
      </c>
      <c r="B156" s="137">
        <f>'DOE25'!F493</f>
        <v>935750</v>
      </c>
      <c r="C156" s="137">
        <f>'DOE25'!G493</f>
        <v>630565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1566315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886E-32AC-458B-A36A-07FCECB111A1}">
  <sheetPr codeName="Sheet3">
    <tabColor indexed="43"/>
  </sheetPr>
  <dimension ref="A1:D42"/>
  <sheetViews>
    <sheetView workbookViewId="0">
      <selection activeCell="C29" sqref="C2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Goffstown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10828</v>
      </c>
    </row>
    <row r="5" spans="1:4" x14ac:dyDescent="0.2">
      <c r="B5" t="s">
        <v>735</v>
      </c>
      <c r="C5" s="179">
        <f>IF('DOE25'!G655+'DOE25'!G660=0,0,ROUND('DOE25'!G662,0))</f>
        <v>8588</v>
      </c>
    </row>
    <row r="6" spans="1:4" x14ac:dyDescent="0.2">
      <c r="B6" t="s">
        <v>62</v>
      </c>
      <c r="C6" s="179">
        <f>IF('DOE25'!H655+'DOE25'!H660=0,0,ROUND('DOE25'!H662,0))</f>
        <v>9908</v>
      </c>
    </row>
    <row r="7" spans="1:4" x14ac:dyDescent="0.2">
      <c r="B7" t="s">
        <v>736</v>
      </c>
      <c r="C7" s="179">
        <f>IF('DOE25'!I655+'DOE25'!I660=0,0,ROUND('DOE25'!I662,0))</f>
        <v>9704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13785742</v>
      </c>
      <c r="D10" s="182">
        <f>ROUND((C10/$C$28)*100,1)</f>
        <v>43.6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5954581</v>
      </c>
      <c r="D11" s="182">
        <f>ROUND((C11/$C$28)*100,1)</f>
        <v>18.8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35229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582409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1848692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917326</v>
      </c>
      <c r="D16" s="182">
        <f t="shared" si="0"/>
        <v>2.9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1191400</v>
      </c>
      <c r="D17" s="182">
        <f t="shared" si="0"/>
        <v>3.8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1941179</v>
      </c>
      <c r="D18" s="182">
        <f t="shared" si="0"/>
        <v>6.1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5995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2628374</v>
      </c>
      <c r="D20" s="182">
        <f t="shared" si="0"/>
        <v>8.3000000000000007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1905320</v>
      </c>
      <c r="D21" s="182">
        <f t="shared" si="0"/>
        <v>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103322</v>
      </c>
      <c r="D24" s="182">
        <f t="shared" si="0"/>
        <v>0.3</v>
      </c>
    </row>
    <row r="25" spans="1:4" x14ac:dyDescent="0.2">
      <c r="A25">
        <v>5120</v>
      </c>
      <c r="B25" t="s">
        <v>751</v>
      </c>
      <c r="C25" s="179">
        <f>ROUND('DOE25'!L253+'DOE25'!L334,0)</f>
        <v>402605</v>
      </c>
      <c r="D25" s="182">
        <f t="shared" si="0"/>
        <v>1.3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288253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31590427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27965</v>
      </c>
    </row>
    <row r="30" spans="1:4" x14ac:dyDescent="0.2">
      <c r="B30" s="187" t="s">
        <v>760</v>
      </c>
      <c r="C30" s="180">
        <f>SUM(C28:C29)</f>
        <v>31618392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1275000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13368345</v>
      </c>
      <c r="D35" s="182">
        <f t="shared" ref="D35:D40" si="1">ROUND((C35/$C$41)*100,1)</f>
        <v>41.6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6101471</v>
      </c>
      <c r="D36" s="182">
        <f t="shared" si="1"/>
        <v>19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8367814</v>
      </c>
      <c r="D37" s="182">
        <f t="shared" si="1"/>
        <v>26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2992053</v>
      </c>
      <c r="D38" s="182">
        <f t="shared" si="1"/>
        <v>9.3000000000000007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1318257</v>
      </c>
      <c r="D39" s="182">
        <f t="shared" si="1"/>
        <v>4.0999999999999996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32147940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A3FB-0D42-48FF-BC85-10AF1B2B729F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Goffstown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2010-09-23T15:38:01Z</cp:lastPrinted>
  <dcterms:created xsi:type="dcterms:W3CDTF">1997-12-04T19:04:30Z</dcterms:created>
  <dcterms:modified xsi:type="dcterms:W3CDTF">2025-01-09T20:03:06Z</dcterms:modified>
</cp:coreProperties>
</file>