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EEBB6E6-8D5E-4ED1-977F-8B53DE8255A6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6EB4B747-88B4-4A99-AC6C-C250A9901F9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3" i="1" l="1"/>
  <c r="H522" i="1"/>
  <c r="H521" i="1"/>
  <c r="G603" i="1"/>
  <c r="F603" i="1"/>
  <c r="L603" i="1" s="1"/>
  <c r="H601" i="1"/>
  <c r="J594" i="1"/>
  <c r="I594" i="1"/>
  <c r="H594" i="1"/>
  <c r="H595" i="1" s="1"/>
  <c r="H581" i="1"/>
  <c r="K581" i="1" s="1"/>
  <c r="I581" i="1"/>
  <c r="J581" i="1"/>
  <c r="J585" i="1"/>
  <c r="J584" i="1"/>
  <c r="J583" i="1"/>
  <c r="J582" i="1"/>
  <c r="I585" i="1"/>
  <c r="I584" i="1"/>
  <c r="I582" i="1"/>
  <c r="I588" i="1" s="1"/>
  <c r="H640" i="1" s="1"/>
  <c r="H585" i="1"/>
  <c r="H582" i="1"/>
  <c r="K582" i="1" s="1"/>
  <c r="H586" i="1"/>
  <c r="K586" i="1" s="1"/>
  <c r="F572" i="1"/>
  <c r="H568" i="1"/>
  <c r="F568" i="1"/>
  <c r="F489" i="1"/>
  <c r="F488" i="1"/>
  <c r="F518" i="1"/>
  <c r="G518" i="1"/>
  <c r="G513" i="1"/>
  <c r="F513" i="1"/>
  <c r="J513" i="1"/>
  <c r="I513" i="1"/>
  <c r="I514" i="1" s="1"/>
  <c r="H513" i="1"/>
  <c r="H514" i="1" s="1"/>
  <c r="H518" i="1"/>
  <c r="K513" i="1"/>
  <c r="F512" i="1"/>
  <c r="G517" i="1"/>
  <c r="F517" i="1"/>
  <c r="I532" i="1"/>
  <c r="G532" i="1"/>
  <c r="F532" i="1"/>
  <c r="H517" i="1"/>
  <c r="L517" i="1" s="1"/>
  <c r="G540" i="1" s="1"/>
  <c r="G512" i="1"/>
  <c r="K512" i="1"/>
  <c r="K514" i="1" s="1"/>
  <c r="K535" i="1" s="1"/>
  <c r="J512" i="1"/>
  <c r="J514" i="1" s="1"/>
  <c r="J535" i="1" s="1"/>
  <c r="I512" i="1"/>
  <c r="H512" i="1"/>
  <c r="G516" i="1"/>
  <c r="F516" i="1"/>
  <c r="I511" i="1"/>
  <c r="H511" i="1"/>
  <c r="G511" i="1"/>
  <c r="F511" i="1"/>
  <c r="J531" i="1"/>
  <c r="J534" i="1" s="1"/>
  <c r="I531" i="1"/>
  <c r="H531" i="1"/>
  <c r="H534" i="1" s="1"/>
  <c r="H516" i="1"/>
  <c r="K516" i="1"/>
  <c r="I516" i="1"/>
  <c r="K511" i="1"/>
  <c r="J511" i="1"/>
  <c r="K521" i="1"/>
  <c r="F434" i="1"/>
  <c r="G434" i="1"/>
  <c r="K406" i="1"/>
  <c r="K418" i="1"/>
  <c r="K419" i="1" s="1"/>
  <c r="K426" i="1" s="1"/>
  <c r="G126" i="2" s="1"/>
  <c r="G136" i="2" s="1"/>
  <c r="G137" i="2" s="1"/>
  <c r="G449" i="1"/>
  <c r="G448" i="1"/>
  <c r="G450" i="1" s="1"/>
  <c r="F449" i="1"/>
  <c r="H392" i="1"/>
  <c r="G392" i="1"/>
  <c r="G380" i="1"/>
  <c r="F177" i="1"/>
  <c r="J371" i="1"/>
  <c r="H371" i="1"/>
  <c r="H359" i="1"/>
  <c r="I352" i="1"/>
  <c r="I351" i="1"/>
  <c r="G359" i="1" s="1"/>
  <c r="G361" i="1" s="1"/>
  <c r="I350" i="1"/>
  <c r="H352" i="1"/>
  <c r="H351" i="1"/>
  <c r="L351" i="1" s="1"/>
  <c r="H350" i="1"/>
  <c r="J317" i="1"/>
  <c r="J298" i="1"/>
  <c r="J279" i="1"/>
  <c r="L279" i="1" s="1"/>
  <c r="E116" i="2" s="1"/>
  <c r="K277" i="1"/>
  <c r="L277" i="1" s="1"/>
  <c r="K273" i="1"/>
  <c r="J269" i="1"/>
  <c r="J282" i="1" s="1"/>
  <c r="I269" i="1"/>
  <c r="K315" i="1"/>
  <c r="L315" i="1" s="1"/>
  <c r="J307" i="1"/>
  <c r="G312" i="1"/>
  <c r="G274" i="1"/>
  <c r="F312" i="1"/>
  <c r="F274" i="1"/>
  <c r="G309" i="1"/>
  <c r="F309" i="1"/>
  <c r="I307" i="1"/>
  <c r="H307" i="1"/>
  <c r="H269" i="1"/>
  <c r="H282" i="1" s="1"/>
  <c r="G269" i="1"/>
  <c r="F269" i="1"/>
  <c r="F282" i="1" s="1"/>
  <c r="F330" i="1" s="1"/>
  <c r="F344" i="1" s="1"/>
  <c r="J274" i="1"/>
  <c r="L274" i="1" s="1"/>
  <c r="I274" i="1"/>
  <c r="K274" i="1"/>
  <c r="H274" i="1"/>
  <c r="J268" i="1"/>
  <c r="I268" i="1"/>
  <c r="G268" i="1"/>
  <c r="F268" i="1"/>
  <c r="L268" i="1" s="1"/>
  <c r="I306" i="1"/>
  <c r="J314" i="1"/>
  <c r="L314" i="1" s="1"/>
  <c r="J306" i="1"/>
  <c r="H273" i="1"/>
  <c r="L273" i="1" s="1"/>
  <c r="H312" i="1"/>
  <c r="H293" i="1"/>
  <c r="H311" i="1"/>
  <c r="L311" i="1" s="1"/>
  <c r="F307" i="1"/>
  <c r="F288" i="1"/>
  <c r="K296" i="1"/>
  <c r="J287" i="1"/>
  <c r="L287" i="1" s="1"/>
  <c r="H268" i="1"/>
  <c r="G293" i="1"/>
  <c r="F293" i="1"/>
  <c r="F301" i="1" s="1"/>
  <c r="H309" i="1"/>
  <c r="I236" i="1"/>
  <c r="G236" i="1"/>
  <c r="F236" i="1"/>
  <c r="H236" i="1"/>
  <c r="K236" i="1"/>
  <c r="J236" i="1"/>
  <c r="H235" i="1"/>
  <c r="H233" i="1"/>
  <c r="L233" i="1" s="1"/>
  <c r="J231" i="1"/>
  <c r="I231" i="1"/>
  <c r="H231" i="1"/>
  <c r="H239" i="1" s="1"/>
  <c r="G231" i="1"/>
  <c r="F231" i="1"/>
  <c r="L231" i="1" s="1"/>
  <c r="K231" i="1"/>
  <c r="G230" i="1"/>
  <c r="F230" i="1"/>
  <c r="L230" i="1" s="1"/>
  <c r="H230" i="1"/>
  <c r="K230" i="1"/>
  <c r="J230" i="1"/>
  <c r="I230" i="1"/>
  <c r="H228" i="1"/>
  <c r="K228" i="1"/>
  <c r="I228" i="1"/>
  <c r="G228" i="1"/>
  <c r="F228" i="1"/>
  <c r="F239" i="1" s="1"/>
  <c r="J226" i="1"/>
  <c r="I226" i="1"/>
  <c r="H226" i="1"/>
  <c r="L226" i="1" s="1"/>
  <c r="G226" i="1"/>
  <c r="F226" i="1"/>
  <c r="K226" i="1"/>
  <c r="G225" i="1"/>
  <c r="F225" i="1"/>
  <c r="H225" i="1"/>
  <c r="K225" i="1"/>
  <c r="K239" i="1" s="1"/>
  <c r="J225" i="1"/>
  <c r="I225" i="1"/>
  <c r="I239" i="1" s="1"/>
  <c r="I218" i="1"/>
  <c r="L218" i="1" s="1"/>
  <c r="G218" i="1"/>
  <c r="F218" i="1"/>
  <c r="K218" i="1"/>
  <c r="J218" i="1"/>
  <c r="H218" i="1"/>
  <c r="H217" i="1"/>
  <c r="I215" i="1"/>
  <c r="H215" i="1"/>
  <c r="J213" i="1"/>
  <c r="F7" i="13" s="1"/>
  <c r="I213" i="1"/>
  <c r="H213" i="1"/>
  <c r="G213" i="1"/>
  <c r="L213" i="1" s="1"/>
  <c r="F213" i="1"/>
  <c r="K213" i="1"/>
  <c r="G7" i="13" s="1"/>
  <c r="H212" i="1"/>
  <c r="G212" i="1"/>
  <c r="F212" i="1"/>
  <c r="K212" i="1"/>
  <c r="J212" i="1"/>
  <c r="L212" i="1" s="1"/>
  <c r="I212" i="1"/>
  <c r="H210" i="1"/>
  <c r="G210" i="1"/>
  <c r="F210" i="1"/>
  <c r="L210" i="1" s="1"/>
  <c r="K210" i="1"/>
  <c r="I210" i="1"/>
  <c r="K208" i="1"/>
  <c r="L208" i="1" s="1"/>
  <c r="J208" i="1"/>
  <c r="I208" i="1"/>
  <c r="G208" i="1"/>
  <c r="F208" i="1"/>
  <c r="B18" i="12" s="1"/>
  <c r="H208" i="1"/>
  <c r="J207" i="1"/>
  <c r="G207" i="1"/>
  <c r="L207" i="1" s="1"/>
  <c r="F207" i="1"/>
  <c r="H207" i="1"/>
  <c r="K207" i="1"/>
  <c r="K221" i="1" s="1"/>
  <c r="I207" i="1"/>
  <c r="F200" i="1"/>
  <c r="I200" i="1"/>
  <c r="G200" i="1"/>
  <c r="J200" i="1"/>
  <c r="H200" i="1"/>
  <c r="K200" i="1"/>
  <c r="G15" i="13" s="1"/>
  <c r="H199" i="1"/>
  <c r="H197" i="1"/>
  <c r="L197" i="1" s="1"/>
  <c r="K232" i="1"/>
  <c r="I232" i="1"/>
  <c r="H232" i="1"/>
  <c r="L232" i="1" s="1"/>
  <c r="G232" i="1"/>
  <c r="F232" i="1"/>
  <c r="K214" i="1"/>
  <c r="I214" i="1"/>
  <c r="H214" i="1"/>
  <c r="G214" i="1"/>
  <c r="F214" i="1"/>
  <c r="H196" i="1"/>
  <c r="K196" i="1"/>
  <c r="G8" i="13" s="1"/>
  <c r="I196" i="1"/>
  <c r="G196" i="1"/>
  <c r="F196" i="1"/>
  <c r="J195" i="1"/>
  <c r="I195" i="1"/>
  <c r="L195" i="1" s="1"/>
  <c r="H195" i="1"/>
  <c r="G195" i="1"/>
  <c r="F195" i="1"/>
  <c r="H194" i="1"/>
  <c r="K194" i="1"/>
  <c r="I194" i="1"/>
  <c r="G194" i="1"/>
  <c r="L194" i="1" s="1"/>
  <c r="F194" i="1"/>
  <c r="J194" i="1"/>
  <c r="F6" i="13" s="1"/>
  <c r="H192" i="1"/>
  <c r="H203" i="1" s="1"/>
  <c r="G192" i="1"/>
  <c r="F192" i="1"/>
  <c r="L192" i="1" s="1"/>
  <c r="C104" i="2" s="1"/>
  <c r="G190" i="1"/>
  <c r="F190" i="1"/>
  <c r="K190" i="1"/>
  <c r="J190" i="1"/>
  <c r="I190" i="1"/>
  <c r="H190" i="1"/>
  <c r="G189" i="1"/>
  <c r="G203" i="1" s="1"/>
  <c r="K189" i="1"/>
  <c r="J189" i="1"/>
  <c r="J203" i="1" s="1"/>
  <c r="I189" i="1"/>
  <c r="I203" i="1" s="1"/>
  <c r="H189" i="1"/>
  <c r="F189" i="1"/>
  <c r="B9" i="12" s="1"/>
  <c r="F102" i="1"/>
  <c r="F97" i="1"/>
  <c r="F60" i="1"/>
  <c r="H23" i="1"/>
  <c r="C60" i="2"/>
  <c r="B2" i="13"/>
  <c r="F8" i="13"/>
  <c r="D39" i="13"/>
  <c r="F13" i="13"/>
  <c r="G13" i="13"/>
  <c r="L198" i="1"/>
  <c r="L216" i="1"/>
  <c r="L234" i="1"/>
  <c r="F16" i="13"/>
  <c r="G16" i="13"/>
  <c r="L201" i="1"/>
  <c r="L219" i="1"/>
  <c r="C117" i="2" s="1"/>
  <c r="L237" i="1"/>
  <c r="G5" i="13"/>
  <c r="L190" i="1"/>
  <c r="L191" i="1"/>
  <c r="L209" i="1"/>
  <c r="L225" i="1"/>
  <c r="L227" i="1"/>
  <c r="C12" i="10" s="1"/>
  <c r="L228" i="1"/>
  <c r="G6" i="13"/>
  <c r="F12" i="13"/>
  <c r="G12" i="13"/>
  <c r="L215" i="1"/>
  <c r="F14" i="13"/>
  <c r="G14" i="13"/>
  <c r="L199" i="1"/>
  <c r="L217" i="1"/>
  <c r="L235" i="1"/>
  <c r="F15" i="13"/>
  <c r="L200" i="1"/>
  <c r="F652" i="1" s="1"/>
  <c r="F17" i="13"/>
  <c r="D17" i="13" s="1"/>
  <c r="C17" i="13" s="1"/>
  <c r="G17" i="13"/>
  <c r="L243" i="1"/>
  <c r="F18" i="13"/>
  <c r="G18" i="13"/>
  <c r="L244" i="1"/>
  <c r="C24" i="10" s="1"/>
  <c r="F19" i="13"/>
  <c r="G19" i="13"/>
  <c r="L245" i="1"/>
  <c r="D19" i="13" s="1"/>
  <c r="C19" i="13" s="1"/>
  <c r="F29" i="13"/>
  <c r="G29" i="13"/>
  <c r="L352" i="1"/>
  <c r="K282" i="1"/>
  <c r="K301" i="1"/>
  <c r="L270" i="1"/>
  <c r="L271" i="1"/>
  <c r="L275" i="1"/>
  <c r="L276" i="1"/>
  <c r="E113" i="2" s="1"/>
  <c r="L278" i="1"/>
  <c r="L280" i="1"/>
  <c r="L288" i="1"/>
  <c r="L289" i="1"/>
  <c r="L290" i="1"/>
  <c r="L292" i="1"/>
  <c r="L294" i="1"/>
  <c r="E112" i="2" s="1"/>
  <c r="L295" i="1"/>
  <c r="L296" i="1"/>
  <c r="L297" i="1"/>
  <c r="L298" i="1"/>
  <c r="L299" i="1"/>
  <c r="L306" i="1"/>
  <c r="L308" i="1"/>
  <c r="L309" i="1"/>
  <c r="L313" i="1"/>
  <c r="L316" i="1"/>
  <c r="L317" i="1"/>
  <c r="L318" i="1"/>
  <c r="L325" i="1"/>
  <c r="E106" i="2" s="1"/>
  <c r="L326" i="1"/>
  <c r="L327" i="1"/>
  <c r="L252" i="1"/>
  <c r="L253" i="1"/>
  <c r="C124" i="2" s="1"/>
  <c r="L333" i="1"/>
  <c r="L334" i="1"/>
  <c r="L247" i="1"/>
  <c r="C29" i="10" s="1"/>
  <c r="L328" i="1"/>
  <c r="C11" i="13"/>
  <c r="C10" i="13"/>
  <c r="C9" i="13"/>
  <c r="L353" i="1"/>
  <c r="B4" i="12"/>
  <c r="C36" i="12"/>
  <c r="B40" i="12"/>
  <c r="C40" i="12"/>
  <c r="B27" i="12"/>
  <c r="C27" i="12"/>
  <c r="B31" i="12"/>
  <c r="C31" i="12"/>
  <c r="B13" i="12"/>
  <c r="C13" i="12"/>
  <c r="B22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96" i="2" s="1"/>
  <c r="G51" i="2"/>
  <c r="G54" i="2" s="1"/>
  <c r="G53" i="2"/>
  <c r="F2" i="11"/>
  <c r="L602" i="1"/>
  <c r="G653" i="1"/>
  <c r="L601" i="1"/>
  <c r="F653" i="1"/>
  <c r="C40" i="10"/>
  <c r="G52" i="1"/>
  <c r="D48" i="2" s="1"/>
  <c r="D55" i="2" s="1"/>
  <c r="D96" i="2" s="1"/>
  <c r="H52" i="1"/>
  <c r="I52" i="1"/>
  <c r="F71" i="1"/>
  <c r="F86" i="1"/>
  <c r="F103" i="1"/>
  <c r="G103" i="1"/>
  <c r="H71" i="1"/>
  <c r="E49" i="2" s="1"/>
  <c r="H86" i="1"/>
  <c r="E50" i="2" s="1"/>
  <c r="H103" i="1"/>
  <c r="I103" i="1"/>
  <c r="I104" i="1" s="1"/>
  <c r="J103" i="1"/>
  <c r="C37" i="10"/>
  <c r="F113" i="1"/>
  <c r="F128" i="1"/>
  <c r="G113" i="1"/>
  <c r="G132" i="1" s="1"/>
  <c r="G128" i="1"/>
  <c r="H113" i="1"/>
  <c r="H128" i="1"/>
  <c r="H132" i="1"/>
  <c r="I113" i="1"/>
  <c r="I132" i="1" s="1"/>
  <c r="I128" i="1"/>
  <c r="J113" i="1"/>
  <c r="J128" i="1"/>
  <c r="F139" i="1"/>
  <c r="F154" i="1"/>
  <c r="G139" i="1"/>
  <c r="D77" i="2" s="1"/>
  <c r="D83" i="2" s="1"/>
  <c r="D80" i="2"/>
  <c r="D81" i="2"/>
  <c r="G154" i="1"/>
  <c r="G161" i="1" s="1"/>
  <c r="H139" i="1"/>
  <c r="H154" i="1"/>
  <c r="I139" i="1"/>
  <c r="F77" i="2" s="1"/>
  <c r="F83" i="2" s="1"/>
  <c r="F79" i="2"/>
  <c r="F80" i="2"/>
  <c r="F81" i="2"/>
  <c r="I154" i="1"/>
  <c r="I161" i="1" s="1"/>
  <c r="C13" i="10"/>
  <c r="C20" i="10"/>
  <c r="L242" i="1"/>
  <c r="C105" i="2" s="1"/>
  <c r="L324" i="1"/>
  <c r="L246" i="1"/>
  <c r="L260" i="1"/>
  <c r="L261" i="1"/>
  <c r="C135" i="2" s="1"/>
  <c r="L341" i="1"/>
  <c r="E134" i="2" s="1"/>
  <c r="L342" i="1"/>
  <c r="I655" i="1"/>
  <c r="I660" i="1"/>
  <c r="I659" i="1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E126" i="2" s="1"/>
  <c r="L337" i="1"/>
  <c r="L338" i="1"/>
  <c r="L339" i="1"/>
  <c r="K343" i="1"/>
  <c r="L511" i="1"/>
  <c r="F539" i="1" s="1"/>
  <c r="L518" i="1"/>
  <c r="G541" i="1" s="1"/>
  <c r="L521" i="1"/>
  <c r="H539" i="1" s="1"/>
  <c r="H542" i="1" s="1"/>
  <c r="L522" i="1"/>
  <c r="H540" i="1" s="1"/>
  <c r="L523" i="1"/>
  <c r="H541" i="1"/>
  <c r="L526" i="1"/>
  <c r="I539" i="1"/>
  <c r="L527" i="1"/>
  <c r="I540" i="1"/>
  <c r="L528" i="1"/>
  <c r="I541" i="1" s="1"/>
  <c r="L532" i="1"/>
  <c r="J540" i="1" s="1"/>
  <c r="L533" i="1"/>
  <c r="J541" i="1"/>
  <c r="E124" i="2"/>
  <c r="K262" i="1"/>
  <c r="J262" i="1"/>
  <c r="I262" i="1"/>
  <c r="L262" i="1" s="1"/>
  <c r="H262" i="1"/>
  <c r="G262" i="1"/>
  <c r="F262" i="1"/>
  <c r="C123" i="2"/>
  <c r="A1" i="2"/>
  <c r="A2" i="2"/>
  <c r="C9" i="2"/>
  <c r="D9" i="2"/>
  <c r="E9" i="2"/>
  <c r="F9" i="2"/>
  <c r="F19" i="2" s="1"/>
  <c r="F10" i="2"/>
  <c r="F12" i="2"/>
  <c r="F13" i="2"/>
  <c r="F14" i="2"/>
  <c r="F15" i="2"/>
  <c r="F16" i="2"/>
  <c r="F17" i="2"/>
  <c r="F18" i="2"/>
  <c r="I431" i="1"/>
  <c r="I438" i="1" s="1"/>
  <c r="G632" i="1" s="1"/>
  <c r="C10" i="2"/>
  <c r="D10" i="2"/>
  <c r="E10" i="2"/>
  <c r="I432" i="1"/>
  <c r="J10" i="1" s="1"/>
  <c r="G10" i="2" s="1"/>
  <c r="C11" i="2"/>
  <c r="C12" i="2"/>
  <c r="D12" i="2"/>
  <c r="E12" i="2"/>
  <c r="I433" i="1"/>
  <c r="J12" i="1" s="1"/>
  <c r="G12" i="2" s="1"/>
  <c r="C13" i="2"/>
  <c r="D13" i="2"/>
  <c r="E13" i="2"/>
  <c r="E19" i="2" s="1"/>
  <c r="I434" i="1"/>
  <c r="J13" i="1" s="1"/>
  <c r="G13" i="2" s="1"/>
  <c r="C14" i="2"/>
  <c r="D14" i="2"/>
  <c r="E14" i="2"/>
  <c r="I435" i="1"/>
  <c r="J14" i="1" s="1"/>
  <c r="G14" i="2" s="1"/>
  <c r="C16" i="2"/>
  <c r="D16" i="2"/>
  <c r="E16" i="2"/>
  <c r="C17" i="2"/>
  <c r="D17" i="2"/>
  <c r="E17" i="2"/>
  <c r="I436" i="1"/>
  <c r="J17" i="1" s="1"/>
  <c r="G17" i="2" s="1"/>
  <c r="C18" i="2"/>
  <c r="D18" i="2"/>
  <c r="E18" i="2"/>
  <c r="I437" i="1"/>
  <c r="J18" i="1" s="1"/>
  <c r="G18" i="2" s="1"/>
  <c r="C22" i="2"/>
  <c r="D22" i="2"/>
  <c r="E22" i="2"/>
  <c r="E23" i="2"/>
  <c r="E24" i="2"/>
  <c r="E25" i="2"/>
  <c r="E32" i="2" s="1"/>
  <c r="E43" i="2" s="1"/>
  <c r="E28" i="2"/>
  <c r="E29" i="2"/>
  <c r="E30" i="2"/>
  <c r="E31" i="2"/>
  <c r="F22" i="2"/>
  <c r="I440" i="1"/>
  <c r="J23" i="1" s="1"/>
  <c r="C23" i="2"/>
  <c r="D23" i="2"/>
  <c r="F23" i="2"/>
  <c r="I441" i="1"/>
  <c r="I444" i="1" s="1"/>
  <c r="C24" i="2"/>
  <c r="D24" i="2"/>
  <c r="F24" i="2"/>
  <c r="I442" i="1"/>
  <c r="J25" i="1" s="1"/>
  <c r="G24" i="2" s="1"/>
  <c r="C25" i="2"/>
  <c r="D25" i="2"/>
  <c r="F25" i="2"/>
  <c r="C26" i="2"/>
  <c r="F26" i="2"/>
  <c r="C27" i="2"/>
  <c r="F27" i="2"/>
  <c r="C28" i="2"/>
  <c r="D28" i="2"/>
  <c r="D32" i="2" s="1"/>
  <c r="F28" i="2"/>
  <c r="C29" i="2"/>
  <c r="D29" i="2"/>
  <c r="F29" i="2"/>
  <c r="C30" i="2"/>
  <c r="D30" i="2"/>
  <c r="F30" i="2"/>
  <c r="C31" i="2"/>
  <c r="D31" i="2"/>
  <c r="F31" i="2"/>
  <c r="I443" i="1"/>
  <c r="J32" i="1"/>
  <c r="G31" i="2" s="1"/>
  <c r="C34" i="2"/>
  <c r="D34" i="2"/>
  <c r="D42" i="2" s="1"/>
  <c r="E34" i="2"/>
  <c r="F34" i="2"/>
  <c r="C35" i="2"/>
  <c r="D35" i="2"/>
  <c r="E35" i="2"/>
  <c r="E42" i="2" s="1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C38" i="2"/>
  <c r="D38" i="2"/>
  <c r="E38" i="2"/>
  <c r="F38" i="2"/>
  <c r="C40" i="2"/>
  <c r="D40" i="2"/>
  <c r="E40" i="2"/>
  <c r="F40" i="2"/>
  <c r="C41" i="2"/>
  <c r="D41" i="2"/>
  <c r="E41" i="2"/>
  <c r="F41" i="2"/>
  <c r="F48" i="2"/>
  <c r="F55" i="2" s="1"/>
  <c r="C49" i="2"/>
  <c r="C54" i="2" s="1"/>
  <c r="C50" i="2"/>
  <c r="C51" i="2"/>
  <c r="D51" i="2"/>
  <c r="E51" i="2"/>
  <c r="F51" i="2"/>
  <c r="D52" i="2"/>
  <c r="C53" i="2"/>
  <c r="D53" i="2"/>
  <c r="D54" i="2" s="1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/>
  <c r="D62" i="2"/>
  <c r="C64" i="2"/>
  <c r="C70" i="2" s="1"/>
  <c r="F64" i="2"/>
  <c r="F70" i="2" s="1"/>
  <c r="C65" i="2"/>
  <c r="F65" i="2"/>
  <c r="C66" i="2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C83" i="2" s="1"/>
  <c r="E77" i="2"/>
  <c r="C79" i="2"/>
  <c r="E79" i="2"/>
  <c r="E83" i="2" s="1"/>
  <c r="C80" i="2"/>
  <c r="E80" i="2"/>
  <c r="C81" i="2"/>
  <c r="E81" i="2"/>
  <c r="C82" i="2"/>
  <c r="C85" i="2"/>
  <c r="C95" i="2" s="1"/>
  <c r="F85" i="2"/>
  <c r="C86" i="2"/>
  <c r="F86" i="2"/>
  <c r="D88" i="2"/>
  <c r="D95" i="2" s="1"/>
  <c r="E88" i="2"/>
  <c r="F88" i="2"/>
  <c r="F95" i="2" s="1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3" i="2"/>
  <c r="E104" i="2"/>
  <c r="E105" i="2"/>
  <c r="D107" i="2"/>
  <c r="F107" i="2"/>
  <c r="G107" i="2"/>
  <c r="C114" i="2"/>
  <c r="C115" i="2"/>
  <c r="E115" i="2"/>
  <c r="E117" i="2"/>
  <c r="F120" i="2"/>
  <c r="G120" i="2"/>
  <c r="C122" i="2"/>
  <c r="E122" i="2"/>
  <c r="F126" i="2"/>
  <c r="D126" i="2"/>
  <c r="D136" i="2" s="1"/>
  <c r="K411" i="1"/>
  <c r="K425" i="1"/>
  <c r="L255" i="1"/>
  <c r="C127" i="2"/>
  <c r="E127" i="2"/>
  <c r="L256" i="1"/>
  <c r="C128" i="2"/>
  <c r="L257" i="1"/>
  <c r="C129" i="2"/>
  <c r="E129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K490" i="1" s="1"/>
  <c r="H490" i="1"/>
  <c r="D153" i="2"/>
  <c r="I490" i="1"/>
  <c r="E153" i="2"/>
  <c r="J490" i="1"/>
  <c r="F153" i="2" s="1"/>
  <c r="B154" i="2"/>
  <c r="C154" i="2"/>
  <c r="D154" i="2"/>
  <c r="E154" i="2"/>
  <c r="F154" i="2"/>
  <c r="G154" i="2" s="1"/>
  <c r="B155" i="2"/>
  <c r="G155" i="2" s="1"/>
  <c r="C155" i="2"/>
  <c r="D155" i="2"/>
  <c r="E155" i="2"/>
  <c r="F155" i="2"/>
  <c r="F493" i="1"/>
  <c r="B156" i="2"/>
  <c r="G493" i="1"/>
  <c r="C156" i="2" s="1"/>
  <c r="H493" i="1"/>
  <c r="D156" i="2" s="1"/>
  <c r="I493" i="1"/>
  <c r="K493" i="1" s="1"/>
  <c r="E156" i="2"/>
  <c r="J493" i="1"/>
  <c r="F156" i="2"/>
  <c r="F19" i="1"/>
  <c r="G607" i="1" s="1"/>
  <c r="G19" i="1"/>
  <c r="G608" i="1"/>
  <c r="H19" i="1"/>
  <c r="G609" i="1" s="1"/>
  <c r="I19" i="1"/>
  <c r="G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G184" i="1"/>
  <c r="H180" i="1"/>
  <c r="I180" i="1"/>
  <c r="I184" i="1"/>
  <c r="F221" i="1"/>
  <c r="H221" i="1"/>
  <c r="I221" i="1"/>
  <c r="F248" i="1"/>
  <c r="G248" i="1"/>
  <c r="L248" i="1" s="1"/>
  <c r="H248" i="1"/>
  <c r="I248" i="1"/>
  <c r="J248" i="1"/>
  <c r="K248" i="1"/>
  <c r="G282" i="1"/>
  <c r="I282" i="1"/>
  <c r="G301" i="1"/>
  <c r="H301" i="1"/>
  <c r="I301" i="1"/>
  <c r="F320" i="1"/>
  <c r="G320" i="1"/>
  <c r="I320" i="1"/>
  <c r="F329" i="1"/>
  <c r="G329" i="1"/>
  <c r="H329" i="1"/>
  <c r="I329" i="1"/>
  <c r="J329" i="1"/>
  <c r="K329" i="1"/>
  <c r="F354" i="1"/>
  <c r="G354" i="1"/>
  <c r="H354" i="1"/>
  <c r="J354" i="1"/>
  <c r="K354" i="1"/>
  <c r="I360" i="1"/>
  <c r="H361" i="1"/>
  <c r="L373" i="1"/>
  <c r="F374" i="1"/>
  <c r="G374" i="1"/>
  <c r="H374" i="1"/>
  <c r="I374" i="1"/>
  <c r="J374" i="1"/>
  <c r="K374" i="1"/>
  <c r="L374" i="1"/>
  <c r="G626" i="1" s="1"/>
  <c r="F385" i="1"/>
  <c r="G385" i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F400" i="1" s="1"/>
  <c r="H633" i="1" s="1"/>
  <c r="G399" i="1"/>
  <c r="H399" i="1"/>
  <c r="I399" i="1"/>
  <c r="G400" i="1"/>
  <c r="H635" i="1" s="1"/>
  <c r="J635" i="1" s="1"/>
  <c r="L405" i="1"/>
  <c r="L411" i="1" s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J426" i="1" s="1"/>
  <c r="L413" i="1"/>
  <c r="L414" i="1"/>
  <c r="L415" i="1"/>
  <c r="L416" i="1"/>
  <c r="L417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I426" i="1" s="1"/>
  <c r="J425" i="1"/>
  <c r="F438" i="1"/>
  <c r="G629" i="1" s="1"/>
  <c r="G438" i="1"/>
  <c r="H438" i="1"/>
  <c r="G631" i="1" s="1"/>
  <c r="J631" i="1" s="1"/>
  <c r="F444" i="1"/>
  <c r="G444" i="1"/>
  <c r="H444" i="1"/>
  <c r="H450" i="1"/>
  <c r="H451" i="1" s="1"/>
  <c r="H631" i="1" s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460" i="1"/>
  <c r="F464" i="1"/>
  <c r="G464" i="1"/>
  <c r="H464" i="1"/>
  <c r="I464" i="1"/>
  <c r="J464" i="1"/>
  <c r="J466" i="1"/>
  <c r="H616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F519" i="1"/>
  <c r="G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I534" i="1"/>
  <c r="K534" i="1"/>
  <c r="L547" i="1"/>
  <c r="L548" i="1"/>
  <c r="L549" i="1"/>
  <c r="L550" i="1" s="1"/>
  <c r="F550" i="1"/>
  <c r="G550" i="1"/>
  <c r="G561" i="1" s="1"/>
  <c r="H550" i="1"/>
  <c r="I550" i="1"/>
  <c r="J550" i="1"/>
  <c r="K550" i="1"/>
  <c r="K561" i="1" s="1"/>
  <c r="L552" i="1"/>
  <c r="L553" i="1"/>
  <c r="L554" i="1"/>
  <c r="F555" i="1"/>
  <c r="F561" i="1"/>
  <c r="G555" i="1"/>
  <c r="H555" i="1"/>
  <c r="I555" i="1"/>
  <c r="J555" i="1"/>
  <c r="J561" i="1" s="1"/>
  <c r="K555" i="1"/>
  <c r="L557" i="1"/>
  <c r="L560" i="1" s="1"/>
  <c r="L558" i="1"/>
  <c r="L559" i="1"/>
  <c r="F560" i="1"/>
  <c r="G560" i="1"/>
  <c r="H560" i="1"/>
  <c r="H561" i="1" s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4" i="1"/>
  <c r="K585" i="1"/>
  <c r="K587" i="1"/>
  <c r="J588" i="1"/>
  <c r="H641" i="1"/>
  <c r="K592" i="1"/>
  <c r="K593" i="1"/>
  <c r="K594" i="1"/>
  <c r="I595" i="1"/>
  <c r="J595" i="1"/>
  <c r="F604" i="1"/>
  <c r="G604" i="1"/>
  <c r="H604" i="1"/>
  <c r="I604" i="1"/>
  <c r="J604" i="1"/>
  <c r="K604" i="1"/>
  <c r="G612" i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J626" i="1"/>
  <c r="H627" i="1"/>
  <c r="H628" i="1"/>
  <c r="G630" i="1"/>
  <c r="G633" i="1"/>
  <c r="J633" i="1" s="1"/>
  <c r="G634" i="1"/>
  <c r="G639" i="1"/>
  <c r="G642" i="1"/>
  <c r="J642" i="1" s="1"/>
  <c r="H642" i="1"/>
  <c r="G643" i="1"/>
  <c r="J643" i="1" s="1"/>
  <c r="H643" i="1"/>
  <c r="G644" i="1"/>
  <c r="H644" i="1"/>
  <c r="J644" i="1" s="1"/>
  <c r="G645" i="1"/>
  <c r="J645" i="1" s="1"/>
  <c r="H645" i="1"/>
  <c r="L385" i="1"/>
  <c r="C130" i="2"/>
  <c r="C15" i="10"/>
  <c r="L561" i="1"/>
  <c r="L329" i="1"/>
  <c r="I330" i="1"/>
  <c r="I344" i="1"/>
  <c r="G330" i="1"/>
  <c r="G344" i="1" s="1"/>
  <c r="K595" i="1"/>
  <c r="G638" i="1" s="1"/>
  <c r="L555" i="1"/>
  <c r="E95" i="2"/>
  <c r="C23" i="10"/>
  <c r="H161" i="1"/>
  <c r="F161" i="1"/>
  <c r="F185" i="1" s="1"/>
  <c r="G617" i="1" s="1"/>
  <c r="J617" i="1" s="1"/>
  <c r="J132" i="1"/>
  <c r="J104" i="1"/>
  <c r="J185" i="1" s="1"/>
  <c r="D14" i="13"/>
  <c r="C14" i="13" s="1"/>
  <c r="F22" i="13"/>
  <c r="E16" i="13"/>
  <c r="C16" i="13" s="1"/>
  <c r="L214" i="1"/>
  <c r="E13" i="13"/>
  <c r="C13" i="13"/>
  <c r="A31" i="12"/>
  <c r="F54" i="2"/>
  <c r="F132" i="1"/>
  <c r="C38" i="10" s="1"/>
  <c r="G44" i="1"/>
  <c r="H608" i="1"/>
  <c r="J608" i="1" s="1"/>
  <c r="F52" i="1"/>
  <c r="G73" i="2"/>
  <c r="C42" i="2"/>
  <c r="C22" i="13"/>
  <c r="G635" i="1"/>
  <c r="F104" i="1"/>
  <c r="C48" i="2"/>
  <c r="C55" i="2" s="1"/>
  <c r="G652" i="1" l="1"/>
  <c r="G640" i="1"/>
  <c r="J640" i="1" s="1"/>
  <c r="E48" i="2"/>
  <c r="E55" i="2" s="1"/>
  <c r="E96" i="2" s="1"/>
  <c r="H104" i="1"/>
  <c r="G636" i="1"/>
  <c r="G621" i="1"/>
  <c r="J621" i="1" s="1"/>
  <c r="L512" i="1"/>
  <c r="J607" i="1"/>
  <c r="D43" i="2"/>
  <c r="L393" i="1"/>
  <c r="C39" i="10"/>
  <c r="C111" i="2"/>
  <c r="D7" i="13"/>
  <c r="C7" i="13" s="1"/>
  <c r="C102" i="2"/>
  <c r="K588" i="1"/>
  <c r="G637" i="1" s="1"/>
  <c r="L239" i="1"/>
  <c r="I535" i="1"/>
  <c r="I249" i="1"/>
  <c r="I263" i="1" s="1"/>
  <c r="H249" i="1"/>
  <c r="H263" i="1" s="1"/>
  <c r="F203" i="1"/>
  <c r="F249" i="1" s="1"/>
  <c r="F263" i="1" s="1"/>
  <c r="L196" i="1"/>
  <c r="J239" i="1"/>
  <c r="F5" i="13"/>
  <c r="G239" i="1"/>
  <c r="L236" i="1"/>
  <c r="L312" i="1"/>
  <c r="H320" i="1"/>
  <c r="L307" i="1"/>
  <c r="J320" i="1"/>
  <c r="L350" i="1"/>
  <c r="I354" i="1"/>
  <c r="G624" i="1" s="1"/>
  <c r="F359" i="1"/>
  <c r="L529" i="1"/>
  <c r="J615" i="1"/>
  <c r="I185" i="1"/>
  <c r="G620" i="1" s="1"/>
  <c r="J620" i="1" s="1"/>
  <c r="F42" i="2"/>
  <c r="C32" i="2"/>
  <c r="G249" i="1"/>
  <c r="G263" i="1" s="1"/>
  <c r="C110" i="2"/>
  <c r="D6" i="13"/>
  <c r="C6" i="13" s="1"/>
  <c r="C18" i="10"/>
  <c r="D12" i="13"/>
  <c r="C12" i="13" s="1"/>
  <c r="C113" i="2"/>
  <c r="L221" i="1"/>
  <c r="G650" i="1" s="1"/>
  <c r="H330" i="1"/>
  <c r="H344" i="1" s="1"/>
  <c r="H653" i="1"/>
  <c r="I653" i="1" s="1"/>
  <c r="L604" i="1"/>
  <c r="C43" i="2"/>
  <c r="F32" i="2"/>
  <c r="I542" i="1"/>
  <c r="L343" i="1"/>
  <c r="E123" i="2"/>
  <c r="E136" i="2" s="1"/>
  <c r="C32" i="10"/>
  <c r="E110" i="2"/>
  <c r="L513" i="1"/>
  <c r="F541" i="1" s="1"/>
  <c r="K541" i="1" s="1"/>
  <c r="G451" i="1"/>
  <c r="H630" i="1" s="1"/>
  <c r="J630" i="1" s="1"/>
  <c r="H184" i="1"/>
  <c r="G156" i="2"/>
  <c r="F73" i="2"/>
  <c r="F96" i="2" s="1"/>
  <c r="J38" i="1"/>
  <c r="G22" i="2"/>
  <c r="E54" i="2"/>
  <c r="G651" i="1"/>
  <c r="J612" i="1"/>
  <c r="J610" i="1"/>
  <c r="C73" i="2"/>
  <c r="C96" i="2" s="1"/>
  <c r="C26" i="10"/>
  <c r="E101" i="2"/>
  <c r="E114" i="2"/>
  <c r="C19" i="10"/>
  <c r="L516" i="1"/>
  <c r="H519" i="1"/>
  <c r="H535" i="1" s="1"/>
  <c r="J609" i="1"/>
  <c r="A22" i="12"/>
  <c r="L301" i="1"/>
  <c r="I449" i="1"/>
  <c r="J41" i="1" s="1"/>
  <c r="G40" i="2" s="1"/>
  <c r="F450" i="1"/>
  <c r="F451" i="1" s="1"/>
  <c r="H629" i="1" s="1"/>
  <c r="J629" i="1" s="1"/>
  <c r="H588" i="1"/>
  <c r="H639" i="1" s="1"/>
  <c r="J639" i="1" s="1"/>
  <c r="G426" i="1"/>
  <c r="C19" i="2"/>
  <c r="D19" i="2"/>
  <c r="F514" i="1"/>
  <c r="F535" i="1" s="1"/>
  <c r="L531" i="1"/>
  <c r="K320" i="1"/>
  <c r="G31" i="13" s="1"/>
  <c r="G33" i="13" s="1"/>
  <c r="L418" i="1"/>
  <c r="L419" i="1" s="1"/>
  <c r="L426" i="1" s="1"/>
  <c r="G628" i="1" s="1"/>
  <c r="J628" i="1" s="1"/>
  <c r="J221" i="1"/>
  <c r="J249" i="1" s="1"/>
  <c r="L189" i="1"/>
  <c r="C106" i="2"/>
  <c r="G221" i="1"/>
  <c r="C153" i="2"/>
  <c r="G153" i="2" s="1"/>
  <c r="J24" i="1"/>
  <c r="G23" i="2" s="1"/>
  <c r="J9" i="1"/>
  <c r="C134" i="2"/>
  <c r="B36" i="12"/>
  <c r="A40" i="12" s="1"/>
  <c r="L293" i="1"/>
  <c r="C16" i="10" s="1"/>
  <c r="J301" i="1"/>
  <c r="J330" i="1" s="1"/>
  <c r="J344" i="1" s="1"/>
  <c r="L524" i="1"/>
  <c r="K203" i="1"/>
  <c r="K249" i="1" s="1"/>
  <c r="K263" i="1" s="1"/>
  <c r="C103" i="2"/>
  <c r="C25" i="10"/>
  <c r="C9" i="12"/>
  <c r="A13" i="12" s="1"/>
  <c r="C35" i="10"/>
  <c r="D18" i="13"/>
  <c r="C18" i="13" s="1"/>
  <c r="I448" i="1"/>
  <c r="J40" i="1" s="1"/>
  <c r="G39" i="2" s="1"/>
  <c r="G104" i="1"/>
  <c r="G185" i="1" s="1"/>
  <c r="G618" i="1" s="1"/>
  <c r="J618" i="1" s="1"/>
  <c r="H25" i="13"/>
  <c r="L269" i="1"/>
  <c r="C11" i="10" s="1"/>
  <c r="H638" i="1" l="1"/>
  <c r="J638" i="1" s="1"/>
  <c r="J263" i="1"/>
  <c r="C120" i="2"/>
  <c r="G32" i="2"/>
  <c r="L320" i="1"/>
  <c r="G9" i="2"/>
  <c r="G19" i="2" s="1"/>
  <c r="J19" i="1"/>
  <c r="G611" i="1" s="1"/>
  <c r="L282" i="1"/>
  <c r="I450" i="1"/>
  <c r="I451" i="1" s="1"/>
  <c r="H632" i="1" s="1"/>
  <c r="J632" i="1" s="1"/>
  <c r="H652" i="1"/>
  <c r="I652" i="1" s="1"/>
  <c r="G641" i="1"/>
  <c r="J641" i="1" s="1"/>
  <c r="J637" i="1"/>
  <c r="H185" i="1"/>
  <c r="G619" i="1" s="1"/>
  <c r="J619" i="1" s="1"/>
  <c r="C131" i="2"/>
  <c r="L400" i="1"/>
  <c r="L203" i="1"/>
  <c r="C101" i="2"/>
  <c r="C107" i="2" s="1"/>
  <c r="C10" i="10"/>
  <c r="F31" i="13"/>
  <c r="F33" i="13" s="1"/>
  <c r="C36" i="10"/>
  <c r="C41" i="10" s="1"/>
  <c r="F43" i="2"/>
  <c r="E8" i="13"/>
  <c r="C17" i="10"/>
  <c r="C112" i="2"/>
  <c r="F540" i="1"/>
  <c r="L514" i="1"/>
  <c r="L535" i="1" s="1"/>
  <c r="C21" i="10"/>
  <c r="I359" i="1"/>
  <c r="I361" i="1" s="1"/>
  <c r="H624" i="1" s="1"/>
  <c r="F361" i="1"/>
  <c r="K330" i="1"/>
  <c r="K344" i="1" s="1"/>
  <c r="H637" i="1"/>
  <c r="G37" i="2"/>
  <c r="G42" i="2" s="1"/>
  <c r="G43" i="2" s="1"/>
  <c r="J43" i="1"/>
  <c r="H650" i="1"/>
  <c r="E120" i="2"/>
  <c r="G654" i="1"/>
  <c r="J624" i="1"/>
  <c r="C116" i="2"/>
  <c r="E102" i="2"/>
  <c r="E107" i="2" s="1"/>
  <c r="E137" i="2" s="1"/>
  <c r="E111" i="2"/>
  <c r="J539" i="1"/>
  <c r="J542" i="1" s="1"/>
  <c r="L534" i="1"/>
  <c r="G539" i="1"/>
  <c r="L519" i="1"/>
  <c r="F651" i="1"/>
  <c r="I651" i="1" s="1"/>
  <c r="D29" i="13"/>
  <c r="C29" i="13" s="1"/>
  <c r="H651" i="1"/>
  <c r="D119" i="2"/>
  <c r="D120" i="2" s="1"/>
  <c r="D137" i="2" s="1"/>
  <c r="L354" i="1"/>
  <c r="D5" i="13"/>
  <c r="C25" i="13"/>
  <c r="H33" i="13"/>
  <c r="J33" i="1"/>
  <c r="D15" i="13"/>
  <c r="C15" i="13" s="1"/>
  <c r="D37" i="10" l="1"/>
  <c r="D40" i="10"/>
  <c r="D38" i="10"/>
  <c r="D39" i="10"/>
  <c r="D35" i="10"/>
  <c r="D41" i="10" s="1"/>
  <c r="C5" i="13"/>
  <c r="D33" i="13"/>
  <c r="D36" i="13" s="1"/>
  <c r="C28" i="10"/>
  <c r="D10" i="10"/>
  <c r="D31" i="13"/>
  <c r="C31" i="13" s="1"/>
  <c r="L330" i="1"/>
  <c r="L344" i="1" s="1"/>
  <c r="G623" i="1" s="1"/>
  <c r="J623" i="1" s="1"/>
  <c r="C27" i="10"/>
  <c r="G625" i="1"/>
  <c r="J625" i="1" s="1"/>
  <c r="J611" i="1"/>
  <c r="H646" i="1"/>
  <c r="G657" i="1"/>
  <c r="G662" i="1"/>
  <c r="C5" i="10" s="1"/>
  <c r="K540" i="1"/>
  <c r="F542" i="1"/>
  <c r="F650" i="1"/>
  <c r="L249" i="1"/>
  <c r="L263" i="1" s="1"/>
  <c r="G622" i="1" s="1"/>
  <c r="J622" i="1" s="1"/>
  <c r="H636" i="1"/>
  <c r="J636" i="1" s="1"/>
  <c r="G627" i="1"/>
  <c r="J627" i="1" s="1"/>
  <c r="C133" i="2"/>
  <c r="C136" i="2"/>
  <c r="C137" i="2" s="1"/>
  <c r="H654" i="1"/>
  <c r="C8" i="13"/>
  <c r="E33" i="13"/>
  <c r="D35" i="13" s="1"/>
  <c r="J44" i="1"/>
  <c r="H611" i="1" s="1"/>
  <c r="G616" i="1"/>
  <c r="J616" i="1" s="1"/>
  <c r="G542" i="1"/>
  <c r="K539" i="1"/>
  <c r="K542" i="1" s="1"/>
  <c r="D36" i="10"/>
  <c r="H662" i="1" l="1"/>
  <c r="C6" i="10" s="1"/>
  <c r="H657" i="1"/>
  <c r="C30" i="10"/>
  <c r="D22" i="10"/>
  <c r="D20" i="10"/>
  <c r="D13" i="10"/>
  <c r="D12" i="10"/>
  <c r="D24" i="10"/>
  <c r="D15" i="10"/>
  <c r="D23" i="10"/>
  <c r="D11" i="10"/>
  <c r="D28" i="10" s="1"/>
  <c r="D19" i="10"/>
  <c r="D16" i="10"/>
  <c r="D26" i="10"/>
  <c r="D18" i="10"/>
  <c r="D25" i="10"/>
  <c r="D21" i="10"/>
  <c r="F654" i="1"/>
  <c r="I650" i="1"/>
  <c r="I654" i="1" s="1"/>
  <c r="D17" i="10"/>
  <c r="D27" i="10"/>
  <c r="I662" i="1" l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8006C9B-EEEB-44F9-9F65-FD2ACF5BF9F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8D79091-96D5-478F-A8AA-C18EC767884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7696917-C5B9-4991-AA25-CF0B9670193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3550D30-C8F3-4680-A34F-4A862A0EAF13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8157A84D-B0AF-42B9-B0D7-331A73C0B6F2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1B3B68C-8C66-4439-9CAB-33A0D74380F7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6645FFE4-80BB-44E5-8DDA-7941AFACF7B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0CE95977-2CA0-4644-B45C-96970154E6BA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69E3B8A1-2A65-4171-BA4F-DF50A86A1C54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06752BB2-CBF2-4278-99E5-584B569334E6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43C47C2D-1AD2-4219-9819-8AD95C28D92F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F26F3B8-9E03-4807-97D7-A3A53C9AB59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<sst xmlns="http://schemas.openxmlformats.org/spreadsheetml/2006/main" count="3860" uniqueCount="897">
  <si>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</si>
  <si>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</si>
  <si>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</si>
  <si>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</si>
  <si>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</si>
  <si>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</si>
  <si>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</si>
  <si>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</si>
  <si>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</si>
  <si>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</si>
  <si>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</si>
  <si>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</si>
  <si>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</si>
  <si>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</si>
  <si>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</si>
  <si>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</si>
  <si>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</si>
  <si>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</si>
  <si>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</si>
  <si>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</si>
  <si>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</si>
  <si>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</si>
  <si>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</si>
  <si>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</si>
  <si>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</si>
  <si>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</si>
  <si>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</si>
  <si>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</si>
  <si>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</si>
  <si>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</si>
  <si>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</si>
  <si>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</si>
  <si>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</si>
  <si>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</si>
  <si>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</si>
  <si>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</si>
  <si>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</si>
  <si>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</si>
  <si>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</si>
  <si>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</si>
  <si>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</si>
  <si>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</si>
  <si>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</si>
  <si>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</si>
  <si>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</si>
  <si>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</si>
  <si>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</si>
  <si>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</si>
  <si>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</si>
  <si>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</si>
  <si>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</si>
  <si>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</si>
  <si>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</si>
  <si>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</si>
  <si>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</si>
  <si>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</si>
  <si>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</si>
  <si>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</si>
  <si>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</si>
  <si>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</si>
  <si>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</si>
  <si>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</si>
  <si>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</si>
  <si>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</si>
  <si>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</si>
  <si>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</si>
  <si>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</si>
  <si>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</si>
  <si>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</si>
  <si>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</si>
  <si>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</si>
  <si>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</si>
  <si>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</si>
  <si>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</si>
  <si>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</si>
  <si>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</si>
  <si>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</si>
  <si>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</si>
  <si>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</si>
  <si>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</si>
  <si>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</si>
  <si>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</si>
  <si>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</si>
  <si>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</si>
  <si>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</si>
  <si>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</si>
  <si>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</si>
  <si>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</si>
  <si>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</si>
  <si>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</si>
  <si>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</si>
  <si>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</si>
  <si>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</si>
  <si>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</si>
  <si>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</si>
  <si>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</si>
  <si>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</si>
  <si>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</si>
  <si>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</si>
  <si>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</si>
  <si>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</si>
  <si>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</si>
  <si>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</si>
  <si>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</si>
  <si>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</si>
  <si>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</si>
  <si>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</si>
  <si>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</si>
  <si>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</si>
  <si>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</si>
  <si>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</si>
  <si>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</si>
  <si>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</si>
  <si>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</si>
  <si>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</si>
  <si>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</si>
  <si>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</si>
  <si>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</si>
  <si>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</si>
  <si>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</si>
  <si>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</si>
  <si>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</si>
  <si>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</si>
  <si>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</si>
  <si>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</si>
  <si>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</si>
  <si>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</si>
  <si>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</si>
  <si>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</si>
  <si>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</si>
  <si>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</si>
  <si>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</si>
  <si>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</si>
  <si>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</si>
  <si>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</si>
  <si>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</si>
  <si>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</si>
  <si>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</si>
  <si>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</si>
  <si>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</si>
  <si>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</si>
  <si>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</si>
  <si>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</si>
  <si>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</si>
  <si>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</si>
  <si>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</si>
  <si>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</si>
  <si>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</si>
  <si>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</si>
  <si>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</si>
  <si>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</si>
  <si>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</si>
  <si>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</si>
  <si>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</si>
  <si>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</si>
  <si>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</si>
  <si>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</si>
  <si>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</si>
  <si>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</si>
  <si>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</si>
  <si>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</si>
  <si>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</si>
  <si>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</si>
  <si>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</si>
  <si>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</si>
  <si>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</si>
  <si>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</si>
  <si>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</si>
  <si>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</si>
  <si>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</si>
  <si>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</si>
  <si>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</si>
  <si>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</si>
  <si>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</si>
  <si>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</si>
  <si>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</si>
  <si>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</si>
  <si>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</si>
  <si>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</si>
  <si>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</si>
  <si>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</si>
  <si>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</si>
  <si>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</si>
  <si>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</si>
  <si>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</si>
  <si>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</si>
  <si>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</si>
  <si>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</si>
  <si>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</si>
  <si>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</si>
  <si>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</si>
  <si>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</si>
  <si>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</si>
  <si>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</si>
  <si>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</si>
  <si>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</si>
  <si>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</si>
  <si>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</si>
  <si>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</si>
  <si>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</si>
  <si>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</si>
  <si>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</si>
  <si>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</si>
  <si>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</si>
  <si>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</si>
  <si>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</si>
  <si>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</si>
  <si>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</si>
  <si>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</si>
  <si>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</si>
  <si>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</si>
  <si>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</si>
  <si>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</si>
  <si>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</si>
  <si>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</si>
  <si>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</si>
  <si>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</si>
  <si>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</si>
  <si>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</si>
  <si>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</si>
  <si>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</si>
  <si>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</si>
  <si>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</si>
  <si>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</si>
  <si>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</si>
  <si>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</si>
  <si>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</si>
  <si>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</si>
  <si>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</si>
  <si>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</si>
  <si>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</si>
  <si>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</si>
  <si>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</si>
  <si>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</si>
  <si>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</si>
  <si>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</si>
  <si>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</si>
  <si>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</si>
  <si>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</si>
  <si>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</si>
  <si>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</si>
  <si>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</si>
  <si>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</si>
  <si>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</si>
  <si>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</si>
  <si>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</si>
  <si>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</si>
  <si>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</si>
  <si>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</si>
  <si>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</si>
  <si>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</si>
  <si>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</si>
  <si>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</si>
  <si>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</si>
  <si>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</si>
  <si>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</si>
  <si>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</si>
  <si>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</si>
  <si>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</si>
  <si>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</si>
  <si>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</si>
  <si>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</si>
  <si>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</si>
  <si>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</si>
  <si>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</si>
  <si>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</si>
  <si>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</si>
  <si>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</si>
  <si>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</si>
  <si>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</si>
  <si>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</si>
  <si>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</si>
  <si>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</si>
  <si>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</si>
  <si>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</si>
  <si>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</si>
  <si>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</si>
  <si>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</si>
  <si>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</si>
  <si>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</si>
  <si>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</si>
  <si>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</si>
  <si>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</si>
  <si>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</si>
  <si>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</si>
  <si>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</si>
  <si>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</si>
  <si>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</si>
  <si>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</si>
  <si>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</si>
  <si>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</si>
  <si>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</si>
  <si>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</si>
  <si>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</si>
  <si>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</si>
  <si>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</si>
  <si>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</si>
  <si>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</si>
  <si>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</si>
  <si>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</si>
  <si>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</si>
  <si>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</si>
  <si>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</si>
  <si>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</si>
  <si>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</si>
  <si>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</si>
  <si>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</si>
  <si>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</si>
  <si>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</si>
  <si>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</si>
  <si>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</si>
  <si>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</si>
  <si>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</si>
  <si>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</si>
  <si>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</si>
  <si>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</si>
  <si>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</si>
  <si>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</si>
  <si>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</si>
  <si>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</si>
  <si>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</si>
  <si>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</si>
  <si>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</si>
  <si>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</si>
  <si>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</si>
  <si>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</si>
  <si>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</si>
  <si>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</si>
  <si>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</si>
  <si>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</si>
  <si>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</si>
  <si>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</si>
  <si>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</si>
  <si>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</si>
  <si>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</si>
  <si>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</si>
  <si>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</si>
  <si>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</si>
  <si>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</si>
  <si>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</si>
  <si>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</si>
  <si>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</si>
  <si>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</si>
  <si>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</si>
  <si>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</si>
  <si>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</si>
  <si>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</si>
  <si>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</si>
  <si>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</si>
  <si>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</si>
  <si>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</si>
  <si>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</si>
  <si>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</si>
  <si>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</si>
  <si>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</si>
  <si>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</si>
  <si>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</si>
  <si>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</si>
  <si>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</si>
  <si>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</si>
  <si>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</si>
  <si>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</si>
  <si>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</si>
  <si>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</si>
  <si>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</si>
  <si>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</si>
  <si>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</si>
  <si>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</si>
  <si>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</si>
  <si>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</si>
  <si>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</si>
  <si>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</si>
  <si>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</si>
  <si>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</si>
  <si>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</si>
  <si>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</si>
  <si>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</si>
  <si>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</si>
  <si>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</si>
  <si>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</si>
  <si>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</si>
  <si>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</si>
  <si>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</si>
  <si>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</si>
  <si>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</si>
  <si>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</si>
  <si>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</si>
  <si>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</si>
  <si>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</si>
  <si>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</si>
  <si>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</si>
  <si>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</si>
  <si>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</si>
  <si>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</si>
  <si>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</si>
  <si>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</si>
  <si>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</si>
  <si>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</si>
  <si>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</si>
  <si>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</si>
  <si>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</si>
  <si>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</si>
  <si>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</si>
  <si>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</si>
  <si>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</si>
  <si>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</si>
  <si>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</si>
  <si>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</si>
  <si>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</si>
  <si>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</si>
  <si>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</si>
  <si>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</si>
  <si>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</si>
  <si>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</si>
  <si>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</si>
  <si>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</si>
  <si>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</si>
  <si>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</si>
  <si>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</si>
  <si>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</si>
  <si>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</si>
  <si>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</si>
  <si>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</si>
  <si>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</si>
  <si>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</si>
  <si>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</si>
  <si>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</si>
  <si>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</si>
  <si>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</si>
  <si>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</si>
  <si>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</si>
  <si>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</si>
  <si>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</si>
  <si>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</si>
  <si>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</si>
  <si>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</si>
  <si>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</si>
  <si>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</si>
  <si>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</si>
  <si>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</si>
  <si>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</si>
  <si>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</si>
  <si>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</si>
  <si>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</si>
  <si>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</si>
  <si>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</si>
  <si>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</si>
  <si>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</si>
  <si>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</si>
  <si>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</si>
  <si>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</si>
  <si>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</si>
  <si>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</si>
  <si>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</si>
  <si>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</si>
  <si>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</si>
  <si>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</si>
  <si>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</si>
  <si>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</si>
  <si>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</si>
  <si>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</si>
  <si>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</si>
  <si>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</si>
  <si>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</si>
  <si>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</si>
  <si>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</si>
  <si>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</si>
  <si>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</si>
  <si>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</si>
  <si>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</si>
  <si>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</si>
  <si>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</si>
  <si>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</si>
  <si>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</si>
  <si>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</si>
  <si>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</si>
  <si>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</si>
  <si>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</si>
  <si>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</si>
  <si>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</si>
  <si>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</si>
  <si>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</si>
  <si>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</si>
  <si>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</si>
  <si>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</si>
  <si>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</si>
  <si>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</si>
  <si>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</si>
  <si>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</si>
  <si>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</si>
  <si>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</si>
  <si>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</si>
  <si>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</si>
  <si>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</si>
  <si>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</si>
  <si>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</si>
  <si>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</si>
  <si>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</si>
  <si>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</si>
  <si>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</si>
  <si>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</si>
  <si>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</si>
  <si>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</si>
  <si>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</si>
  <si>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</si>
  <si>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</si>
  <si>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</si>
  <si>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</si>
  <si>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</si>
  <si>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</si>
  <si>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</si>
  <si>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</si>
  <si>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</si>
  <si>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</si>
  <si>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</si>
  <si>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</si>
  <si>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</si>
  <si>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</si>
  <si>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</si>
  <si>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</si>
  <si>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</si>
  <si>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</si>
  <si>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</si>
  <si>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</si>
  <si>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</si>
  <si>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</si>
  <si>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</si>
  <si>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</si>
  <si>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</si>
  <si>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</si>
  <si>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</si>
  <si>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</si>
  <si>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</si>
  <si>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</si>
  <si>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</si>
  <si>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</si>
  <si>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</si>
  <si>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</si>
  <si>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</si>
  <si>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</si>
  <si>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</si>
  <si>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</si>
  <si>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</si>
  <si>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</si>
  <si>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</si>
  <si>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</si>
  <si>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</si>
  <si>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</si>
  <si>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</si>
  <si>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</si>
  <si>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</si>
  <si>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</si>
  <si>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</si>
  <si>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</si>
  <si>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</si>
  <si>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</si>
  <si>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</si>
  <si>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</si>
  <si>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</si>
  <si>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</si>
  <si>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</si>
  <si>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</si>
  <si>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</si>
  <si>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</si>
  <si>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</si>
  <si>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</si>
  <si>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</si>
  <si>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</si>
  <si>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</si>
  <si>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</si>
  <si>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</si>
  <si>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</si>
  <si>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</si>
  <si>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</si>
  <si>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</si>
  <si>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</si>
  <si>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</si>
  <si>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</si>
  <si>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</si>
  <si>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</si>
  <si>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</si>
  <si>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</si>
  <si>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</si>
  <si>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</si>
  <si>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</si>
  <si>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</si>
  <si>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</si>
  <si>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</si>
  <si>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</si>
  <si>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</si>
  <si>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</si>
  <si>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</si>
  <si>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</si>
  <si>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</si>
  <si>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</si>
  <si>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</si>
  <si>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</si>
  <si>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</si>
  <si>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</si>
  <si>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</si>
  <si>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</si>
  <si>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</si>
  <si>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</si>
  <si>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</si>
  <si>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</si>
  <si>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</si>
  <si>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</si>
  <si>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</si>
  <si>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</si>
  <si>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</si>
  <si>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</si>
  <si>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</si>
  <si>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</si>
  <si>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</si>
  <si>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</si>
  <si>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</si>
  <si>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</si>
  <si>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</si>
  <si>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</si>
  <si>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</si>
  <si>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</si>
  <si>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</si>
  <si>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</si>
  <si>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</si>
  <si>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</si>
  <si>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</si>
  <si>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</si>
  <si>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</si>
  <si>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</si>
  <si>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</si>
  <si>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</si>
  <si>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</si>
  <si>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</si>
  <si>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</si>
  <si>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</si>
  <si>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</si>
  <si>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</si>
  <si>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</si>
  <si>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</si>
  <si>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</si>
  <si>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</si>
  <si>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</si>
  <si>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</si>
  <si>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</si>
  <si>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</si>
  <si>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</si>
  <si>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</si>
  <si>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</si>
  <si>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</si>
  <si>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</si>
  <si>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</si>
  <si>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</si>
  <si>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</si>
  <si>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</si>
  <si>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</si>
  <si>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</si>
  <si>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</si>
  <si>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</si>
  <si>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</si>
  <si>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</si>
  <si>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</si>
  <si>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</si>
  <si>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</si>
  <si>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</si>
  <si>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</si>
  <si>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</si>
  <si>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</si>
  <si>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</si>
  <si>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</si>
  <si>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</si>
  <si>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</si>
  <si>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</si>
  <si>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</si>
  <si>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</si>
  <si>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</si>
  <si>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</si>
  <si>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</si>
  <si>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</si>
  <si>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</si>
  <si>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</si>
  <si>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</si>
  <si>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</si>
  <si>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</si>
  <si>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</si>
  <si>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</si>
  <si>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</si>
  <si>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</si>
  <si>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</si>
  <si>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</si>
  <si>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</si>
  <si>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</si>
  <si>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</si>
  <si>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</si>
  <si>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</si>
  <si>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</si>
  <si>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</si>
  <si>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</si>
  <si>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</si>
  <si>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</si>
  <si>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</si>
  <si>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</si>
  <si>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</si>
  <si>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</si>
  <si>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</si>
  <si>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</si>
  <si>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</si>
  <si>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</si>
  <si>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</si>
  <si>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</si>
  <si>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</si>
  <si>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</si>
  <si>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</si>
  <si>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</si>
  <si>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</si>
  <si>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</si>
  <si>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</si>
  <si>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</si>
  <si>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</si>
  <si>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</si>
  <si>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</si>
  <si>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</si>
  <si>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</si>
  <si>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</si>
  <si>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</si>
  <si>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</si>
  <si>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</si>
  <si>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</si>
  <si>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</si>
  <si>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</si>
  <si>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</si>
  <si>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</si>
  <si>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</si>
  <si>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</si>
  <si>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</si>
  <si>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</si>
  <si>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</si>
  <si>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</si>
  <si>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</si>
  <si>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</si>
  <si>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</si>
  <si>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</si>
  <si>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</si>
  <si>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</si>
  <si>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</si>
  <si>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</si>
  <si>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</si>
  <si>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</si>
  <si>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</si>
  <si>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</si>
  <si>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</si>
  <si>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</si>
  <si>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</si>
  <si>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</si>
  <si>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</si>
  <si>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</si>
  <si>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</si>
  <si>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</si>
  <si>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</si>
  <si>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</si>
  <si>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</si>
  <si>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</si>
  <si>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</si>
  <si>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</si>
  <si>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</si>
  <si>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</si>
  <si>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</si>
  <si>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</si>
  <si>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</si>
  <si>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</si>
  <si>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</si>
  <si>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</si>
  <si>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</si>
  <si>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</si>
  <si>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</si>
  <si>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</si>
  <si>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</si>
  <si>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</si>
  <si>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</si>
  <si>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</si>
  <si>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</si>
  <si>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</si>
  <si>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</si>
  <si>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</si>
  <si>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</si>
  <si>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</si>
  <si>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</si>
  <si>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</si>
  <si>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</si>
  <si>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</si>
  <si>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</si>
  <si>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</si>
  <si>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</si>
  <si>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</si>
  <si>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</si>
  <si>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</si>
  <si>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</si>
  <si>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</si>
  <si>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</si>
  <si>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</si>
  <si>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</si>
  <si>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</si>
  <si>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</si>
  <si>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</si>
  <si>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</si>
  <si>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</si>
  <si>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</si>
  <si>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</si>
  <si>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</si>
  <si>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</si>
  <si>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</si>
  <si>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</si>
  <si>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</si>
  <si>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</si>
  <si>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</si>
  <si>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</si>
  <si>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</si>
  <si>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</si>
  <si>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</si>
  <si>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</si>
  <si>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</si>
  <si>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</si>
  <si>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</si>
  <si>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</si>
  <si>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</si>
  <si>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</si>
  <si>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</si>
  <si>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</si>
  <si>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</si>
  <si>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</si>
  <si>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</si>
  <si>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</si>
  <si>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</si>
  <si>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</si>
  <si>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</si>
  <si>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</si>
  <si>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</si>
  <si>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</si>
  <si>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</si>
  <si>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</si>
  <si>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</si>
  <si>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</si>
  <si>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</si>
  <si>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</si>
  <si>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</si>
  <si>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</si>
  <si>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</si>
  <si>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</si>
  <si>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</si>
  <si>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</si>
  <si>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</si>
  <si>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</si>
  <si>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</si>
  <si>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</si>
  <si>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</si>
  <si>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</si>
  <si>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</si>
  <si>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</si>
  <si>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</si>
  <si>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</si>
  <si>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</si>
  <si>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</si>
  <si>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</si>
  <si>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</si>
  <si>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</si>
  <si>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</si>
  <si>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</si>
  <si>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</si>
  <si>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</si>
  <si>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</si>
  <si>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</si>
  <si>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</si>
  <si>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</si>
  <si>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</si>
  <si>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</si>
  <si>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</si>
  <si>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</si>
  <si>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</si>
  <si>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</si>
  <si>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</si>
  <si>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</si>
  <si>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</si>
  <si>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</si>
  <si>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</si>
  <si>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</si>
  <si>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</si>
  <si>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</si>
  <si>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</si>
  <si>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</si>
  <si>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</si>
  <si>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</si>
  <si>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</si>
  <si>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</si>
  <si>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</si>
  <si>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</si>
  <si>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GRS Cooperative </t>
  </si>
  <si>
    <t>5/29/08</t>
  </si>
  <si>
    <t>7/15/2013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</si>
</sst>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55F0-3571-49FB-814A-5446724B813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203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190279.75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47984.32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>
        <v>194093.49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85153.58</v>
      </c>
      <c r="G13" s="18">
        <v>4310.12</v>
      </c>
      <c r="H13" s="18">
        <v>184373.05</v>
      </c>
      <c r="I13" s="18"/>
      <c r="J13" s="67">
        <f>SUM(I434)</f>
        <v>1385659.9100000001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14884.55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323417.65000000002</v>
      </c>
      <c r="G19" s="41">
        <f>SUM(G9:G18)</f>
        <v>19194.669999999998</v>
      </c>
      <c r="H19" s="41">
        <f>SUM(H9:H18)</f>
        <v>184373.05</v>
      </c>
      <c r="I19" s="41">
        <f>SUM(I9:I18)</f>
        <v>194093.49</v>
      </c>
      <c r="J19" s="41">
        <f>SUM(J9:J18)</f>
        <v>1385659.9100000001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1080.51</v>
      </c>
      <c r="G23" s="18">
        <v>16969.7</v>
      </c>
      <c r="H23" s="18">
        <f>184048.05-8004.77</f>
        <v>176043.28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17068.440000000002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34180.129999999997</v>
      </c>
      <c r="G25" s="18"/>
      <c r="H25" s="18">
        <v>325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14.97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8004.77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35275.61</v>
      </c>
      <c r="G33" s="41">
        <f>SUM(G23:G32)</f>
        <v>16969.7</v>
      </c>
      <c r="H33" s="41">
        <f>SUM(H23:H32)</f>
        <v>184373.05</v>
      </c>
      <c r="I33" s="41">
        <f>SUM(I23:I32)</f>
        <v>0</v>
      </c>
      <c r="J33" s="41">
        <f>SUM(J23:J32)</f>
        <v>17068.440000000002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30000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31895.359999999997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2224.9699999999998</v>
      </c>
      <c r="H41" s="18"/>
      <c r="I41" s="18">
        <v>194093.49</v>
      </c>
      <c r="J41" s="13">
        <f>SUM(I449)</f>
        <v>1336696.1100000001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258142.04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288142.04000000004</v>
      </c>
      <c r="G43" s="41">
        <f>SUM(G35:G42)</f>
        <v>2224.9699999999998</v>
      </c>
      <c r="H43" s="41">
        <f>SUM(H35:H42)</f>
        <v>0</v>
      </c>
      <c r="I43" s="41">
        <f>SUM(I35:I42)</f>
        <v>194093.49</v>
      </c>
      <c r="J43" s="41">
        <f>SUM(J35:J42)</f>
        <v>1368591.4700000002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323417.65000000002</v>
      </c>
      <c r="G44" s="41">
        <f>G43+G33</f>
        <v>19194.670000000002</v>
      </c>
      <c r="H44" s="41">
        <f>H43+H33</f>
        <v>184373.05</v>
      </c>
      <c r="I44" s="41">
        <f>I43+I33</f>
        <v>194093.49</v>
      </c>
      <c r="J44" s="41">
        <f>J43+J33</f>
        <v>1385659.9100000001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3660023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3660023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4169.1+26117.15</f>
        <v>30286.25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30286.25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1385.79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1385.79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2593.85</v>
      </c>
      <c r="G88" s="18"/>
      <c r="H88" s="18"/>
      <c r="I88" s="18"/>
      <c r="J88" s="18">
        <v>4249.0600000000004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127943.61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2465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5200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11285.39</v>
      </c>
      <c r="I94" s="18"/>
      <c r="J94" s="18">
        <v>500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1237.2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f>12695.07</f>
        <v>12695.07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4911.2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1240.43</f>
        <v>1240.43</v>
      </c>
      <c r="G102" s="18"/>
      <c r="H102" s="18"/>
      <c r="I102" s="18">
        <v>4134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30342.750000000004</v>
      </c>
      <c r="G103" s="41">
        <f>SUM(G88:G102)</f>
        <v>127943.61</v>
      </c>
      <c r="H103" s="41">
        <f>SUM(H88:H102)</f>
        <v>11285.39</v>
      </c>
      <c r="I103" s="41">
        <f>SUM(I88:I102)</f>
        <v>4134</v>
      </c>
      <c r="J103" s="41">
        <f>SUM(J88:J102)</f>
        <v>4749.0600000000004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3722037.79</v>
      </c>
      <c r="G104" s="41">
        <f>G52+G103</f>
        <v>127943.61</v>
      </c>
      <c r="H104" s="41">
        <f>H52+H71+H86+H103</f>
        <v>11285.39</v>
      </c>
      <c r="I104" s="41">
        <f>I52+I103</f>
        <v>4134</v>
      </c>
      <c r="J104" s="41">
        <f>J52+J103</f>
        <v>4749.0600000000004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1523599.26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843302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584555.74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2951457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622890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3196.48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2722.65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1800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627886.48</v>
      </c>
      <c r="G128" s="41">
        <f>SUM(G115:G127)</f>
        <v>2722.65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3579343.48</v>
      </c>
      <c r="G132" s="41">
        <f>G113+SUM(G128:G129)</f>
        <v>2722.65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24488.06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154494.68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41086.92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66392.31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175862.2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96552.77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14799</v>
      </c>
      <c r="G153" s="18">
        <v>14454.93</v>
      </c>
      <c r="H153" s="18">
        <v>107531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111351.77</v>
      </c>
      <c r="G154" s="41">
        <f>SUM(G142:G153)</f>
        <v>80847.239999999991</v>
      </c>
      <c r="H154" s="41">
        <f>SUM(H142:H153)</f>
        <v>503462.86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39576.239999999998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8956.56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159884.57</v>
      </c>
      <c r="G161" s="41">
        <f>G139+G154+SUM(G155:G160)</f>
        <v>80847.239999999991</v>
      </c>
      <c r="H161" s="41">
        <f>H139+H154+SUM(H155:H160)</f>
        <v>503462.86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109389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109389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f>12500+70723.2+300000</f>
        <v>383223.2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10726.44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393949.64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1105.3900000000001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395055.03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109389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7856320.8700000001</v>
      </c>
      <c r="G185" s="47">
        <f>G104+G132+G161+G184</f>
        <v>211513.5</v>
      </c>
      <c r="H185" s="47">
        <f>H104+H132+H161+H184</f>
        <v>514748.25</v>
      </c>
      <c r="I185" s="47">
        <f>I104+I132+I161+I184</f>
        <v>4134</v>
      </c>
      <c r="J185" s="47">
        <f>J104+J132+J184</f>
        <v>114138.06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666777.41</f>
        <v>666777.41</v>
      </c>
      <c r="G189" s="18">
        <f>259336.1+2.46</f>
        <v>259338.56</v>
      </c>
      <c r="H189" s="18">
        <f>602+3819.89</f>
        <v>4421.8899999999994</v>
      </c>
      <c r="I189" s="18">
        <f>35360.75</f>
        <v>35360.75</v>
      </c>
      <c r="J189" s="18">
        <f>21850.04</f>
        <v>21850.04</v>
      </c>
      <c r="K189" s="18">
        <f>1822.5</f>
        <v>1822.5</v>
      </c>
      <c r="L189" s="19">
        <f>SUM(F189:K189)</f>
        <v>989571.15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144306.3+818.11</f>
        <v>145124.40999999997</v>
      </c>
      <c r="G190" s="18">
        <f>82535.84+167.78</f>
        <v>82703.62</v>
      </c>
      <c r="H190" s="18">
        <f>19329.42+150+15502.15+1729.3+761.87</f>
        <v>37472.740000000005</v>
      </c>
      <c r="I190" s="18">
        <f>699.88+5087.79</f>
        <v>5787.67</v>
      </c>
      <c r="J190" s="18">
        <f>2626.99+1171.58</f>
        <v>3798.5699999999997</v>
      </c>
      <c r="K190" s="18">
        <f>300</f>
        <v>300</v>
      </c>
      <c r="L190" s="19">
        <f>SUM(F190:K190)</f>
        <v>275187.00999999995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1882.62+8963.5</f>
        <v>10846.119999999999</v>
      </c>
      <c r="G192" s="18">
        <f>488.8+1094.52</f>
        <v>1583.32</v>
      </c>
      <c r="H192" s="18">
        <f>2235+1732</f>
        <v>3967</v>
      </c>
      <c r="I192" s="18"/>
      <c r="J192" s="18"/>
      <c r="K192" s="18"/>
      <c r="L192" s="19">
        <f>SUM(F192:K192)</f>
        <v>16396.439999999999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51522.99+54235.8+37287.61</f>
        <v>143046.40000000002</v>
      </c>
      <c r="G194" s="18">
        <f>7810.01+20464.66+20516.2</f>
        <v>48790.869999999995</v>
      </c>
      <c r="H194" s="18">
        <f>912.2+197.15+246.5+1801.09+4218.52+54209.56+41179.1+525.65+27971.87+72344.8</f>
        <v>203606.44</v>
      </c>
      <c r="I194" s="18">
        <f>6992.82+966.12+314.34</f>
        <v>8273.2799999999988</v>
      </c>
      <c r="J194" s="18">
        <f>1154.81+95.89</f>
        <v>1250.7</v>
      </c>
      <c r="K194" s="18">
        <f>340+346</f>
        <v>686</v>
      </c>
      <c r="L194" s="19">
        <f t="shared" ref="L194:L200" si="0">SUM(F194:K194)</f>
        <v>405653.69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105+13600+48863.03+32185.32</f>
        <v>94753.35</v>
      </c>
      <c r="G195" s="18">
        <f>15.4+41.23+2037.88+8289.25+13931.59</f>
        <v>24315.35</v>
      </c>
      <c r="H195" s="18">
        <f>1750+495+320+5595.64</f>
        <v>8160.64</v>
      </c>
      <c r="I195" s="18">
        <f>7343.66+9091.9</f>
        <v>16435.559999999998</v>
      </c>
      <c r="J195" s="18">
        <f>123.32+11639.8</f>
        <v>11763.119999999999</v>
      </c>
      <c r="K195" s="18"/>
      <c r="L195" s="19">
        <f t="shared" si="0"/>
        <v>155428.02000000002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13460*0.406</f>
        <v>5464.76</v>
      </c>
      <c r="G196" s="18">
        <f>1074.84*0.406</f>
        <v>436.38504</v>
      </c>
      <c r="H196" s="18">
        <f>(970+6693.2+4350+475.59+2080.85+414648)*0.406</f>
        <v>174262.36184000003</v>
      </c>
      <c r="I196" s="18">
        <f>(3151.06+719.46)*0.406</f>
        <v>1571.4311200000002</v>
      </c>
      <c r="J196" s="18"/>
      <c r="K196" s="18">
        <f>(3550.58+30)*0.406</f>
        <v>1453.7154800000001</v>
      </c>
      <c r="L196" s="19">
        <f t="shared" si="0"/>
        <v>183188.65348000004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92055.28</v>
      </c>
      <c r="G197" s="18">
        <v>34271.269999999997</v>
      </c>
      <c r="H197" s="18">
        <f>2443.04+3556.45</f>
        <v>5999.49</v>
      </c>
      <c r="I197" s="18">
        <v>1241.8499999999999</v>
      </c>
      <c r="J197" s="18">
        <v>794</v>
      </c>
      <c r="K197" s="18">
        <v>2541.1999999999998</v>
      </c>
      <c r="L197" s="19">
        <f t="shared" si="0"/>
        <v>136903.09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79334.509999999995</v>
      </c>
      <c r="G199" s="18">
        <v>43677.64</v>
      </c>
      <c r="H199" s="18">
        <f>9764.4+13505.43+5865.25</f>
        <v>29135.08</v>
      </c>
      <c r="I199" s="18">
        <v>69630.210000000006</v>
      </c>
      <c r="J199" s="18">
        <v>17134.64</v>
      </c>
      <c r="K199" s="18">
        <v>116</v>
      </c>
      <c r="L199" s="19">
        <f t="shared" si="0"/>
        <v>239028.08000000002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25225.95+4787.18+468+2237.62</f>
        <v>32718.75</v>
      </c>
      <c r="G200" s="18">
        <f>9469.53+559.69+35.8+310.51</f>
        <v>10375.530000000001</v>
      </c>
      <c r="H200" s="18">
        <f>6310.47+1818.94+71</f>
        <v>8200.41</v>
      </c>
      <c r="I200" s="18">
        <f>8844+1283.78+563.01</f>
        <v>10690.79</v>
      </c>
      <c r="J200" s="18">
        <f>51854.55+435+170</f>
        <v>52459.55</v>
      </c>
      <c r="K200" s="18">
        <f>233.85</f>
        <v>233.85</v>
      </c>
      <c r="L200" s="19">
        <f t="shared" si="0"/>
        <v>114678.88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1270120.9900000002</v>
      </c>
      <c r="G203" s="41">
        <f t="shared" si="1"/>
        <v>505492.54504000006</v>
      </c>
      <c r="H203" s="41">
        <f t="shared" si="1"/>
        <v>475226.05184000003</v>
      </c>
      <c r="I203" s="41">
        <f t="shared" si="1"/>
        <v>148991.54112000001</v>
      </c>
      <c r="J203" s="41">
        <f t="shared" si="1"/>
        <v>109050.62</v>
      </c>
      <c r="K203" s="41">
        <f t="shared" si="1"/>
        <v>7153.26548</v>
      </c>
      <c r="L203" s="41">
        <f t="shared" si="1"/>
        <v>2516035.0134799997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370754.12+3841.66</f>
        <v>374595.77999999997</v>
      </c>
      <c r="G207" s="18">
        <f>148913.09+73.77</f>
        <v>148986.85999999999</v>
      </c>
      <c r="H207" s="18">
        <f>80+3982.43+85.5+500+10.57+172.5+15000</f>
        <v>19831</v>
      </c>
      <c r="I207" s="18">
        <f>5804.38+614.83+437.55+926.75+353.86+2020.36+2421.73+11500.31+467.05+2138.09+901.06+4264.31+294.72</f>
        <v>32145</v>
      </c>
      <c r="J207" s="18">
        <f>23108.28+878+534.07+162.98+201.05</f>
        <v>24884.379999999997</v>
      </c>
      <c r="K207" s="18">
        <f>1993+380+140+1414+80</f>
        <v>4007</v>
      </c>
      <c r="L207" s="19">
        <f>SUM(F207:K207)</f>
        <v>604450.0199999999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129925.24+8185.3</f>
        <v>138110.54</v>
      </c>
      <c r="G208" s="18">
        <f>49796.64+5718.55</f>
        <v>55515.19</v>
      </c>
      <c r="H208" s="18">
        <f>118.76</f>
        <v>118.76</v>
      </c>
      <c r="I208" s="18">
        <f>1953.35+50.38</f>
        <v>2003.73</v>
      </c>
      <c r="J208" s="18">
        <f>98</f>
        <v>98</v>
      </c>
      <c r="K208" s="18">
        <f>63</f>
        <v>63</v>
      </c>
      <c r="L208" s="19">
        <f>SUM(F208:K208)</f>
        <v>195909.22000000003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4958.1+9882.4+3831</f>
        <v>18671.5</v>
      </c>
      <c r="G210" s="18">
        <f>589.08+1220.29+518.47</f>
        <v>2327.84</v>
      </c>
      <c r="H210" s="18">
        <f>930+77+520</f>
        <v>1527</v>
      </c>
      <c r="I210" s="18">
        <f>401.21+6506.16</f>
        <v>6907.37</v>
      </c>
      <c r="J210" s="18"/>
      <c r="K210" s="18">
        <f>601+450</f>
        <v>1051</v>
      </c>
      <c r="L210" s="19">
        <f>SUM(F210:K210)</f>
        <v>30484.71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48372.77+13405.86+1725.73</f>
        <v>63504.36</v>
      </c>
      <c r="G212" s="18">
        <f>15194.26+4841.16+928.84</f>
        <v>20964.259999999998</v>
      </c>
      <c r="H212" s="18">
        <f>1086.12+1995.38+23.05+96.14+13029.02+1031.25</f>
        <v>17260.96</v>
      </c>
      <c r="I212" s="18">
        <f>5176.46+497.01</f>
        <v>5673.47</v>
      </c>
      <c r="J212" s="18">
        <f>583.76+731.62</f>
        <v>1315.38</v>
      </c>
      <c r="K212" s="18">
        <f>494.8+39</f>
        <v>533.79999999999995</v>
      </c>
      <c r="L212" s="19">
        <f t="shared" ref="L212:L218" si="2">SUM(F212:K212)</f>
        <v>109252.23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8252.5+10322.23+18506.24</f>
        <v>37080.97</v>
      </c>
      <c r="G213" s="18">
        <f>1223.44+3285.5+8027.76</f>
        <v>12536.7</v>
      </c>
      <c r="H213" s="18">
        <f>30.38+327.5+2724.83</f>
        <v>3082.71</v>
      </c>
      <c r="I213" s="18">
        <f>5192.07+6268.35</f>
        <v>11460.42</v>
      </c>
      <c r="J213" s="18">
        <f>4598.03+6254.36</f>
        <v>10852.39</v>
      </c>
      <c r="K213" s="18">
        <f>685.62</f>
        <v>685.62</v>
      </c>
      <c r="L213" s="19">
        <f t="shared" si="2"/>
        <v>75698.81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13460*0.234</f>
        <v>3149.6400000000003</v>
      </c>
      <c r="G214" s="18">
        <f>1074.84*0.234</f>
        <v>251.51256000000001</v>
      </c>
      <c r="H214" s="18">
        <f>(970+6693.2+4350+475.59+2080.85+414648)*0.234</f>
        <v>100436.92776000001</v>
      </c>
      <c r="I214" s="18">
        <f>(3151.06+719.46)*0.234</f>
        <v>905.70168000000001</v>
      </c>
      <c r="J214" s="18"/>
      <c r="K214" s="18">
        <f>(3550.58+30)*0.234</f>
        <v>837.85572000000002</v>
      </c>
      <c r="L214" s="19">
        <f t="shared" si="2"/>
        <v>105581.63772000001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72537.22</v>
      </c>
      <c r="G215" s="18">
        <v>30871.88</v>
      </c>
      <c r="H215" s="18">
        <f>2301.6+5121.63</f>
        <v>7423.23</v>
      </c>
      <c r="I215" s="18">
        <f>1178.04</f>
        <v>1178.04</v>
      </c>
      <c r="J215" s="18">
        <v>637.65</v>
      </c>
      <c r="K215" s="18">
        <v>3110.76</v>
      </c>
      <c r="L215" s="19">
        <f t="shared" si="2"/>
        <v>115758.77999999998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40003.81</v>
      </c>
      <c r="G217" s="18">
        <v>23849.55</v>
      </c>
      <c r="H217" s="18">
        <f>5614.52+10064.88+4629.94</f>
        <v>20309.34</v>
      </c>
      <c r="I217" s="18">
        <v>44926.9</v>
      </c>
      <c r="J217" s="18">
        <v>1690.84</v>
      </c>
      <c r="K217" s="18">
        <v>66.7</v>
      </c>
      <c r="L217" s="19">
        <f t="shared" si="2"/>
        <v>130847.14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13638.87+41.82+2648.2+2742.32</f>
        <v>19071.21</v>
      </c>
      <c r="G218" s="18">
        <f>6596.68+13.83+417.3+414.24</f>
        <v>7442.05</v>
      </c>
      <c r="H218" s="18">
        <f>3607.81+1039.45</f>
        <v>4647.26</v>
      </c>
      <c r="I218" s="18">
        <f>4807.63+7.6+755.5+809.22</f>
        <v>6379.9500000000007</v>
      </c>
      <c r="J218" s="18">
        <f>40855.1</f>
        <v>40855.1</v>
      </c>
      <c r="K218" s="18">
        <f>133.18</f>
        <v>133.18</v>
      </c>
      <c r="L218" s="19">
        <f t="shared" si="2"/>
        <v>78528.75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766725.0299999998</v>
      </c>
      <c r="G221" s="41">
        <f>SUM(G207:G220)</f>
        <v>302745.84255999996</v>
      </c>
      <c r="H221" s="41">
        <f>SUM(H207:H220)</f>
        <v>174637.18776000003</v>
      </c>
      <c r="I221" s="41">
        <f>SUM(I207:I220)</f>
        <v>111580.58168</v>
      </c>
      <c r="J221" s="41">
        <f>SUM(J207:J220)</f>
        <v>80333.739999999991</v>
      </c>
      <c r="K221" s="41">
        <f t="shared" si="3"/>
        <v>10488.915720000001</v>
      </c>
      <c r="L221" s="41">
        <f t="shared" si="3"/>
        <v>1446511.2977199999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722736.6+3711.72</f>
        <v>726448.32</v>
      </c>
      <c r="G225" s="18">
        <f>253852.23+361.56</f>
        <v>254213.79</v>
      </c>
      <c r="H225" s="18">
        <f>2456+4632.48+30534.58+1000+349+139.1+520+67.58+110+630+2805</f>
        <v>43243.74</v>
      </c>
      <c r="I225" s="18">
        <f>3160.59+3597.16+11338.29+2496.78+2615.43+419.96+4363.22+3932.49+1002.83+653.45+14673.26+3575.56+5880.76+1456.1</f>
        <v>59165.88</v>
      </c>
      <c r="J225" s="18">
        <f>5733.68+488.98+518+508.8+4090.21+322.89+5947.93+1853.31</f>
        <v>19463.8</v>
      </c>
      <c r="K225" s="18">
        <f>160+340+100+481.48+309+1408.86+1718.22+2247+1366.35</f>
        <v>8130.91</v>
      </c>
      <c r="L225" s="19">
        <f>SUM(F225:K225)</f>
        <v>1110666.44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103515.08+25059.95</f>
        <v>128575.03</v>
      </c>
      <c r="G226" s="18">
        <f>51974.65+16784.21</f>
        <v>68758.86</v>
      </c>
      <c r="H226" s="18">
        <f>29673.35+33820.85+32.3</f>
        <v>63526.5</v>
      </c>
      <c r="I226" s="18">
        <f>2465.59+976.22</f>
        <v>3441.8100000000004</v>
      </c>
      <c r="J226" s="18">
        <f>1893.74+300</f>
        <v>2193.7399999999998</v>
      </c>
      <c r="K226" s="18">
        <f>2010.5</f>
        <v>2010.5</v>
      </c>
      <c r="L226" s="19">
        <f>SUM(F226:K226)</f>
        <v>268506.44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14353.24</v>
      </c>
      <c r="I227" s="18"/>
      <c r="J227" s="18"/>
      <c r="K227" s="18"/>
      <c r="L227" s="19">
        <f>SUM(F227:K227)</f>
        <v>14353.24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21194.25+42814.09+365.98</f>
        <v>64374.32</v>
      </c>
      <c r="G228" s="18">
        <f>2808.35+4586.74+12.46</f>
        <v>7407.55</v>
      </c>
      <c r="H228" s="18">
        <f>655+11797+2620+1123.95+10697.25+647.39+780</f>
        <v>28320.59</v>
      </c>
      <c r="I228" s="18">
        <f>1348.69+14351.66+43.42</f>
        <v>15743.77</v>
      </c>
      <c r="J228" s="18"/>
      <c r="K228" s="18">
        <f>4051.5+5682+262</f>
        <v>9995.5</v>
      </c>
      <c r="L228" s="19">
        <f>SUM(F228:K228)</f>
        <v>125841.73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76709.84+20968.13+1123.63</f>
        <v>98801.600000000006</v>
      </c>
      <c r="G230" s="18">
        <f>23548.22+7609.39+604.85</f>
        <v>31762.46</v>
      </c>
      <c r="H230" s="18">
        <f>1629.12+3087.02+150.36+398.21+34779.64+8057.08</f>
        <v>48101.43</v>
      </c>
      <c r="I230" s="18">
        <f>6160.19+1144.06</f>
        <v>7304.25</v>
      </c>
      <c r="J230" s="18">
        <f>1030.47+1575.64</f>
        <v>2606.11</v>
      </c>
      <c r="K230" s="18">
        <f>195.2+61</f>
        <v>256.2</v>
      </c>
      <c r="L230" s="19">
        <f t="shared" ref="L230:L236" si="4">SUM(F230:K230)</f>
        <v>188832.05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10980.2+16015.25+29769.71</f>
        <v>56765.16</v>
      </c>
      <c r="G231" s="18">
        <f>1563.08+5150.69+12885.12</f>
        <v>19598.89</v>
      </c>
      <c r="H231" s="18">
        <f>2100+47.52+502.5+4318.66</f>
        <v>6968.68</v>
      </c>
      <c r="I231" s="18">
        <f>27.84+5192.74+8809.97</f>
        <v>14030.55</v>
      </c>
      <c r="J231" s="18">
        <f>7193.37+6246.46</f>
        <v>13439.83</v>
      </c>
      <c r="K231" s="18">
        <f>234+1072.38</f>
        <v>1306.3800000000001</v>
      </c>
      <c r="L231" s="19">
        <f t="shared" si="4"/>
        <v>112109.49000000002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13460*0.36</f>
        <v>4845.5999999999995</v>
      </c>
      <c r="G232" s="18">
        <f>1074.84*0.36</f>
        <v>386.94239999999996</v>
      </c>
      <c r="H232" s="18">
        <f>(970+6693.2+4350+475.59+2080.85+414648)*0.36</f>
        <v>154518.3504</v>
      </c>
      <c r="I232" s="18">
        <f>(3151.06+719.46)*0.36</f>
        <v>1393.3871999999999</v>
      </c>
      <c r="J232" s="18"/>
      <c r="K232" s="18">
        <f>(3550.58+30)*0.36</f>
        <v>1289.0087999999998</v>
      </c>
      <c r="L232" s="19">
        <f t="shared" si="4"/>
        <v>162433.28880000001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115757.55</v>
      </c>
      <c r="G233" s="18">
        <v>49344.82</v>
      </c>
      <c r="H233" s="18">
        <f>3452.52+8833.16</f>
        <v>12285.68</v>
      </c>
      <c r="I233" s="18">
        <v>2103.14</v>
      </c>
      <c r="J233" s="18">
        <v>1224.3</v>
      </c>
      <c r="K233" s="18">
        <v>4267.04</v>
      </c>
      <c r="L233" s="19">
        <f t="shared" si="4"/>
        <v>184982.53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68849.47</v>
      </c>
      <c r="G235" s="18">
        <v>37852.32</v>
      </c>
      <c r="H235" s="18">
        <f>9032.08+15605.94+7242.76</f>
        <v>31880.78</v>
      </c>
      <c r="I235" s="18">
        <v>70341.11</v>
      </c>
      <c r="J235" s="18">
        <v>2689.92</v>
      </c>
      <c r="K235" s="18">
        <v>107.3</v>
      </c>
      <c r="L235" s="19">
        <f t="shared" si="4"/>
        <v>211720.9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19902.05+1722.97+11766.33+14708+5121.88</f>
        <v>53221.229999999996</v>
      </c>
      <c r="G236" s="18">
        <f>8636.99+330.35+1517.41+2321.57+863.88</f>
        <v>13670.199999999999</v>
      </c>
      <c r="H236" s="18">
        <f>5768.03+1672.16+3143.71</f>
        <v>10583.9</v>
      </c>
      <c r="I236" s="18">
        <f>7524.21+466.1+2987.74+4143.41+1504.53</f>
        <v>16625.989999999998</v>
      </c>
      <c r="J236" s="18">
        <f>64425.35</f>
        <v>64425.35</v>
      </c>
      <c r="K236" s="18">
        <f>210.97</f>
        <v>210.97</v>
      </c>
      <c r="L236" s="19">
        <f t="shared" si="4"/>
        <v>158737.63999999998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1317638.28</v>
      </c>
      <c r="G239" s="41">
        <f t="shared" si="5"/>
        <v>482995.83240000007</v>
      </c>
      <c r="H239" s="41">
        <f t="shared" si="5"/>
        <v>413782.89040000003</v>
      </c>
      <c r="I239" s="41">
        <f t="shared" si="5"/>
        <v>190149.8872</v>
      </c>
      <c r="J239" s="41">
        <f t="shared" si="5"/>
        <v>106043.05</v>
      </c>
      <c r="K239" s="41">
        <f t="shared" si="5"/>
        <v>27573.808800000003</v>
      </c>
      <c r="L239" s="41">
        <f t="shared" si="5"/>
        <v>2538183.7487999997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83.64</v>
      </c>
      <c r="G245" s="18">
        <v>48.82</v>
      </c>
      <c r="H245" s="18"/>
      <c r="I245" s="18"/>
      <c r="J245" s="18"/>
      <c r="K245" s="18"/>
      <c r="L245" s="19">
        <f t="shared" si="6"/>
        <v>132.46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85842.2</v>
      </c>
      <c r="I247" s="18"/>
      <c r="J247" s="18"/>
      <c r="K247" s="18"/>
      <c r="L247" s="19">
        <f t="shared" si="6"/>
        <v>85842.2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83.64</v>
      </c>
      <c r="G248" s="41">
        <f t="shared" si="7"/>
        <v>48.82</v>
      </c>
      <c r="H248" s="41">
        <f t="shared" si="7"/>
        <v>85842.2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85974.66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3354567.94</v>
      </c>
      <c r="G249" s="41">
        <f t="shared" si="8"/>
        <v>1291283.0400000003</v>
      </c>
      <c r="H249" s="41">
        <f t="shared" si="8"/>
        <v>1149488.33</v>
      </c>
      <c r="I249" s="41">
        <f t="shared" si="8"/>
        <v>450722.01</v>
      </c>
      <c r="J249" s="41">
        <f t="shared" si="8"/>
        <v>295427.40999999997</v>
      </c>
      <c r="K249" s="41">
        <f t="shared" si="8"/>
        <v>45215.990000000005</v>
      </c>
      <c r="L249" s="41">
        <f t="shared" si="8"/>
        <v>6586704.7199999988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1083376.6299999999</v>
      </c>
      <c r="L252" s="19">
        <f>SUM(F252:K252)</f>
        <v>1083376.6299999999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145803.37</v>
      </c>
      <c r="L253" s="19">
        <f>SUM(F253:K253)</f>
        <v>145803.37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109389</v>
      </c>
      <c r="L258" s="19">
        <f t="shared" si="9"/>
        <v>109389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10300</v>
      </c>
      <c r="L260" s="19">
        <f t="shared" si="9"/>
        <v>10300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1348869</v>
      </c>
      <c r="L262" s="41">
        <f t="shared" si="9"/>
        <v>1348869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3354567.94</v>
      </c>
      <c r="G263" s="42">
        <f t="shared" si="11"/>
        <v>1291283.0400000003</v>
      </c>
      <c r="H263" s="42">
        <f t="shared" si="11"/>
        <v>1149488.33</v>
      </c>
      <c r="I263" s="42">
        <f t="shared" si="11"/>
        <v>450722.01</v>
      </c>
      <c r="J263" s="42">
        <f t="shared" si="11"/>
        <v>295427.40999999997</v>
      </c>
      <c r="K263" s="42">
        <f t="shared" si="11"/>
        <v>1394084.99</v>
      </c>
      <c r="L263" s="42">
        <f t="shared" si="11"/>
        <v>7935573.7199999988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1155.63+53368.32+18578.51+32905.94</f>
        <v>106008.4</v>
      </c>
      <c r="G268" s="18">
        <f>30552.2+8821.73</f>
        <v>39373.93</v>
      </c>
      <c r="H268" s="18">
        <f>1683</f>
        <v>1683</v>
      </c>
      <c r="I268" s="18">
        <f>108+633+2218.87+8772.38</f>
        <v>11732.25</v>
      </c>
      <c r="J268" s="18">
        <f>52.27+13.02+12594.95+235.24+3326.12</f>
        <v>16221.600000000002</v>
      </c>
      <c r="K268" s="18"/>
      <c r="L268" s="19">
        <f>SUM(F268:K268)</f>
        <v>175019.18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38413.6+15406.48</f>
        <v>53820.08</v>
      </c>
      <c r="G269" s="18">
        <f>1503.76</f>
        <v>1503.76</v>
      </c>
      <c r="H269" s="18">
        <f>18152.75+2975</f>
        <v>21127.75</v>
      </c>
      <c r="I269" s="18">
        <f>1747.06+723.14</f>
        <v>2470.1999999999998</v>
      </c>
      <c r="J269" s="18">
        <f>663.7+1283.9</f>
        <v>1947.6000000000001</v>
      </c>
      <c r="K269" s="18"/>
      <c r="L269" s="19">
        <f>SUM(F269:K269)</f>
        <v>80869.39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2630+603.75+80.9</f>
        <v>3314.65</v>
      </c>
      <c r="I273" s="18"/>
      <c r="J273" s="18"/>
      <c r="K273" s="18">
        <f>795</f>
        <v>795</v>
      </c>
      <c r="L273" s="19">
        <f t="shared" ref="L273:L279" si="12">SUM(F273:K273)</f>
        <v>4109.6499999999996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3537.5+2430+3336.71+829.68</f>
        <v>10133.89</v>
      </c>
      <c r="G274" s="18">
        <f>78.5+517.06+370.9+443.73+94.08</f>
        <v>1504.27</v>
      </c>
      <c r="H274" s="18">
        <f>500+498+990.96+3035.3+2935.63</f>
        <v>7959.89</v>
      </c>
      <c r="I274" s="18">
        <f>1500+953.7+630</f>
        <v>3083.7</v>
      </c>
      <c r="J274" s="18">
        <f>781.37+398+409.88+2977</f>
        <v>4566.25</v>
      </c>
      <c r="K274" s="18">
        <f>5050</f>
        <v>5050</v>
      </c>
      <c r="L274" s="19">
        <f t="shared" si="12"/>
        <v>32298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444.16</v>
      </c>
      <c r="G277" s="18"/>
      <c r="H277" s="18"/>
      <c r="I277" s="18"/>
      <c r="J277" s="18"/>
      <c r="K277" s="18">
        <f>53.98+10+140.13+764.52+1882.27+1239.74+4447.79+210.97+432.04+2950.99+325.05+1849.54+137.3</f>
        <v>14444.32</v>
      </c>
      <c r="L277" s="19">
        <f t="shared" si="12"/>
        <v>14888.48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f>107531*0.406</f>
        <v>43657.586000000003</v>
      </c>
      <c r="K279" s="18"/>
      <c r="L279" s="19">
        <f t="shared" si="12"/>
        <v>43657.586000000003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170406.53</v>
      </c>
      <c r="G282" s="42">
        <f t="shared" si="13"/>
        <v>42381.96</v>
      </c>
      <c r="H282" s="42">
        <f t="shared" si="13"/>
        <v>34085.29</v>
      </c>
      <c r="I282" s="42">
        <f t="shared" si="13"/>
        <v>17286.150000000001</v>
      </c>
      <c r="J282" s="42">
        <f t="shared" si="13"/>
        <v>66393.036000000007</v>
      </c>
      <c r="K282" s="42">
        <f t="shared" si="13"/>
        <v>20289.32</v>
      </c>
      <c r="L282" s="41">
        <f t="shared" si="13"/>
        <v>350842.28599999996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>
        <f>3802.38</f>
        <v>3802.38</v>
      </c>
      <c r="K287" s="18"/>
      <c r="L287" s="19">
        <f>SUM(F287:K287)</f>
        <v>3802.38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24968.92</f>
        <v>24968.92</v>
      </c>
      <c r="G288" s="18"/>
      <c r="H288" s="18"/>
      <c r="I288" s="18"/>
      <c r="J288" s="18"/>
      <c r="K288" s="18"/>
      <c r="L288" s="19">
        <f>SUM(F288:K288)</f>
        <v>24968.92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2000</f>
        <v>2000</v>
      </c>
      <c r="G293" s="18">
        <f>302.82</f>
        <v>302.82</v>
      </c>
      <c r="H293" s="18">
        <f>189</f>
        <v>189</v>
      </c>
      <c r="I293" s="18"/>
      <c r="J293" s="18"/>
      <c r="K293" s="18"/>
      <c r="L293" s="19">
        <f t="shared" si="14"/>
        <v>2491.8200000000002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f>115.47+198.08+1223.48+9.51</f>
        <v>1546.54</v>
      </c>
      <c r="L296" s="19">
        <f t="shared" si="14"/>
        <v>1546.54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>
        <f>107531*0.234</f>
        <v>25162.254000000001</v>
      </c>
      <c r="K298" s="18"/>
      <c r="L298" s="19">
        <f t="shared" si="14"/>
        <v>25162.254000000001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26968.92</v>
      </c>
      <c r="G301" s="42">
        <f t="shared" si="15"/>
        <v>302.82</v>
      </c>
      <c r="H301" s="42">
        <f t="shared" si="15"/>
        <v>189</v>
      </c>
      <c r="I301" s="42">
        <f t="shared" si="15"/>
        <v>0</v>
      </c>
      <c r="J301" s="42">
        <f t="shared" si="15"/>
        <v>28964.634000000002</v>
      </c>
      <c r="K301" s="42">
        <f t="shared" si="15"/>
        <v>1546.54</v>
      </c>
      <c r="L301" s="41">
        <f t="shared" si="15"/>
        <v>57971.913999999997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f>104.98+45.08</f>
        <v>150.06</v>
      </c>
      <c r="J306" s="18">
        <f>4797.22+14.52</f>
        <v>4811.7400000000007</v>
      </c>
      <c r="K306" s="18"/>
      <c r="L306" s="19">
        <f>SUM(F306:K306)</f>
        <v>4961.8000000000011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32651.56</f>
        <v>32651.56</v>
      </c>
      <c r="G307" s="18"/>
      <c r="H307" s="18">
        <f>770+2493.17</f>
        <v>3263.17</v>
      </c>
      <c r="I307" s="18">
        <f>24.98+387.77</f>
        <v>412.75</v>
      </c>
      <c r="J307" s="18">
        <f>15064.29</f>
        <v>15064.29</v>
      </c>
      <c r="K307" s="18"/>
      <c r="L307" s="19">
        <f>SUM(F307:K307)</f>
        <v>51391.770000000004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887.43</f>
        <v>887.43</v>
      </c>
      <c r="G309" s="18">
        <f>67.88</f>
        <v>67.88</v>
      </c>
      <c r="H309" s="18">
        <f>250</f>
        <v>250</v>
      </c>
      <c r="I309" s="18"/>
      <c r="J309" s="18"/>
      <c r="K309" s="18"/>
      <c r="L309" s="19">
        <f>SUM(F309:K309)</f>
        <v>1205.31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3250</f>
        <v>3250</v>
      </c>
      <c r="I311" s="18"/>
      <c r="J311" s="18"/>
      <c r="K311" s="18"/>
      <c r="L311" s="19">
        <f t="shared" ref="L311:L317" si="16">SUM(F311:K311)</f>
        <v>3250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1013.15</f>
        <v>1013.15</v>
      </c>
      <c r="G312" s="18">
        <f>1502.35+72.23</f>
        <v>1574.58</v>
      </c>
      <c r="H312" s="18">
        <f>561</f>
        <v>561</v>
      </c>
      <c r="I312" s="18"/>
      <c r="J312" s="18"/>
      <c r="K312" s="18"/>
      <c r="L312" s="19">
        <f t="shared" si="16"/>
        <v>3148.73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>
        <f>209.33</f>
        <v>209.33</v>
      </c>
      <c r="K314" s="18"/>
      <c r="L314" s="19">
        <f t="shared" si="16"/>
        <v>209.33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f>249.91+1759.18+103.85+943.01</f>
        <v>3055.95</v>
      </c>
      <c r="L315" s="19">
        <f t="shared" si="16"/>
        <v>3055.95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>
        <f>107531*0.36</f>
        <v>38711.159999999996</v>
      </c>
      <c r="K317" s="18"/>
      <c r="L317" s="19">
        <f t="shared" si="16"/>
        <v>38711.159999999996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34552.14</v>
      </c>
      <c r="G320" s="42">
        <f t="shared" si="17"/>
        <v>1642.46</v>
      </c>
      <c r="H320" s="42">
        <f t="shared" si="17"/>
        <v>7324.17</v>
      </c>
      <c r="I320" s="42">
        <f t="shared" si="17"/>
        <v>562.80999999999995</v>
      </c>
      <c r="J320" s="42">
        <f t="shared" si="17"/>
        <v>58796.520000000004</v>
      </c>
      <c r="K320" s="42">
        <f t="shared" si="17"/>
        <v>3055.95</v>
      </c>
      <c r="L320" s="41">
        <f t="shared" si="17"/>
        <v>105934.05000000002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231927.59000000003</v>
      </c>
      <c r="G330" s="41">
        <f t="shared" si="20"/>
        <v>44327.24</v>
      </c>
      <c r="H330" s="41">
        <f t="shared" si="20"/>
        <v>41598.46</v>
      </c>
      <c r="I330" s="41">
        <f t="shared" si="20"/>
        <v>17848.960000000003</v>
      </c>
      <c r="J330" s="41">
        <f t="shared" si="20"/>
        <v>154154.19</v>
      </c>
      <c r="K330" s="41">
        <f t="shared" si="20"/>
        <v>24891.81</v>
      </c>
      <c r="L330" s="41">
        <f t="shared" si="20"/>
        <v>514748.25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231927.59000000003</v>
      </c>
      <c r="G344" s="41">
        <f>G330</f>
        <v>44327.24</v>
      </c>
      <c r="H344" s="41">
        <f>H330</f>
        <v>41598.46</v>
      </c>
      <c r="I344" s="41">
        <f>I330</f>
        <v>17848.960000000003</v>
      </c>
      <c r="J344" s="41">
        <f>J330</f>
        <v>154154.19</v>
      </c>
      <c r="K344" s="47">
        <f>K330+K343</f>
        <v>24891.81</v>
      </c>
      <c r="L344" s="41">
        <f>L330+L343</f>
        <v>514748.25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194998*0.406</f>
        <v>79169.188000000009</v>
      </c>
      <c r="I350" s="18">
        <f>14454.93*0.406</f>
        <v>5868.7015800000008</v>
      </c>
      <c r="J350" s="18"/>
      <c r="K350" s="18"/>
      <c r="L350" s="13">
        <f>SUM(F350:K350)</f>
        <v>85037.889580000017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194998*0.234</f>
        <v>45629.531999999999</v>
      </c>
      <c r="I351" s="18">
        <f>14454.93*0.234</f>
        <v>3382.4536200000002</v>
      </c>
      <c r="J351" s="18"/>
      <c r="K351" s="18"/>
      <c r="L351" s="19">
        <f>SUM(F351:K351)</f>
        <v>49011.985619999999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f>194998*0.36</f>
        <v>70199.28</v>
      </c>
      <c r="I352" s="18">
        <f>14454.93*0.36</f>
        <v>5203.7748000000001</v>
      </c>
      <c r="J352" s="18"/>
      <c r="K352" s="18"/>
      <c r="L352" s="19">
        <f>SUM(F352:K352)</f>
        <v>75403.054799999998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194998</v>
      </c>
      <c r="I354" s="47">
        <f t="shared" si="22"/>
        <v>14454.93</v>
      </c>
      <c r="J354" s="47">
        <f t="shared" si="22"/>
        <v>0</v>
      </c>
      <c r="K354" s="47">
        <f t="shared" si="22"/>
        <v>0</v>
      </c>
      <c r="L354" s="47">
        <f t="shared" si="22"/>
        <v>209452.93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</f>
        <v>5868.7015800000008</v>
      </c>
      <c r="G359" s="18">
        <f>I351</f>
        <v>3382.4536200000002</v>
      </c>
      <c r="H359" s="18">
        <f>I352</f>
        <v>5203.7748000000001</v>
      </c>
      <c r="I359" s="56">
        <f>SUM(F359:H359)</f>
        <v>14454.93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5868.7015800000008</v>
      </c>
      <c r="G361" s="47">
        <f>SUM(G359:G360)</f>
        <v>3382.4536200000002</v>
      </c>
      <c r="H361" s="47">
        <f>SUM(H359:H360)</f>
        <v>5203.7748000000001</v>
      </c>
      <c r="I361" s="47">
        <f>SUM(I359:I360)</f>
        <v>14454.93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28286.5+697446.42+5475.32</f>
        <v>731208.24</v>
      </c>
      <c r="I371" s="18">
        <v>1247.98</v>
      </c>
      <c r="J371" s="18">
        <f>3082</f>
        <v>3082</v>
      </c>
      <c r="K371" s="18"/>
      <c r="L371" s="13">
        <f t="shared" si="23"/>
        <v>735538.22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731208.24</v>
      </c>
      <c r="I374" s="41">
        <f t="shared" si="24"/>
        <v>1247.98</v>
      </c>
      <c r="J374" s="47">
        <f t="shared" si="24"/>
        <v>3082</v>
      </c>
      <c r="K374" s="47">
        <f t="shared" si="24"/>
        <v>0</v>
      </c>
      <c r="L374" s="47">
        <f t="shared" si="24"/>
        <v>735538.22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f>30661</f>
        <v>30661</v>
      </c>
      <c r="H380" s="18">
        <v>3695.53</v>
      </c>
      <c r="I380" s="18"/>
      <c r="J380" s="24" t="s">
        <v>312</v>
      </c>
      <c r="K380" s="24" t="s">
        <v>312</v>
      </c>
      <c r="L380" s="56">
        <f t="shared" si="25"/>
        <v>34356.53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149.43</v>
      </c>
      <c r="I382" s="18"/>
      <c r="J382" s="24" t="s">
        <v>312</v>
      </c>
      <c r="K382" s="24" t="s">
        <v>312</v>
      </c>
      <c r="L382" s="56">
        <f t="shared" si="25"/>
        <v>149.43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30661</v>
      </c>
      <c r="H385" s="139">
        <f>SUM(H379:H384)</f>
        <v>3844.96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34505.96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35000</v>
      </c>
      <c r="H390" s="18">
        <v>143.99</v>
      </c>
      <c r="I390" s="18"/>
      <c r="J390" s="24" t="s">
        <v>312</v>
      </c>
      <c r="K390" s="24" t="s">
        <v>312</v>
      </c>
      <c r="L390" s="56">
        <f t="shared" si="26"/>
        <v>35143.99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5000</v>
      </c>
      <c r="H391" s="18">
        <v>36.4</v>
      </c>
      <c r="I391" s="18"/>
      <c r="J391" s="24" t="s">
        <v>312</v>
      </c>
      <c r="K391" s="24" t="s">
        <v>312</v>
      </c>
      <c r="L391" s="56">
        <f t="shared" si="26"/>
        <v>5036.3999999999996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f>16478+22250</f>
        <v>38728</v>
      </c>
      <c r="H392" s="18">
        <f>3.65+82.65+97.11+40.3</f>
        <v>223.71000000000004</v>
      </c>
      <c r="I392" s="18">
        <v>500</v>
      </c>
      <c r="J392" s="24" t="s">
        <v>312</v>
      </c>
      <c r="K392" s="24" t="s">
        <v>312</v>
      </c>
      <c r="L392" s="56">
        <f t="shared" si="26"/>
        <v>39451.71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78728</v>
      </c>
      <c r="H393" s="47">
        <f>SUM(H387:H392)</f>
        <v>404.1</v>
      </c>
      <c r="I393" s="47">
        <f>SUM(I387:I392)</f>
        <v>500</v>
      </c>
      <c r="J393" s="45" t="s">
        <v>312</v>
      </c>
      <c r="K393" s="45" t="s">
        <v>312</v>
      </c>
      <c r="L393" s="47">
        <f>SUM(L387:L392)</f>
        <v>79632.100000000006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109389</v>
      </c>
      <c r="H400" s="47">
        <f>H385+H393+H399</f>
        <v>4249.0600000000004</v>
      </c>
      <c r="I400" s="47">
        <f>I385+I393+I399</f>
        <v>500</v>
      </c>
      <c r="J400" s="24" t="s">
        <v>312</v>
      </c>
      <c r="K400" s="24" t="s">
        <v>312</v>
      </c>
      <c r="L400" s="47">
        <f>L385+L393+L399</f>
        <v>114138.06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f>364381.2+6342</f>
        <v>370723.2</v>
      </c>
      <c r="L406" s="56">
        <f t="shared" si="27"/>
        <v>370723.2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>
        <v>12500</v>
      </c>
      <c r="L408" s="56">
        <f t="shared" si="27"/>
        <v>12500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383223.2</v>
      </c>
      <c r="L411" s="47">
        <f t="shared" si="28"/>
        <v>383223.2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f>290+2500+10726.44</f>
        <v>13516.44</v>
      </c>
      <c r="L418" s="56">
        <f t="shared" si="29"/>
        <v>13516.44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13516.44</v>
      </c>
      <c r="L419" s="47">
        <f t="shared" si="30"/>
        <v>13516.44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396739.64</v>
      </c>
      <c r="L426" s="47">
        <f t="shared" si="32"/>
        <v>396739.64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1158970.05+50388.78</f>
        <v>1209358.83</v>
      </c>
      <c r="G434" s="18">
        <f>15233.39+1351.35+30544.01+129172.33</f>
        <v>176301.08000000002</v>
      </c>
      <c r="H434" s="18"/>
      <c r="I434" s="56">
        <f t="shared" si="33"/>
        <v>1385659.9100000001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1209358.83</v>
      </c>
      <c r="G438" s="13">
        <f>SUM(G431:G437)</f>
        <v>176301.08000000002</v>
      </c>
      <c r="H438" s="13">
        <f>SUM(H431:H437)</f>
        <v>0</v>
      </c>
      <c r="I438" s="13">
        <f>SUM(I431:I437)</f>
        <v>1385659.9100000001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6342</v>
      </c>
      <c r="G441" s="18">
        <v>10726.44</v>
      </c>
      <c r="H441" s="18"/>
      <c r="I441" s="56">
        <f>SUM(F441:H441)</f>
        <v>17068.440000000002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6342</v>
      </c>
      <c r="G444" s="72">
        <f>SUM(G440:G443)</f>
        <v>10726.44</v>
      </c>
      <c r="H444" s="72">
        <f>SUM(H440:H443)</f>
        <v>0</v>
      </c>
      <c r="I444" s="72">
        <f>SUM(I440:I443)</f>
        <v>17068.440000000002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>
        <f>1351.35+30544.01</f>
        <v>31895.359999999997</v>
      </c>
      <c r="H448" s="18"/>
      <c r="I448" s="56">
        <f>SUM(F448:H448)</f>
        <v>31895.359999999997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F434-F441</f>
        <v>1203016.83</v>
      </c>
      <c r="G449" s="18">
        <f>15233.39+129172.33-G441</f>
        <v>133679.28</v>
      </c>
      <c r="H449" s="18"/>
      <c r="I449" s="56">
        <f>SUM(F449:H449)</f>
        <v>1336696.1100000001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1203016.83</v>
      </c>
      <c r="G450" s="83">
        <f>SUM(G446:G449)</f>
        <v>165574.63999999998</v>
      </c>
      <c r="H450" s="83">
        <f>SUM(H446:H449)</f>
        <v>0</v>
      </c>
      <c r="I450" s="83">
        <f>SUM(I446:I449)</f>
        <v>1368591.4700000002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1209358.83</v>
      </c>
      <c r="G451" s="42">
        <f>G444+G450</f>
        <v>176301.08</v>
      </c>
      <c r="H451" s="42">
        <f>H444+H450</f>
        <v>0</v>
      </c>
      <c r="I451" s="42">
        <f>I444+I450</f>
        <v>1385659.9100000001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367394.89</v>
      </c>
      <c r="G455" s="18">
        <v>164.4</v>
      </c>
      <c r="H455" s="18">
        <v>0</v>
      </c>
      <c r="I455" s="18">
        <v>925497.71</v>
      </c>
      <c r="J455" s="18">
        <v>1651193.05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7856320.8700000001</v>
      </c>
      <c r="G458" s="18">
        <v>211513.5</v>
      </c>
      <c r="H458" s="18">
        <v>514748.25</v>
      </c>
      <c r="I458" s="18">
        <v>4134</v>
      </c>
      <c r="J458" s="18">
        <v>114138.06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7856320.8700000001</v>
      </c>
      <c r="G460" s="53">
        <f>SUM(G458:G459)</f>
        <v>211513.5</v>
      </c>
      <c r="H460" s="53">
        <f>SUM(H458:H459)</f>
        <v>514748.25</v>
      </c>
      <c r="I460" s="53">
        <f>SUM(I458:I459)</f>
        <v>4134</v>
      </c>
      <c r="J460" s="53">
        <f>SUM(J458:J459)</f>
        <v>114138.06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7935573.7199999997</v>
      </c>
      <c r="G462" s="18">
        <v>209452.93</v>
      </c>
      <c r="H462" s="18">
        <v>514748.25</v>
      </c>
      <c r="I462" s="18">
        <v>735538.22</v>
      </c>
      <c r="J462" s="18">
        <v>396739.64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7935573.7199999997</v>
      </c>
      <c r="G464" s="53">
        <f>SUM(G462:G463)</f>
        <v>209452.93</v>
      </c>
      <c r="H464" s="53">
        <f>SUM(H462:H463)</f>
        <v>514748.25</v>
      </c>
      <c r="I464" s="53">
        <f>SUM(I462:I463)</f>
        <v>735538.22</v>
      </c>
      <c r="J464" s="53">
        <f>SUM(J462:J463)</f>
        <v>396739.64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288142.04000000004</v>
      </c>
      <c r="G466" s="53">
        <f>(G455+G460)- G464</f>
        <v>2224.9700000000012</v>
      </c>
      <c r="H466" s="53">
        <f>(H455+H460)- H464</f>
        <v>0</v>
      </c>
      <c r="I466" s="53">
        <f>(I455+I460)- I464</f>
        <v>194093.49</v>
      </c>
      <c r="J466" s="53">
        <f>(J455+J460)- J464</f>
        <v>1368591.4700000002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5385000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3.14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5308618</v>
      </c>
      <c r="G485" s="18"/>
      <c r="H485" s="18"/>
      <c r="I485" s="18"/>
      <c r="J485" s="18"/>
      <c r="K485" s="53">
        <f>SUM(F485:J485)</f>
        <v>5308618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1083376.6299999999</v>
      </c>
      <c r="G487" s="18"/>
      <c r="H487" s="18"/>
      <c r="I487" s="18"/>
      <c r="J487" s="18"/>
      <c r="K487" s="53">
        <f t="shared" si="34"/>
        <v>1083376.6299999999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4225241.37</v>
      </c>
      <c r="G488" s="205"/>
      <c r="H488" s="205"/>
      <c r="I488" s="205"/>
      <c r="J488" s="205"/>
      <c r="K488" s="206">
        <f t="shared" si="34"/>
        <v>4225241.37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422722-145803.37</f>
        <v>276918.63</v>
      </c>
      <c r="G489" s="18"/>
      <c r="H489" s="18"/>
      <c r="I489" s="18"/>
      <c r="J489" s="18"/>
      <c r="K489" s="53">
        <f t="shared" si="34"/>
        <v>276918.63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4502160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4502160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1077000</v>
      </c>
      <c r="G491" s="205"/>
      <c r="H491" s="205"/>
      <c r="I491" s="205"/>
      <c r="J491" s="205"/>
      <c r="K491" s="206">
        <f t="shared" si="34"/>
        <v>1077000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118362</v>
      </c>
      <c r="G492" s="18"/>
      <c r="H492" s="18"/>
      <c r="I492" s="18"/>
      <c r="J492" s="18"/>
      <c r="K492" s="53">
        <f t="shared" si="34"/>
        <v>118362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1195362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1195362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144306.3+818.11+8963.5+38413.6+15406.48</f>
        <v>207907.99</v>
      </c>
      <c r="G511" s="18">
        <f>82535.84+167.78+1094.52+1503.76</f>
        <v>85301.9</v>
      </c>
      <c r="H511" s="18">
        <f>602+19329.42+150+15502.15+2235+1732+1729.3+761.87+21127.75</f>
        <v>63169.490000000005</v>
      </c>
      <c r="I511" s="18">
        <f>699.88+2218.87+723.14+5087.79+1747.06</f>
        <v>10476.74</v>
      </c>
      <c r="J511" s="18">
        <f>2626.99+663.7+1283.9+1171.58</f>
        <v>5746.17</v>
      </c>
      <c r="K511" s="18">
        <f>300</f>
        <v>300</v>
      </c>
      <c r="L511" s="88">
        <f>SUM(F511:K511)</f>
        <v>372902.29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2257.46+129925.24+8185.3+14+2331+24968.92</f>
        <v>167681.91999999998</v>
      </c>
      <c r="G512" s="18">
        <f>24.05+49796.64+5718.55+288.19</f>
        <v>55827.430000000008</v>
      </c>
      <c r="H512" s="18">
        <f>118.76</f>
        <v>118.76</v>
      </c>
      <c r="I512" s="18">
        <f>1953.35+50.38</f>
        <v>2003.73</v>
      </c>
      <c r="J512" s="18">
        <f>98</f>
        <v>98</v>
      </c>
      <c r="K512" s="18">
        <f>63</f>
        <v>63</v>
      </c>
      <c r="L512" s="88">
        <f>SUM(F512:K512)</f>
        <v>225792.84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2328.03+103515.08+25059.95+365.98+32651.56+887.43</f>
        <v>164808.03</v>
      </c>
      <c r="G513" s="18">
        <f>171.35+51974.65+16784.21+12.46+67.88</f>
        <v>69010.55</v>
      </c>
      <c r="H513" s="18">
        <f>29673.35+33820.85+32.3+10697.25+647.39+3263.17</f>
        <v>78134.31</v>
      </c>
      <c r="I513" s="18">
        <f>2465.59+976.22+43.42+24.98+387.77</f>
        <v>3897.9800000000005</v>
      </c>
      <c r="J513" s="18">
        <f>1893.74+300+15064.29</f>
        <v>17258.03</v>
      </c>
      <c r="K513" s="18">
        <f>2010.5+262</f>
        <v>2272.5</v>
      </c>
      <c r="L513" s="88">
        <f>SUM(F513:K513)</f>
        <v>335381.40000000002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540397.93999999994</v>
      </c>
      <c r="G514" s="108">
        <f t="shared" ref="G514:L514" si="35">SUM(G511:G513)</f>
        <v>210139.88</v>
      </c>
      <c r="H514" s="108">
        <f t="shared" si="35"/>
        <v>141422.56</v>
      </c>
      <c r="I514" s="108">
        <f t="shared" si="35"/>
        <v>16378.45</v>
      </c>
      <c r="J514" s="108">
        <f t="shared" si="35"/>
        <v>23102.199999999997</v>
      </c>
      <c r="K514" s="108">
        <f t="shared" si="35"/>
        <v>2635.5</v>
      </c>
      <c r="L514" s="89">
        <f t="shared" si="35"/>
        <v>934076.53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2430+37287.61+4500+829.68</f>
        <v>45047.29</v>
      </c>
      <c r="G516" s="18">
        <f>370.9+20516.2+669.81+94.08</f>
        <v>21650.990000000005</v>
      </c>
      <c r="H516" s="18">
        <f>4218.52+41179.1+27971.87+2630+603.75+80.9+990.96+3035.3+1801.09+54209.56+525.65+72344.8+1400</f>
        <v>210991.5</v>
      </c>
      <c r="I516" s="18">
        <f>314.34</f>
        <v>314.33999999999997</v>
      </c>
      <c r="J516" s="18"/>
      <c r="K516" s="18">
        <f>795+346</f>
        <v>1141</v>
      </c>
      <c r="L516" s="88">
        <f>SUM(F516:K516)</f>
        <v>279145.12000000005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1725.73+3442.5+500</f>
        <v>5668.23</v>
      </c>
      <c r="G517" s="18">
        <f>928.84+522.37+75.72</f>
        <v>1526.93</v>
      </c>
      <c r="H517" s="18">
        <f>13029.02+1031.25</f>
        <v>14060.27</v>
      </c>
      <c r="I517" s="18"/>
      <c r="J517" s="18"/>
      <c r="K517" s="18"/>
      <c r="L517" s="88">
        <f>SUM(F517:K517)</f>
        <v>21255.43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1123.63+3157.5+263.15+750</f>
        <v>5294.28</v>
      </c>
      <c r="G518" s="18">
        <f>604.85+477.76+20.13+52.1</f>
        <v>1154.8400000000001</v>
      </c>
      <c r="H518" s="18">
        <f>398.21+34779.64+8057.08+500+3250</f>
        <v>46984.93</v>
      </c>
      <c r="I518" s="18"/>
      <c r="J518" s="18"/>
      <c r="K518" s="18"/>
      <c r="L518" s="88">
        <f>SUM(F518:K518)</f>
        <v>53434.05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56009.8</v>
      </c>
      <c r="G519" s="89">
        <f t="shared" ref="G519:L519" si="36">SUM(G516:G518)</f>
        <v>24332.760000000006</v>
      </c>
      <c r="H519" s="89">
        <f t="shared" si="36"/>
        <v>272036.7</v>
      </c>
      <c r="I519" s="89">
        <f t="shared" si="36"/>
        <v>314.33999999999997</v>
      </c>
      <c r="J519" s="89">
        <f t="shared" si="36"/>
        <v>0</v>
      </c>
      <c r="K519" s="89">
        <f t="shared" si="36"/>
        <v>1141</v>
      </c>
      <c r="L519" s="89">
        <f t="shared" si="36"/>
        <v>353834.60000000003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444.16</v>
      </c>
      <c r="G521" s="18"/>
      <c r="H521" s="18">
        <f>91686.39*0.439</f>
        <v>40250.325210000003</v>
      </c>
      <c r="I521" s="18"/>
      <c r="J521" s="18"/>
      <c r="K521" s="18">
        <f>432.04+137.3</f>
        <v>569.34</v>
      </c>
      <c r="L521" s="88">
        <f>SUM(F521:K521)</f>
        <v>41263.825210000003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f>91686.39*0.21</f>
        <v>19254.141899999999</v>
      </c>
      <c r="I522" s="18"/>
      <c r="J522" s="18"/>
      <c r="K522" s="18"/>
      <c r="L522" s="88">
        <f>SUM(F522:K522)</f>
        <v>19254.141899999999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91686.39*0.351</f>
        <v>32181.922889999998</v>
      </c>
      <c r="I523" s="18"/>
      <c r="J523" s="18"/>
      <c r="K523" s="18"/>
      <c r="L523" s="88">
        <f>SUM(F523:K523)</f>
        <v>32181.922889999998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444.16</v>
      </c>
      <c r="G524" s="89">
        <f t="shared" ref="G524:L524" si="37">SUM(G521:G523)</f>
        <v>0</v>
      </c>
      <c r="H524" s="89">
        <f t="shared" si="37"/>
        <v>91686.39</v>
      </c>
      <c r="I524" s="89">
        <f t="shared" si="37"/>
        <v>0</v>
      </c>
      <c r="J524" s="89">
        <f t="shared" si="37"/>
        <v>0</v>
      </c>
      <c r="K524" s="89">
        <f t="shared" si="37"/>
        <v>569.34</v>
      </c>
      <c r="L524" s="89">
        <f t="shared" si="37"/>
        <v>92699.89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4787.18</v>
      </c>
      <c r="G531" s="18">
        <v>559.69000000000005</v>
      </c>
      <c r="H531" s="18">
        <f>170+71</f>
        <v>241</v>
      </c>
      <c r="I531" s="18">
        <f>1283.78</f>
        <v>1283.78</v>
      </c>
      <c r="J531" s="18">
        <f>435</f>
        <v>435</v>
      </c>
      <c r="K531" s="18"/>
      <c r="L531" s="88">
        <f>SUM(F531:K531)</f>
        <v>7306.6500000000005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41.82</f>
        <v>41.82</v>
      </c>
      <c r="G532" s="18">
        <f>13.83</f>
        <v>13.83</v>
      </c>
      <c r="H532" s="18"/>
      <c r="I532" s="18">
        <f>7.6</f>
        <v>7.6</v>
      </c>
      <c r="J532" s="18"/>
      <c r="K532" s="18"/>
      <c r="L532" s="88">
        <f>SUM(F532:K532)</f>
        <v>63.25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1722.97</v>
      </c>
      <c r="G533" s="18">
        <v>330.35</v>
      </c>
      <c r="H533" s="18">
        <v>3143.71</v>
      </c>
      <c r="I533" s="18">
        <v>466.1</v>
      </c>
      <c r="J533" s="18"/>
      <c r="K533" s="18"/>
      <c r="L533" s="88">
        <f>SUM(F533:K533)</f>
        <v>5663.130000000001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6551.97</v>
      </c>
      <c r="G534" s="194">
        <f t="shared" ref="G534:L534" si="39">SUM(G531:G533)</f>
        <v>903.87000000000012</v>
      </c>
      <c r="H534" s="194">
        <f t="shared" si="39"/>
        <v>3384.71</v>
      </c>
      <c r="I534" s="194">
        <f t="shared" si="39"/>
        <v>1757.48</v>
      </c>
      <c r="J534" s="194">
        <f t="shared" si="39"/>
        <v>435</v>
      </c>
      <c r="K534" s="194">
        <f t="shared" si="39"/>
        <v>0</v>
      </c>
      <c r="L534" s="194">
        <f t="shared" si="39"/>
        <v>13033.030000000002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603403.87</v>
      </c>
      <c r="G535" s="89">
        <f t="shared" ref="G535:L535" si="40">G514+G519+G524+G529+G534</f>
        <v>235376.51</v>
      </c>
      <c r="H535" s="89">
        <f t="shared" si="40"/>
        <v>508530.36000000004</v>
      </c>
      <c r="I535" s="89">
        <f t="shared" si="40"/>
        <v>18450.27</v>
      </c>
      <c r="J535" s="89">
        <f t="shared" si="40"/>
        <v>23537.199999999997</v>
      </c>
      <c r="K535" s="89">
        <f t="shared" si="40"/>
        <v>4345.84</v>
      </c>
      <c r="L535" s="89">
        <f t="shared" si="40"/>
        <v>1393644.05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372902.29</v>
      </c>
      <c r="G539" s="87">
        <f>L516</f>
        <v>279145.12000000005</v>
      </c>
      <c r="H539" s="87">
        <f>L521</f>
        <v>41263.825210000003</v>
      </c>
      <c r="I539" s="87">
        <f>L526</f>
        <v>0</v>
      </c>
      <c r="J539" s="87">
        <f>L531</f>
        <v>7306.6500000000005</v>
      </c>
      <c r="K539" s="87">
        <f>SUM(F539:J539)</f>
        <v>700617.88521000009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225792.84</v>
      </c>
      <c r="G540" s="87">
        <f>L517</f>
        <v>21255.43</v>
      </c>
      <c r="H540" s="87">
        <f>L522</f>
        <v>19254.141899999999</v>
      </c>
      <c r="I540" s="87">
        <f>L527</f>
        <v>0</v>
      </c>
      <c r="J540" s="87">
        <f>L532</f>
        <v>63.25</v>
      </c>
      <c r="K540" s="87">
        <f>SUM(F540:J540)</f>
        <v>266365.66190000001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335381.40000000002</v>
      </c>
      <c r="G541" s="87">
        <f>L518</f>
        <v>53434.05</v>
      </c>
      <c r="H541" s="87">
        <f>L523</f>
        <v>32181.922889999998</v>
      </c>
      <c r="I541" s="87">
        <f>L528</f>
        <v>0</v>
      </c>
      <c r="J541" s="87">
        <f>L533</f>
        <v>5663.130000000001</v>
      </c>
      <c r="K541" s="87">
        <f>SUM(F541:J541)</f>
        <v>426660.50289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934076.53</v>
      </c>
      <c r="G542" s="89">
        <f t="shared" si="41"/>
        <v>353834.60000000003</v>
      </c>
      <c r="H542" s="89">
        <f t="shared" si="41"/>
        <v>92699.89</v>
      </c>
      <c r="I542" s="89">
        <f t="shared" si="41"/>
        <v>0</v>
      </c>
      <c r="J542" s="89">
        <f t="shared" si="41"/>
        <v>13033.030000000002</v>
      </c>
      <c r="K542" s="89">
        <f t="shared" si="41"/>
        <v>1393644.0500000003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27360.639999999999</v>
      </c>
      <c r="I565" s="87">
        <f>SUM(F565:H565)</f>
        <v>27360.639999999999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f>602</f>
        <v>602</v>
      </c>
      <c r="G568" s="18"/>
      <c r="H568" s="18">
        <f>2414.5+2805</f>
        <v>5219.5</v>
      </c>
      <c r="I568" s="87">
        <f t="shared" si="46"/>
        <v>5821.5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6479.82</v>
      </c>
      <c r="I569" s="87">
        <f t="shared" si="46"/>
        <v>6479.82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15405+1732</f>
        <v>17137</v>
      </c>
      <c r="G572" s="18"/>
      <c r="H572" s="18">
        <v>24318.87</v>
      </c>
      <c r="I572" s="87">
        <f t="shared" si="46"/>
        <v>41455.869999999995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14353.24</v>
      </c>
      <c r="I574" s="87">
        <f t="shared" si="46"/>
        <v>14353.24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25225.95+9469.53+6310.47+1818.94+8844+51854.55+233.85</f>
        <v>103757.29000000001</v>
      </c>
      <c r="I581" s="18">
        <f>13638.87+6596.68+3607.81+1039.45+4807.63+40855.1+133.18</f>
        <v>70678.720000000001</v>
      </c>
      <c r="J581" s="18">
        <f>19902.05+8636.99+5768.03+1672.16+7524.21+64425.35+210.97</f>
        <v>108139.76000000001</v>
      </c>
      <c r="K581" s="104">
        <f t="shared" ref="K581:K587" si="47">SUM(H581:J581)</f>
        <v>282575.77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170+4787.18+559.69+71+1283.78+435</f>
        <v>7306.6500000000005</v>
      </c>
      <c r="I582" s="18">
        <f>41.82+13.83+7.6</f>
        <v>63.25</v>
      </c>
      <c r="J582" s="18">
        <f>1722.97+330.35+3143.71+466.1</f>
        <v>5663.130000000001</v>
      </c>
      <c r="K582" s="104">
        <f t="shared" si="47"/>
        <v>13033.030000000002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11766.33+1517.41+2987.74</f>
        <v>16271.48</v>
      </c>
      <c r="K583" s="104">
        <f t="shared" si="47"/>
        <v>16271.48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2648.2+417.3+755.5</f>
        <v>3821</v>
      </c>
      <c r="J584" s="18">
        <f>14708+2321.57+4143.41</f>
        <v>21172.98</v>
      </c>
      <c r="K584" s="104">
        <f t="shared" si="47"/>
        <v>24993.98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2237.62+310.51+563.01</f>
        <v>3111.1400000000003</v>
      </c>
      <c r="I585" s="18">
        <f>2742.32+414.24+809.22</f>
        <v>3965.7800000000007</v>
      </c>
      <c r="J585" s="18">
        <f>5121.88+863.88+1504.53</f>
        <v>7490.29</v>
      </c>
      <c r="K585" s="104">
        <f t="shared" si="47"/>
        <v>14567.210000000001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f>468+35.8</f>
        <v>503.8</v>
      </c>
      <c r="I586" s="18"/>
      <c r="J586" s="18"/>
      <c r="K586" s="104">
        <f t="shared" si="47"/>
        <v>503.8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114678.88</v>
      </c>
      <c r="I588" s="108">
        <f>SUM(I581:I587)</f>
        <v>78528.75</v>
      </c>
      <c r="J588" s="108">
        <f>SUM(J581:J587)</f>
        <v>158737.64000000001</v>
      </c>
      <c r="K588" s="108">
        <f>SUM(K581:K587)</f>
        <v>351945.27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2796.99+398+663.7+1283.9+(107531*0.406)+126643.48</f>
        <v>175443.65600000002</v>
      </c>
      <c r="I594" s="18">
        <f>(107531*0.234)+84136.12</f>
        <v>109298.374</v>
      </c>
      <c r="J594" s="18">
        <f>(107531*0.36)+126128.41</f>
        <v>164839.57</v>
      </c>
      <c r="K594" s="104">
        <f>SUM(H594:J594)</f>
        <v>449581.60000000003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175443.65600000002</v>
      </c>
      <c r="I595" s="108">
        <f>SUM(I592:I594)</f>
        <v>109298.374</v>
      </c>
      <c r="J595" s="108">
        <f>SUM(J592:J594)</f>
        <v>164839.57</v>
      </c>
      <c r="K595" s="108">
        <f>SUM(K592:K594)</f>
        <v>449581.60000000003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8963.5</v>
      </c>
      <c r="G601" s="18">
        <v>1094.52</v>
      </c>
      <c r="H601" s="18">
        <f>3967</f>
        <v>3967</v>
      </c>
      <c r="I601" s="18"/>
      <c r="J601" s="18"/>
      <c r="K601" s="18"/>
      <c r="L601" s="88">
        <f>SUM(F601:K601)</f>
        <v>14025.02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3831</v>
      </c>
      <c r="G602" s="18">
        <v>518.47</v>
      </c>
      <c r="H602" s="18"/>
      <c r="I602" s="18"/>
      <c r="J602" s="18"/>
      <c r="K602" s="18"/>
      <c r="L602" s="88">
        <f>SUM(F602:K602)</f>
        <v>4349.47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365.98+887.43</f>
        <v>1253.4099999999999</v>
      </c>
      <c r="G603" s="18">
        <f>12.46+67.88</f>
        <v>80.34</v>
      </c>
      <c r="H603" s="18"/>
      <c r="I603" s="18">
        <v>43.42</v>
      </c>
      <c r="J603" s="18"/>
      <c r="K603" s="18">
        <v>262</v>
      </c>
      <c r="L603" s="88">
        <f>SUM(F603:K603)</f>
        <v>1639.1699999999998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14047.91</v>
      </c>
      <c r="G604" s="108">
        <f t="shared" si="48"/>
        <v>1693.33</v>
      </c>
      <c r="H604" s="108">
        <f t="shared" si="48"/>
        <v>3967</v>
      </c>
      <c r="I604" s="108">
        <f t="shared" si="48"/>
        <v>43.42</v>
      </c>
      <c r="J604" s="108">
        <f t="shared" si="48"/>
        <v>0</v>
      </c>
      <c r="K604" s="108">
        <f t="shared" si="48"/>
        <v>262</v>
      </c>
      <c r="L604" s="89">
        <f t="shared" si="48"/>
        <v>20013.66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323417.65000000002</v>
      </c>
      <c r="H607" s="109">
        <f>SUM(F44)</f>
        <v>323417.65000000002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19194.669999999998</v>
      </c>
      <c r="H608" s="109">
        <f>SUM(G44)</f>
        <v>19194.670000000002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184373.05</v>
      </c>
      <c r="H609" s="109">
        <f>SUM(H44)</f>
        <v>184373.05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194093.49</v>
      </c>
      <c r="H610" s="109">
        <f>SUM(I44)</f>
        <v>194093.49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1385659.9100000001</v>
      </c>
      <c r="H611" s="109">
        <f>SUM(J44)</f>
        <v>1385659.9100000001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288142.04000000004</v>
      </c>
      <c r="H612" s="109">
        <f>F466</f>
        <v>288142.04000000004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2224.9699999999998</v>
      </c>
      <c r="H613" s="109">
        <f>G466</f>
        <v>2224.9700000000012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194093.49</v>
      </c>
      <c r="H615" s="109">
        <f>I466</f>
        <v>194093.49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1368591.4700000002</v>
      </c>
      <c r="H616" s="109">
        <f>J466</f>
        <v>1368591.4700000002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7856320.8700000001</v>
      </c>
      <c r="H617" s="104">
        <f>SUM(F458)</f>
        <v>7856320.8700000001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211513.5</v>
      </c>
      <c r="H618" s="104">
        <f>SUM(G458)</f>
        <v>211513.5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514748.25</v>
      </c>
      <c r="H619" s="104">
        <f>SUM(H458)</f>
        <v>514748.25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4134</v>
      </c>
      <c r="H620" s="104">
        <f>SUM(I458)</f>
        <v>4134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114138.06</v>
      </c>
      <c r="H621" s="104">
        <f>SUM(J458)</f>
        <v>114138.06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7935573.7199999988</v>
      </c>
      <c r="H622" s="104">
        <f>SUM(F462)</f>
        <v>7935573.7199999997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514748.25</v>
      </c>
      <c r="H623" s="104">
        <f>SUM(H462)</f>
        <v>514748.25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14454.93</v>
      </c>
      <c r="H624" s="104">
        <f>I361</f>
        <v>14454.93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209452.93</v>
      </c>
      <c r="H625" s="104">
        <f>SUM(G462)</f>
        <v>209452.93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735538.22</v>
      </c>
      <c r="H626" s="104">
        <f>SUM(I462)</f>
        <v>735538.22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114138.06</v>
      </c>
      <c r="H627" s="164">
        <f>SUM(J458)</f>
        <v>114138.06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396739.64</v>
      </c>
      <c r="H628" s="164">
        <f>SUM(J462)</f>
        <v>396739.64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1209358.83</v>
      </c>
      <c r="H629" s="104">
        <f>SUM(F451)</f>
        <v>1209358.83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176301.08000000002</v>
      </c>
      <c r="H630" s="104">
        <f>SUM(G451)</f>
        <v>176301.08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1385659.9100000001</v>
      </c>
      <c r="H632" s="104">
        <f>SUM(I451)</f>
        <v>1385659.9100000001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4249.0600000000004</v>
      </c>
      <c r="H634" s="104">
        <f>H400</f>
        <v>4249.0600000000004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109389</v>
      </c>
      <c r="H635" s="104">
        <f>G400</f>
        <v>109389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114138.06</v>
      </c>
      <c r="H636" s="104">
        <f>L400</f>
        <v>114138.06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351945.27</v>
      </c>
      <c r="H637" s="104">
        <f>L200+L218+L236</f>
        <v>351945.27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449581.60000000003</v>
      </c>
      <c r="H638" s="104">
        <f>(J249+J330)-(J247+J328)</f>
        <v>449581.6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114678.88</v>
      </c>
      <c r="H639" s="104">
        <f>H588</f>
        <v>114678.88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78528.75</v>
      </c>
      <c r="H640" s="104">
        <f>I588</f>
        <v>78528.75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158737.63999999998</v>
      </c>
      <c r="H641" s="104">
        <f>J588</f>
        <v>158737.64000000001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109389</v>
      </c>
      <c r="H645" s="104">
        <f>K258+K339</f>
        <v>109389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2951915.1890599998</v>
      </c>
      <c r="G650" s="19">
        <f>(L221+L301+L351)</f>
        <v>1553495.19734</v>
      </c>
      <c r="H650" s="19">
        <f>(L239+L320+L352)</f>
        <v>2719520.8535999996</v>
      </c>
      <c r="I650" s="19">
        <f>SUM(F650:H650)</f>
        <v>7224931.2399999984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51945.105660000008</v>
      </c>
      <c r="G651" s="19">
        <f>(L351/IF(SUM(L350:L352)=0,1,SUM(L350:L352))*(SUM(G89:G102)))</f>
        <v>29938.804740000003</v>
      </c>
      <c r="H651" s="19">
        <f>(L352/IF(SUM(L350:L352)=0,1,SUM(L350:L352))*(SUM(G89:G102)))</f>
        <v>46059.6996</v>
      </c>
      <c r="I651" s="19">
        <f>SUM(F651:H651)</f>
        <v>127943.61000000002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62219.330000000016</v>
      </c>
      <c r="G652" s="19">
        <f>(L218+L298)-(J218+J298)</f>
        <v>37673.650000000009</v>
      </c>
      <c r="H652" s="19">
        <f>(L236+L317)-(J236+J317)</f>
        <v>94312.29</v>
      </c>
      <c r="I652" s="19">
        <f>SUM(F652:H652)</f>
        <v>194205.27000000002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207207.67600000001</v>
      </c>
      <c r="G653" s="200">
        <f>SUM(G565:G577)+SUM(I592:I594)+L602</f>
        <v>113647.844</v>
      </c>
      <c r="H653" s="200">
        <f>SUM(H565:H577)+SUM(J592:J594)+L603</f>
        <v>244210.81000000003</v>
      </c>
      <c r="I653" s="19">
        <f>SUM(F653:H653)</f>
        <v>565066.33000000007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2630543.0773999998</v>
      </c>
      <c r="G654" s="19">
        <f>G650-SUM(G651:G653)</f>
        <v>1372234.8986</v>
      </c>
      <c r="H654" s="19">
        <f>H650-SUM(H651:H653)</f>
        <v>2334938.0539999995</v>
      </c>
      <c r="I654" s="19">
        <f>I650-SUM(I651:I653)</f>
        <v>6337716.0299999984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189.18</v>
      </c>
      <c r="G655" s="249">
        <v>109.06</v>
      </c>
      <c r="H655" s="249">
        <v>163.80000000000001</v>
      </c>
      <c r="I655" s="19">
        <f>SUM(F655:H655)</f>
        <v>462.04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13904.97</v>
      </c>
      <c r="G657" s="19">
        <f>ROUND(G654/G655,2)</f>
        <v>12582.38</v>
      </c>
      <c r="H657" s="19">
        <f>ROUND(H654/H655,2)</f>
        <v>14254.81</v>
      </c>
      <c r="I657" s="19">
        <f>ROUND(I654/I655,2)</f>
        <v>13716.81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-4.83</v>
      </c>
      <c r="I660" s="19">
        <f>SUM(F660:H660)</f>
        <v>-4.83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13904.97</v>
      </c>
      <c r="G662" s="19">
        <f>ROUND((G654+G659)/(G655+G660),2)</f>
        <v>12582.38</v>
      </c>
      <c r="H662" s="19">
        <f>ROUND((H654+H659)/(H655+H660),2)</f>
        <v>14687.92</v>
      </c>
      <c r="I662" s="19">
        <f>ROUND((I654+I659)/(I655+I660),2)</f>
        <v>13861.72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8E92-CA31-4F52-853C-ACB867C757CC}">
  <sheetPr>
    <tabColor indexed="20"/>
  </sheetPr>
  <dimension ref="A1:C52"/>
  <sheetViews>
    <sheetView workbookViewId="0">
      <selection activeCell="C43" sqref="C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 xml:space="preserve">GRS Cooperative 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1873829.9099999997</v>
      </c>
      <c r="C9" s="230">
        <f>'DOE25'!G189+'DOE25'!G207+'DOE25'!G225+'DOE25'!G268+'DOE25'!G287+'DOE25'!G306</f>
        <v>701913.14</v>
      </c>
    </row>
    <row r="10" spans="1:3" x14ac:dyDescent="0.2">
      <c r="A10" t="s">
        <v>813</v>
      </c>
      <c r="B10" s="241">
        <v>1784447.53</v>
      </c>
      <c r="C10" s="241">
        <v>678686.75</v>
      </c>
    </row>
    <row r="11" spans="1:3" x14ac:dyDescent="0.2">
      <c r="A11" t="s">
        <v>814</v>
      </c>
      <c r="B11" s="241">
        <v>35381.050000000003</v>
      </c>
      <c r="C11" s="241">
        <v>18620.939999999999</v>
      </c>
    </row>
    <row r="12" spans="1:3" x14ac:dyDescent="0.2">
      <c r="A12" t="s">
        <v>815</v>
      </c>
      <c r="B12" s="241">
        <v>54001.33</v>
      </c>
      <c r="C12" s="241">
        <v>4605.45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1873829.9100000001</v>
      </c>
      <c r="C13" s="232">
        <f>SUM(C10:C12)</f>
        <v>701913.1399999999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523250.54</v>
      </c>
      <c r="C18" s="230">
        <f>'DOE25'!G190+'DOE25'!G208+'DOE25'!G226+'DOE25'!G269+'DOE25'!G288+'DOE25'!G307</f>
        <v>208481.43</v>
      </c>
    </row>
    <row r="19" spans="1:3" x14ac:dyDescent="0.2">
      <c r="A19" t="s">
        <v>813</v>
      </c>
      <c r="B19" s="241">
        <v>182443.25</v>
      </c>
      <c r="C19" s="241">
        <v>82374.17</v>
      </c>
    </row>
    <row r="20" spans="1:3" x14ac:dyDescent="0.2">
      <c r="A20" t="s">
        <v>814</v>
      </c>
      <c r="B20" s="241">
        <v>317157.28999999998</v>
      </c>
      <c r="C20" s="241">
        <v>124017.41</v>
      </c>
    </row>
    <row r="21" spans="1:3" x14ac:dyDescent="0.2">
      <c r="A21" t="s">
        <v>815</v>
      </c>
      <c r="B21" s="241">
        <v>23650</v>
      </c>
      <c r="C21" s="241">
        <v>2089.85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523250.54</v>
      </c>
      <c r="C22" s="232">
        <f>SUM(C19:C21)</f>
        <v>208481.43000000002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94779.37</v>
      </c>
      <c r="C36" s="236">
        <f>'DOE25'!G192+'DOE25'!G210+'DOE25'!G228+'DOE25'!G271+'DOE25'!G290+'DOE25'!G309</f>
        <v>11386.589999999998</v>
      </c>
    </row>
    <row r="37" spans="1:3" x14ac:dyDescent="0.2">
      <c r="A37" t="s">
        <v>813</v>
      </c>
      <c r="B37" s="241">
        <v>88070.46</v>
      </c>
      <c r="C37" s="241">
        <v>10831.44</v>
      </c>
    </row>
    <row r="38" spans="1:3" x14ac:dyDescent="0.2">
      <c r="A38" t="s">
        <v>814</v>
      </c>
      <c r="B38" s="241">
        <v>5997.91</v>
      </c>
      <c r="C38" s="241">
        <v>496.32</v>
      </c>
    </row>
    <row r="39" spans="1:3" x14ac:dyDescent="0.2">
      <c r="A39" t="s">
        <v>815</v>
      </c>
      <c r="B39" s="241">
        <v>711</v>
      </c>
      <c r="C39" s="241">
        <v>58.83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94779.37000000001</v>
      </c>
      <c r="C40" s="232">
        <f>SUM(C37:C39)</f>
        <v>11386.59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2ABE-0B03-4DC3-8AC9-88ACA91549C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 xml:space="preserve">GRS Cooperative 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3631366.3999999994</v>
      </c>
      <c r="D5" s="20">
        <f>SUM('DOE25'!L189:L192)+SUM('DOE25'!L207:L210)+SUM('DOE25'!L225:L228)-F5-G5</f>
        <v>3531697.4599999995</v>
      </c>
      <c r="E5" s="244"/>
      <c r="F5" s="256">
        <f>SUM('DOE25'!J189:J192)+SUM('DOE25'!J207:J210)+SUM('DOE25'!J225:J228)</f>
        <v>72288.53</v>
      </c>
      <c r="G5" s="53">
        <f>SUM('DOE25'!K189:K192)+SUM('DOE25'!K207:K210)+SUM('DOE25'!K225:K228)</f>
        <v>27380.41</v>
      </c>
      <c r="H5" s="260"/>
    </row>
    <row r="6" spans="1:9" x14ac:dyDescent="0.2">
      <c r="A6" s="32">
        <v>2100</v>
      </c>
      <c r="B6" t="s">
        <v>835</v>
      </c>
      <c r="C6" s="246">
        <f t="shared" si="0"/>
        <v>703737.97</v>
      </c>
      <c r="D6" s="20">
        <f>'DOE25'!L194+'DOE25'!L212+'DOE25'!L230-F6-G6</f>
        <v>697089.78</v>
      </c>
      <c r="E6" s="244"/>
      <c r="F6" s="256">
        <f>'DOE25'!J194+'DOE25'!J212+'DOE25'!J230</f>
        <v>5172.1900000000005</v>
      </c>
      <c r="G6" s="53">
        <f>'DOE25'!K194+'DOE25'!K212+'DOE25'!K230</f>
        <v>1476</v>
      </c>
      <c r="H6" s="260"/>
    </row>
    <row r="7" spans="1:9" x14ac:dyDescent="0.2">
      <c r="A7" s="32">
        <v>2200</v>
      </c>
      <c r="B7" t="s">
        <v>868</v>
      </c>
      <c r="C7" s="246">
        <f t="shared" si="0"/>
        <v>343236.32000000007</v>
      </c>
      <c r="D7" s="20">
        <f>'DOE25'!L195+'DOE25'!L213+'DOE25'!L231-F7-G7</f>
        <v>305188.9800000001</v>
      </c>
      <c r="E7" s="244"/>
      <c r="F7" s="256">
        <f>'DOE25'!J195+'DOE25'!J213+'DOE25'!J231</f>
        <v>36055.339999999997</v>
      </c>
      <c r="G7" s="53">
        <f>'DOE25'!K195+'DOE25'!K213+'DOE25'!K231</f>
        <v>1992</v>
      </c>
      <c r="H7" s="260"/>
    </row>
    <row r="8" spans="1:9" x14ac:dyDescent="0.2">
      <c r="A8" s="32">
        <v>2300</v>
      </c>
      <c r="B8" t="s">
        <v>836</v>
      </c>
      <c r="C8" s="246">
        <f t="shared" si="0"/>
        <v>322674.24000000005</v>
      </c>
      <c r="D8" s="244"/>
      <c r="E8" s="20">
        <f>'DOE25'!L196+'DOE25'!L214+'DOE25'!L232-F8-G8-D9-D11</f>
        <v>319093.66000000003</v>
      </c>
      <c r="F8" s="256">
        <f>'DOE25'!J196+'DOE25'!J214+'DOE25'!J232</f>
        <v>0</v>
      </c>
      <c r="G8" s="53">
        <f>'DOE25'!K196+'DOE25'!K214+'DOE25'!K232</f>
        <v>3580.58</v>
      </c>
      <c r="H8" s="260"/>
    </row>
    <row r="9" spans="1:9" x14ac:dyDescent="0.2">
      <c r="A9" s="32">
        <v>2310</v>
      </c>
      <c r="B9" t="s">
        <v>852</v>
      </c>
      <c r="C9" s="246">
        <f t="shared" si="0"/>
        <v>36555.58</v>
      </c>
      <c r="D9" s="245">
        <v>36555.58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4350</v>
      </c>
      <c r="D10" s="244"/>
      <c r="E10" s="245">
        <v>4350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91973.759999999995</v>
      </c>
      <c r="D11" s="245">
        <v>91973.759999999995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437644.4</v>
      </c>
      <c r="D12" s="20">
        <f>'DOE25'!L197+'DOE25'!L215+'DOE25'!L233-F12-G12</f>
        <v>425069.45</v>
      </c>
      <c r="E12" s="244"/>
      <c r="F12" s="256">
        <f>'DOE25'!J197+'DOE25'!J215+'DOE25'!J233</f>
        <v>2655.95</v>
      </c>
      <c r="G12" s="53">
        <f>'DOE25'!K197+'DOE25'!K215+'DOE25'!K233</f>
        <v>9919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581596.12</v>
      </c>
      <c r="D14" s="20">
        <f>'DOE25'!L199+'DOE25'!L217+'DOE25'!L235-F14-G14</f>
        <v>559790.72</v>
      </c>
      <c r="E14" s="244"/>
      <c r="F14" s="256">
        <f>'DOE25'!J199+'DOE25'!J217+'DOE25'!J235</f>
        <v>21515.4</v>
      </c>
      <c r="G14" s="53">
        <f>'DOE25'!K199+'DOE25'!K217+'DOE25'!K235</f>
        <v>290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351945.27</v>
      </c>
      <c r="D15" s="20">
        <f>'DOE25'!L200+'DOE25'!L218+'DOE25'!L236-F15-G15</f>
        <v>193627.27000000002</v>
      </c>
      <c r="E15" s="244"/>
      <c r="F15" s="256">
        <f>'DOE25'!J200+'DOE25'!J218+'DOE25'!J236</f>
        <v>157740</v>
      </c>
      <c r="G15" s="53">
        <f>'DOE25'!K200+'DOE25'!K218+'DOE25'!K236</f>
        <v>578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132.46</v>
      </c>
      <c r="D19" s="20">
        <f>'DOE25'!L245-F19-G19</f>
        <v>132.46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85842.2</v>
      </c>
      <c r="D22" s="244"/>
      <c r="E22" s="244"/>
      <c r="F22" s="256">
        <f>'DOE25'!L247+'DOE25'!L328</f>
        <v>85842.2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1229180</v>
      </c>
      <c r="D25" s="244"/>
      <c r="E25" s="244"/>
      <c r="F25" s="259"/>
      <c r="G25" s="257"/>
      <c r="H25" s="258">
        <f>'DOE25'!L252+'DOE25'!L253+'DOE25'!L333+'DOE25'!L334</f>
        <v>1229180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194998</v>
      </c>
      <c r="D29" s="20">
        <f>'DOE25'!L350+'DOE25'!L351+'DOE25'!L352-'DOE25'!I359-F29-G29</f>
        <v>194998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514748.25</v>
      </c>
      <c r="D31" s="20">
        <f>'DOE25'!L282+'DOE25'!L301+'DOE25'!L320+'DOE25'!L325+'DOE25'!L326+'DOE25'!L327-F31-G31</f>
        <v>335702.25</v>
      </c>
      <c r="E31" s="244"/>
      <c r="F31" s="256">
        <f>'DOE25'!J282+'DOE25'!J301+'DOE25'!J320+'DOE25'!J325+'DOE25'!J326+'DOE25'!J327</f>
        <v>154154.19</v>
      </c>
      <c r="G31" s="53">
        <f>'DOE25'!K282+'DOE25'!K301+'DOE25'!K320+'DOE25'!K325+'DOE25'!K326+'DOE25'!K327</f>
        <v>24891.81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6371825.71</v>
      </c>
      <c r="E33" s="247">
        <f>SUM(E5:E31)</f>
        <v>323443.66000000003</v>
      </c>
      <c r="F33" s="247">
        <f>SUM(F5:F31)</f>
        <v>535423.80000000005</v>
      </c>
      <c r="G33" s="247">
        <f>SUM(G5:G31)</f>
        <v>70107.8</v>
      </c>
      <c r="H33" s="247">
        <f>SUM(H5:H31)</f>
        <v>1229180</v>
      </c>
    </row>
    <row r="35" spans="2:8" ht="12" thickBot="1" x14ac:dyDescent="0.25">
      <c r="B35" s="254" t="s">
        <v>881</v>
      </c>
      <c r="D35" s="255">
        <f>E33</f>
        <v>323443.66000000003</v>
      </c>
      <c r="E35" s="250"/>
    </row>
    <row r="36" spans="2:8" ht="12" thickTop="1" x14ac:dyDescent="0.2">
      <c r="B36" t="s">
        <v>849</v>
      </c>
      <c r="D36" s="20">
        <f>D33</f>
        <v>6371825.71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3CBC-D5B0-4B6F-ADEA-23A9B766508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GRS Cooperative 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190279.75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47984.32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194093.49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85153.58</v>
      </c>
      <c r="D13" s="95">
        <f>'DOE25'!G13</f>
        <v>4310.12</v>
      </c>
      <c r="E13" s="95">
        <f>'DOE25'!H13</f>
        <v>184373.05</v>
      </c>
      <c r="F13" s="95">
        <f>'DOE25'!I13</f>
        <v>0</v>
      </c>
      <c r="G13" s="95">
        <f>'DOE25'!J13</f>
        <v>1385659.9100000001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14884.55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323417.65000000002</v>
      </c>
      <c r="D19" s="41">
        <f>SUM(D9:D18)</f>
        <v>19194.669999999998</v>
      </c>
      <c r="E19" s="41">
        <f>SUM(E9:E18)</f>
        <v>184373.05</v>
      </c>
      <c r="F19" s="41">
        <f>SUM(F9:F18)</f>
        <v>194093.49</v>
      </c>
      <c r="G19" s="41">
        <f>SUM(G9:G18)</f>
        <v>1385659.9100000001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1080.51</v>
      </c>
      <c r="D22" s="95">
        <f>'DOE25'!G23</f>
        <v>16969.7</v>
      </c>
      <c r="E22" s="95">
        <f>'DOE25'!H23</f>
        <v>176043.28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17068.440000000002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34180.129999999997</v>
      </c>
      <c r="D24" s="95">
        <f>'DOE25'!G25</f>
        <v>0</v>
      </c>
      <c r="E24" s="95">
        <f>'DOE25'!H25</f>
        <v>325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14.97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8004.77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35275.61</v>
      </c>
      <c r="D32" s="41">
        <f>SUM(D22:D31)</f>
        <v>16969.7</v>
      </c>
      <c r="E32" s="41">
        <f>SUM(E22:E31)</f>
        <v>184373.05</v>
      </c>
      <c r="F32" s="41">
        <f>SUM(F22:F31)</f>
        <v>0</v>
      </c>
      <c r="G32" s="41">
        <f>SUM(G22:G31)</f>
        <v>17068.440000000002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30000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31895.359999999997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2224.9699999999998</v>
      </c>
      <c r="E40" s="95">
        <f>'DOE25'!H41</f>
        <v>0</v>
      </c>
      <c r="F40" s="95">
        <f>'DOE25'!I41</f>
        <v>194093.49</v>
      </c>
      <c r="G40" s="95">
        <f>'DOE25'!J41</f>
        <v>1336696.1100000001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258142.04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288142.04000000004</v>
      </c>
      <c r="D42" s="41">
        <f>SUM(D34:D41)</f>
        <v>2224.9699999999998</v>
      </c>
      <c r="E42" s="41">
        <f>SUM(E34:E41)</f>
        <v>0</v>
      </c>
      <c r="F42" s="41">
        <f>SUM(F34:F41)</f>
        <v>194093.49</v>
      </c>
      <c r="G42" s="41">
        <f>SUM(G34:G41)</f>
        <v>1368591.4700000002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323417.65000000002</v>
      </c>
      <c r="D43" s="41">
        <f>D42+D32</f>
        <v>19194.670000000002</v>
      </c>
      <c r="E43" s="41">
        <f>E42+E32</f>
        <v>184373.05</v>
      </c>
      <c r="F43" s="41">
        <f>F42+F32</f>
        <v>194093.49</v>
      </c>
      <c r="G43" s="41">
        <f>G42+G32</f>
        <v>1385659.9100000001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3660023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30286.25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1385.79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2593.85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4249.0600000000004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127943.61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27748.9</v>
      </c>
      <c r="D53" s="95">
        <f>SUM('DOE25'!G90:G102)</f>
        <v>0</v>
      </c>
      <c r="E53" s="95">
        <f>SUM('DOE25'!H90:H102)</f>
        <v>11285.39</v>
      </c>
      <c r="F53" s="95">
        <f>SUM('DOE25'!I90:I102)</f>
        <v>4134</v>
      </c>
      <c r="G53" s="95">
        <f>SUM('DOE25'!J90:J102)</f>
        <v>500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62014.79</v>
      </c>
      <c r="D54" s="130">
        <f>SUM(D49:D53)</f>
        <v>127943.61</v>
      </c>
      <c r="E54" s="130">
        <f>SUM(E49:E53)</f>
        <v>11285.39</v>
      </c>
      <c r="F54" s="130">
        <f>SUM(F49:F53)</f>
        <v>4134</v>
      </c>
      <c r="G54" s="130">
        <f>SUM(G49:G53)</f>
        <v>4749.0600000000004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3722037.79</v>
      </c>
      <c r="D55" s="22">
        <f>D48+D54</f>
        <v>127943.61</v>
      </c>
      <c r="E55" s="22">
        <f>E48+E54</f>
        <v>11285.39</v>
      </c>
      <c r="F55" s="22">
        <f>F48+F54</f>
        <v>4134</v>
      </c>
      <c r="G55" s="22">
        <f>G48+G54</f>
        <v>4749.0600000000004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1523599.26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843302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584555.74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2951457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622890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3196.48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1800</v>
      </c>
      <c r="D69" s="95">
        <f>SUM('DOE25'!G123:G127)</f>
        <v>2722.65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627886.48</v>
      </c>
      <c r="D70" s="130">
        <f>SUM(D64:D69)</f>
        <v>2722.65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3579343.48</v>
      </c>
      <c r="D73" s="130">
        <f>SUM(D71:D72)+D70+D62</f>
        <v>2722.65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24488.06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111351.77</v>
      </c>
      <c r="D80" s="95">
        <f>SUM('DOE25'!G145:G153)</f>
        <v>80847.239999999991</v>
      </c>
      <c r="E80" s="95">
        <f>SUM('DOE25'!H145:H153)</f>
        <v>478974.8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8956.56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39576.239999999998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159884.57</v>
      </c>
      <c r="D83" s="131">
        <f>SUM(D77:D82)</f>
        <v>80847.239999999991</v>
      </c>
      <c r="E83" s="131">
        <f>SUM(E77:E82)</f>
        <v>503462.86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109389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383223.2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10726.44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1105.3900000000001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395055.03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109389</v>
      </c>
    </row>
    <row r="96" spans="1:7" ht="12.75" thickTop="1" thickBot="1" x14ac:dyDescent="0.25">
      <c r="A96" s="33" t="s">
        <v>797</v>
      </c>
      <c r="C96" s="86">
        <f>C55+C73+C83+C95</f>
        <v>7856320.8700000001</v>
      </c>
      <c r="D96" s="86">
        <f>D55+D73+D83+D95</f>
        <v>211513.5</v>
      </c>
      <c r="E96" s="86">
        <f>E55+E73+E83+E95</f>
        <v>514748.25</v>
      </c>
      <c r="F96" s="86">
        <f>F55+F73+F83+F95</f>
        <v>4134</v>
      </c>
      <c r="G96" s="86">
        <f>G55+G73+G95</f>
        <v>114138.06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2704687.61</v>
      </c>
      <c r="D101" s="24" t="s">
        <v>312</v>
      </c>
      <c r="E101" s="95">
        <f>('DOE25'!L268)+('DOE25'!L287)+('DOE25'!L306)</f>
        <v>183783.36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739602.66999999993</v>
      </c>
      <c r="D102" s="24" t="s">
        <v>312</v>
      </c>
      <c r="E102" s="95">
        <f>('DOE25'!L269)+('DOE25'!L288)+('DOE25'!L307)</f>
        <v>157230.08000000002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14353.24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172722.88</v>
      </c>
      <c r="D104" s="24" t="s">
        <v>312</v>
      </c>
      <c r="E104" s="95">
        <f>+('DOE25'!L271)+('DOE25'!L290)+('DOE25'!L309)</f>
        <v>1205.31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132.46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3631498.86</v>
      </c>
      <c r="D107" s="86">
        <f>SUM(D101:D106)</f>
        <v>0</v>
      </c>
      <c r="E107" s="86">
        <f>SUM(E101:E106)</f>
        <v>342218.75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703737.97</v>
      </c>
      <c r="D110" s="24" t="s">
        <v>312</v>
      </c>
      <c r="E110" s="95">
        <f>+('DOE25'!L273)+('DOE25'!L292)+('DOE25'!L311)</f>
        <v>7359.65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343236.32000000007</v>
      </c>
      <c r="D111" s="24" t="s">
        <v>312</v>
      </c>
      <c r="E111" s="95">
        <f>+('DOE25'!L274)+('DOE25'!L293)+('DOE25'!L312)</f>
        <v>37938.550000000003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451203.58000000007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437644.4</v>
      </c>
      <c r="D113" s="24" t="s">
        <v>312</v>
      </c>
      <c r="E113" s="95">
        <f>+('DOE25'!L276)+('DOE25'!L295)+('DOE25'!L314)</f>
        <v>209.33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19490.97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581596.12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351945.27</v>
      </c>
      <c r="D116" s="24" t="s">
        <v>312</v>
      </c>
      <c r="E116" s="95">
        <f>+('DOE25'!L279)+('DOE25'!L298)+('DOE25'!L317)</f>
        <v>107531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209452.93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2869363.66</v>
      </c>
      <c r="D120" s="86">
        <f>SUM(D110:D119)</f>
        <v>209452.93</v>
      </c>
      <c r="E120" s="86">
        <f>SUM(E110:E119)</f>
        <v>172529.5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85842.2</v>
      </c>
      <c r="D122" s="24" t="s">
        <v>312</v>
      </c>
      <c r="E122" s="129">
        <f>'DOE25'!L328</f>
        <v>0</v>
      </c>
      <c r="F122" s="129">
        <f>SUM('DOE25'!L366:'DOE25'!L372)</f>
        <v>735538.22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1083376.6299999999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145803.37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396739.64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34505.96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79632.100000000006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-4749.0599999999977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10300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1434711.1999999997</v>
      </c>
      <c r="D136" s="141">
        <f>SUM(D122:D135)</f>
        <v>0</v>
      </c>
      <c r="E136" s="141">
        <f>SUM(E122:E135)</f>
        <v>0</v>
      </c>
      <c r="F136" s="141">
        <f>SUM(F122:F135)</f>
        <v>735538.22</v>
      </c>
      <c r="G136" s="141">
        <f>SUM(G122:G135)</f>
        <v>396739.64</v>
      </c>
    </row>
    <row r="137" spans="1:9" ht="12.75" thickTop="1" thickBot="1" x14ac:dyDescent="0.25">
      <c r="A137" s="33" t="s">
        <v>267</v>
      </c>
      <c r="C137" s="86">
        <f>(C107+C120+C136)</f>
        <v>7935573.7199999988</v>
      </c>
      <c r="D137" s="86">
        <f>(D107+D120+D136)</f>
        <v>209452.93</v>
      </c>
      <c r="E137" s="86">
        <f>(E107+E120+E136)</f>
        <v>514748.25</v>
      </c>
      <c r="F137" s="86">
        <f>(F107+F120+F136)</f>
        <v>735538.22</v>
      </c>
      <c r="G137" s="86">
        <f>(G107+G120+G136)</f>
        <v>396739.64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5/29/08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7/15/2013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5385000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3.14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5308618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5308618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1083376.6299999999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1083376.6299999999</v>
      </c>
    </row>
    <row r="151" spans="1:7" x14ac:dyDescent="0.2">
      <c r="A151" s="22" t="s">
        <v>35</v>
      </c>
      <c r="B151" s="137">
        <f>'DOE25'!F488</f>
        <v>4225241.37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4225241.37</v>
      </c>
    </row>
    <row r="152" spans="1:7" x14ac:dyDescent="0.2">
      <c r="A152" s="22" t="s">
        <v>36</v>
      </c>
      <c r="B152" s="137">
        <f>'DOE25'!F489</f>
        <v>276918.63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276918.63</v>
      </c>
    </row>
    <row r="153" spans="1:7" x14ac:dyDescent="0.2">
      <c r="A153" s="22" t="s">
        <v>37</v>
      </c>
      <c r="B153" s="137">
        <f>'DOE25'!F490</f>
        <v>4502160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4502160</v>
      </c>
    </row>
    <row r="154" spans="1:7" x14ac:dyDescent="0.2">
      <c r="A154" s="22" t="s">
        <v>38</v>
      </c>
      <c r="B154" s="137">
        <f>'DOE25'!F491</f>
        <v>1077000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1077000</v>
      </c>
    </row>
    <row r="155" spans="1:7" x14ac:dyDescent="0.2">
      <c r="A155" s="22" t="s">
        <v>39</v>
      </c>
      <c r="B155" s="137">
        <f>'DOE25'!F492</f>
        <v>118362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118362</v>
      </c>
    </row>
    <row r="156" spans="1:7" x14ac:dyDescent="0.2">
      <c r="A156" s="22" t="s">
        <v>269</v>
      </c>
      <c r="B156" s="137">
        <f>'DOE25'!F493</f>
        <v>1195362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1195362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78DD-7B83-4675-B1D9-DC08013D42A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 xml:space="preserve">GRS Cooperative 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13905</v>
      </c>
    </row>
    <row r="5" spans="1:4" x14ac:dyDescent="0.2">
      <c r="B5" t="s">
        <v>735</v>
      </c>
      <c r="C5" s="179">
        <f>IF('DOE25'!G655+'DOE25'!G660=0,0,ROUND('DOE25'!G662,0))</f>
        <v>12582</v>
      </c>
    </row>
    <row r="6" spans="1:4" x14ac:dyDescent="0.2">
      <c r="B6" t="s">
        <v>62</v>
      </c>
      <c r="C6" s="179">
        <f>IF('DOE25'!H655+'DOE25'!H660=0,0,ROUND('DOE25'!H662,0))</f>
        <v>14688</v>
      </c>
    </row>
    <row r="7" spans="1:4" x14ac:dyDescent="0.2">
      <c r="B7" t="s">
        <v>736</v>
      </c>
      <c r="C7" s="179">
        <f>IF('DOE25'!I655+'DOE25'!I660=0,0,ROUND('DOE25'!I662,0))</f>
        <v>13862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2888471</v>
      </c>
      <c r="D10" s="182">
        <f>ROUND((C10/$C$28)*100,1)</f>
        <v>39.799999999999997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896833</v>
      </c>
      <c r="D11" s="182">
        <f>ROUND((C11/$C$28)*100,1)</f>
        <v>12.4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14353</v>
      </c>
      <c r="D12" s="182">
        <f>ROUND((C12/$C$28)*100,1)</f>
        <v>0.2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173928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711098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381175</v>
      </c>
      <c r="D16" s="182">
        <f t="shared" si="0"/>
        <v>5.3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451204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437854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19491</v>
      </c>
      <c r="D19" s="182">
        <f t="shared" si="0"/>
        <v>0.3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581596</v>
      </c>
      <c r="D20" s="182">
        <f t="shared" si="0"/>
        <v>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459476</v>
      </c>
      <c r="D21" s="182">
        <f t="shared" si="0"/>
        <v>6.3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132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145803</v>
      </c>
      <c r="D25" s="182">
        <f t="shared" si="0"/>
        <v>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10300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81509.39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7253223.3899999997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821380</v>
      </c>
    </row>
    <row r="30" spans="1:4" x14ac:dyDescent="0.2">
      <c r="B30" s="187" t="s">
        <v>760</v>
      </c>
      <c r="C30" s="180">
        <f>SUM(C28:C29)</f>
        <v>8074603.3899999997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1083377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3660023</v>
      </c>
      <c r="D35" s="182">
        <f t="shared" ref="D35:D40" si="1">ROUND((C35/$C$41)*100,1)</f>
        <v>45.4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82183.240000000224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2366901</v>
      </c>
      <c r="D37" s="182">
        <f t="shared" si="1"/>
        <v>29.3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1215165</v>
      </c>
      <c r="D38" s="182">
        <f t="shared" si="1"/>
        <v>15.1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744195</v>
      </c>
      <c r="D39" s="182">
        <f t="shared" si="1"/>
        <v>9.1999999999999993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1105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8069572.2400000002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0969-9D72-4DFB-8810-E71C0170223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 xml:space="preserve">GRS Cooperative 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P40:BZ40"/>
    <mergeCell ref="FC40:FM40"/>
    <mergeCell ref="FP40:FZ40"/>
    <mergeCell ref="CC40:CM40"/>
    <mergeCell ref="CP40:CZ40"/>
    <mergeCell ref="DC40:DM40"/>
    <mergeCell ref="EP40:EZ40"/>
    <mergeCell ref="DP40:DZ40"/>
    <mergeCell ref="IP38:IV38"/>
    <mergeCell ref="BP39:BZ39"/>
    <mergeCell ref="C52:M52"/>
    <mergeCell ref="C50:M50"/>
    <mergeCell ref="C47:M47"/>
    <mergeCell ref="C48:M48"/>
    <mergeCell ref="C49:M49"/>
    <mergeCell ref="C51:M51"/>
    <mergeCell ref="P39:Z39"/>
    <mergeCell ref="AC39:AM39"/>
    <mergeCell ref="CC39:CM39"/>
    <mergeCell ref="CP39:CZ39"/>
    <mergeCell ref="IP39:IV39"/>
    <mergeCell ref="EP39:EZ39"/>
    <mergeCell ref="FC39:FM39"/>
    <mergeCell ref="FP39:FZ39"/>
    <mergeCell ref="DC39:DM39"/>
    <mergeCell ref="DP39:DZ39"/>
    <mergeCell ref="EC39:EM39"/>
    <mergeCell ref="HP38:HZ38"/>
    <mergeCell ref="IC38:IM38"/>
    <mergeCell ref="EC38:EM38"/>
    <mergeCell ref="EP38:EZ38"/>
    <mergeCell ref="FC38:FM38"/>
    <mergeCell ref="FP38:FZ38"/>
    <mergeCell ref="AP39:AZ39"/>
    <mergeCell ref="AP40:AZ40"/>
    <mergeCell ref="GC38:GM38"/>
    <mergeCell ref="GP38:GZ38"/>
    <mergeCell ref="HP39:HZ39"/>
    <mergeCell ref="IC39:IM39"/>
    <mergeCell ref="HC39:HM39"/>
    <mergeCell ref="GC39:GM39"/>
    <mergeCell ref="GP39:GZ39"/>
    <mergeCell ref="HC38:HM38"/>
    <mergeCell ref="CC32:CM32"/>
    <mergeCell ref="CP38:CZ38"/>
    <mergeCell ref="P38:Z38"/>
    <mergeCell ref="AC38:AM38"/>
    <mergeCell ref="AP38:AZ38"/>
    <mergeCell ref="C43:M43"/>
    <mergeCell ref="C39:M39"/>
    <mergeCell ref="C40:M40"/>
    <mergeCell ref="P40:Z40"/>
    <mergeCell ref="AC40:AM40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GP31:GZ31"/>
    <mergeCell ref="DC31:DM31"/>
    <mergeCell ref="EP31:EZ31"/>
    <mergeCell ref="FC31:FM31"/>
    <mergeCell ref="FP31:FZ31"/>
    <mergeCell ref="GC31:GM31"/>
    <mergeCell ref="HP31:HZ31"/>
    <mergeCell ref="HC31:HM31"/>
    <mergeCell ref="BC32:BM32"/>
    <mergeCell ref="BC39:BM39"/>
    <mergeCell ref="BC40:BM40"/>
    <mergeCell ref="BP31:BZ31"/>
    <mergeCell ref="CC31:CM31"/>
    <mergeCell ref="CP31:CZ31"/>
    <mergeCell ref="BP32:BZ32"/>
    <mergeCell ref="BC38:BM38"/>
    <mergeCell ref="BP38:BZ38"/>
    <mergeCell ref="CC38:CM38"/>
    <mergeCell ref="GC30:GM30"/>
    <mergeCell ref="GP30:GZ30"/>
    <mergeCell ref="IC30:IM30"/>
    <mergeCell ref="IP30:IV30"/>
    <mergeCell ref="HC30:HM30"/>
    <mergeCell ref="HP30:HZ30"/>
    <mergeCell ref="GC29:GM29"/>
    <mergeCell ref="GP29:GZ29"/>
    <mergeCell ref="BC29:BM29"/>
    <mergeCell ref="BP29:BZ29"/>
    <mergeCell ref="EC30:EM30"/>
    <mergeCell ref="EP30:EZ30"/>
    <mergeCell ref="FC30:FM30"/>
    <mergeCell ref="FP30:FZ30"/>
    <mergeCell ref="CC30:CM30"/>
    <mergeCell ref="CP30:CZ30"/>
    <mergeCell ref="AP30:AZ30"/>
    <mergeCell ref="C41:M41"/>
    <mergeCell ref="C33:M33"/>
    <mergeCell ref="EC29:EM29"/>
    <mergeCell ref="EP29:EZ29"/>
    <mergeCell ref="BC30:BM30"/>
    <mergeCell ref="BP30:BZ30"/>
    <mergeCell ref="DC30:DM30"/>
    <mergeCell ref="DP30:DZ30"/>
    <mergeCell ref="BC31:BM31"/>
    <mergeCell ref="CC29:CM29"/>
    <mergeCell ref="CP29:CZ29"/>
    <mergeCell ref="DC29:DM29"/>
    <mergeCell ref="DP29:DZ29"/>
    <mergeCell ref="IC29:IM29"/>
    <mergeCell ref="IP29:IV29"/>
    <mergeCell ref="HC29:HM29"/>
    <mergeCell ref="HP29:HZ29"/>
    <mergeCell ref="FC29:FM29"/>
    <mergeCell ref="FP29:FZ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P30:Z30"/>
    <mergeCell ref="AC30:AM30"/>
    <mergeCell ref="C5:M5"/>
    <mergeCell ref="C6:M6"/>
    <mergeCell ref="C7:M7"/>
    <mergeCell ref="C8:M8"/>
    <mergeCell ref="P29:Z29"/>
    <mergeCell ref="AC29:AM29"/>
    <mergeCell ref="AC32:AM32"/>
    <mergeCell ref="AP32:AZ32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13:M13"/>
    <mergeCell ref="C26:M26"/>
    <mergeCell ref="C27:M27"/>
    <mergeCell ref="C62:M62"/>
    <mergeCell ref="C63:M63"/>
    <mergeCell ref="C64:M64"/>
    <mergeCell ref="C65:M65"/>
    <mergeCell ref="C42:M42"/>
    <mergeCell ref="C37:M37"/>
    <mergeCell ref="C38:M38"/>
    <mergeCell ref="C60:M60"/>
    <mergeCell ref="C58:M58"/>
    <mergeCell ref="C34:M34"/>
    <mergeCell ref="C35:M35"/>
    <mergeCell ref="C36:M36"/>
    <mergeCell ref="C14:M14"/>
    <mergeCell ref="C15:M15"/>
    <mergeCell ref="C20:M20"/>
    <mergeCell ref="C29:M29"/>
    <mergeCell ref="C25:M25"/>
    <mergeCell ref="C53:M53"/>
    <mergeCell ref="C54:M54"/>
    <mergeCell ref="C55:M55"/>
    <mergeCell ref="C56:M56"/>
    <mergeCell ref="C57:M57"/>
    <mergeCell ref="C59:M59"/>
    <mergeCell ref="C70:M70"/>
    <mergeCell ref="A72:E72"/>
    <mergeCell ref="C73:M73"/>
    <mergeCell ref="C74:M74"/>
    <mergeCell ref="C75:M75"/>
    <mergeCell ref="C61:M61"/>
    <mergeCell ref="C90:M90"/>
    <mergeCell ref="C83:M83"/>
    <mergeCell ref="C84:M84"/>
    <mergeCell ref="C85:M85"/>
    <mergeCell ref="C86:M86"/>
    <mergeCell ref="C88:M88"/>
    <mergeCell ref="C28:M28"/>
    <mergeCell ref="C21:M21"/>
    <mergeCell ref="C22:M22"/>
    <mergeCell ref="C23:M23"/>
    <mergeCell ref="C24:M24"/>
    <mergeCell ref="C89:M89"/>
    <mergeCell ref="C66:M66"/>
    <mergeCell ref="C67:M67"/>
    <mergeCell ref="C68:M68"/>
    <mergeCell ref="C69:M69"/>
    <mergeCell ref="C76:M76"/>
    <mergeCell ref="C77:M77"/>
    <mergeCell ref="C78:M78"/>
    <mergeCell ref="C87:M87"/>
    <mergeCell ref="C79:M79"/>
    <mergeCell ref="C80:M80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2010-09-01T12:22:02Z</cp:lastPrinted>
  <dcterms:created xsi:type="dcterms:W3CDTF">1997-12-04T19:04:30Z</dcterms:created>
  <dcterms:modified xsi:type="dcterms:W3CDTF">2025-01-09T20:02:55Z</dcterms:modified>
</cp:coreProperties>
</file>