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27B369D-B539-4A1A-8DC7-D7879E3D9113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87268351-76CC-467A-894F-75702DD72FD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C117" i="2" s="1"/>
  <c r="L219" i="1"/>
  <c r="L237" i="1"/>
  <c r="F5" i="13"/>
  <c r="G5" i="13"/>
  <c r="D5" i="13" s="1"/>
  <c r="L189" i="1"/>
  <c r="L190" i="1"/>
  <c r="L191" i="1"/>
  <c r="L203" i="1" s="1"/>
  <c r="L192" i="1"/>
  <c r="C104" i="2" s="1"/>
  <c r="L207" i="1"/>
  <c r="L208" i="1"/>
  <c r="L209" i="1"/>
  <c r="L210" i="1"/>
  <c r="L221" i="1" s="1"/>
  <c r="G650" i="1" s="1"/>
  <c r="L225" i="1"/>
  <c r="C10" i="10" s="1"/>
  <c r="L226" i="1"/>
  <c r="C102" i="2" s="1"/>
  <c r="L227" i="1"/>
  <c r="L228" i="1"/>
  <c r="F6" i="13"/>
  <c r="G6" i="13"/>
  <c r="L194" i="1"/>
  <c r="C110" i="2" s="1"/>
  <c r="L212" i="1"/>
  <c r="L230" i="1"/>
  <c r="F7" i="13"/>
  <c r="G7" i="13"/>
  <c r="L195" i="1"/>
  <c r="C16" i="10" s="1"/>
  <c r="L213" i="1"/>
  <c r="L231" i="1"/>
  <c r="F12" i="13"/>
  <c r="G12" i="13"/>
  <c r="L197" i="1"/>
  <c r="L215" i="1"/>
  <c r="L233" i="1"/>
  <c r="C18" i="10" s="1"/>
  <c r="F14" i="13"/>
  <c r="F33" i="13" s="1"/>
  <c r="G14" i="13"/>
  <c r="L199" i="1"/>
  <c r="L217" i="1"/>
  <c r="L235" i="1"/>
  <c r="C115" i="2" s="1"/>
  <c r="F15" i="13"/>
  <c r="G15" i="13"/>
  <c r="L200" i="1"/>
  <c r="L218" i="1"/>
  <c r="G640" i="1" s="1"/>
  <c r="J640" i="1" s="1"/>
  <c r="L236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D29" i="13" s="1"/>
  <c r="C29" i="13" s="1"/>
  <c r="G29" i="13"/>
  <c r="L350" i="1"/>
  <c r="L351" i="1"/>
  <c r="L352" i="1"/>
  <c r="I359" i="1"/>
  <c r="J282" i="1"/>
  <c r="F31" i="13" s="1"/>
  <c r="J301" i="1"/>
  <c r="J320" i="1"/>
  <c r="K282" i="1"/>
  <c r="G31" i="13" s="1"/>
  <c r="K301" i="1"/>
  <c r="K320" i="1"/>
  <c r="L268" i="1"/>
  <c r="L282" i="1" s="1"/>
  <c r="L269" i="1"/>
  <c r="C11" i="10" s="1"/>
  <c r="L270" i="1"/>
  <c r="L271" i="1"/>
  <c r="L273" i="1"/>
  <c r="L274" i="1"/>
  <c r="E111" i="2" s="1"/>
  <c r="L275" i="1"/>
  <c r="E112" i="2" s="1"/>
  <c r="L276" i="1"/>
  <c r="L277" i="1"/>
  <c r="L278" i="1"/>
  <c r="E115" i="2" s="1"/>
  <c r="L279" i="1"/>
  <c r="L280" i="1"/>
  <c r="E117" i="2" s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E110" i="2" s="1"/>
  <c r="L312" i="1"/>
  <c r="L313" i="1"/>
  <c r="L314" i="1"/>
  <c r="E113" i="2"/>
  <c r="L315" i="1"/>
  <c r="L316" i="1"/>
  <c r="L317" i="1"/>
  <c r="H652" i="1" s="1"/>
  <c r="L318" i="1"/>
  <c r="C17" i="10" s="1"/>
  <c r="L325" i="1"/>
  <c r="L326" i="1"/>
  <c r="L327" i="1"/>
  <c r="L252" i="1"/>
  <c r="C123" i="2" s="1"/>
  <c r="L253" i="1"/>
  <c r="C124" i="2" s="1"/>
  <c r="L333" i="1"/>
  <c r="L334" i="1"/>
  <c r="L247" i="1"/>
  <c r="L328" i="1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A31" i="12" s="1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1" i="2"/>
  <c r="G53" i="2"/>
  <c r="G54" i="2" s="1"/>
  <c r="G55" i="2" s="1"/>
  <c r="F2" i="11"/>
  <c r="L603" i="1"/>
  <c r="H653" i="1"/>
  <c r="L602" i="1"/>
  <c r="L604" i="1" s="1"/>
  <c r="G653" i="1"/>
  <c r="L601" i="1"/>
  <c r="F653" i="1" s="1"/>
  <c r="I653" i="1" s="1"/>
  <c r="C40" i="10"/>
  <c r="F52" i="1"/>
  <c r="F104" i="1" s="1"/>
  <c r="G52" i="1"/>
  <c r="G104" i="1" s="1"/>
  <c r="H52" i="1"/>
  <c r="I52" i="1"/>
  <c r="I104" i="1" s="1"/>
  <c r="I185" i="1" s="1"/>
  <c r="G620" i="1" s="1"/>
  <c r="J620" i="1" s="1"/>
  <c r="F71" i="1"/>
  <c r="F86" i="1"/>
  <c r="F103" i="1"/>
  <c r="G103" i="1"/>
  <c r="H71" i="1"/>
  <c r="H86" i="1"/>
  <c r="H103" i="1"/>
  <c r="I103" i="1"/>
  <c r="J103" i="1"/>
  <c r="J104" i="1" s="1"/>
  <c r="J185" i="1" s="1"/>
  <c r="C37" i="10"/>
  <c r="F113" i="1"/>
  <c r="F132" i="1" s="1"/>
  <c r="F128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61" i="1" s="1"/>
  <c r="F154" i="1"/>
  <c r="G139" i="1"/>
  <c r="G154" i="1"/>
  <c r="G161" i="1"/>
  <c r="H139" i="1"/>
  <c r="H161" i="1" s="1"/>
  <c r="H154" i="1"/>
  <c r="I139" i="1"/>
  <c r="I161" i="1" s="1"/>
  <c r="I154" i="1"/>
  <c r="C13" i="10"/>
  <c r="L242" i="1"/>
  <c r="C105" i="2"/>
  <c r="L324" i="1"/>
  <c r="E105" i="2" s="1"/>
  <c r="L246" i="1"/>
  <c r="C25" i="10"/>
  <c r="L260" i="1"/>
  <c r="C134" i="2"/>
  <c r="L261" i="1"/>
  <c r="C135" i="2" s="1"/>
  <c r="L341" i="1"/>
  <c r="E134" i="2" s="1"/>
  <c r="E136" i="2" s="1"/>
  <c r="L342" i="1"/>
  <c r="I655" i="1"/>
  <c r="I660" i="1"/>
  <c r="F651" i="1"/>
  <c r="H651" i="1"/>
  <c r="F652" i="1"/>
  <c r="I659" i="1"/>
  <c r="C42" i="10"/>
  <c r="L366" i="1"/>
  <c r="L367" i="1"/>
  <c r="F122" i="2" s="1"/>
  <c r="F136" i="2" s="1"/>
  <c r="F137" i="2" s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 s="1"/>
  <c r="L512" i="1"/>
  <c r="F540" i="1"/>
  <c r="L513" i="1"/>
  <c r="F541" i="1"/>
  <c r="L516" i="1"/>
  <c r="L519" i="1" s="1"/>
  <c r="L517" i="1"/>
  <c r="G540" i="1" s="1"/>
  <c r="L518" i="1"/>
  <c r="G541" i="1"/>
  <c r="L521" i="1"/>
  <c r="H539" i="1" s="1"/>
  <c r="L522" i="1"/>
  <c r="H540" i="1" s="1"/>
  <c r="L523" i="1"/>
  <c r="H541" i="1"/>
  <c r="L526" i="1"/>
  <c r="L529" i="1" s="1"/>
  <c r="L527" i="1"/>
  <c r="I540" i="1" s="1"/>
  <c r="L528" i="1"/>
  <c r="I541" i="1"/>
  <c r="L531" i="1"/>
  <c r="J539" i="1" s="1"/>
  <c r="J542" i="1" s="1"/>
  <c r="L532" i="1"/>
  <c r="J540" i="1" s="1"/>
  <c r="L533" i="1"/>
  <c r="J541" i="1"/>
  <c r="E124" i="2"/>
  <c r="E123" i="2"/>
  <c r="K262" i="1"/>
  <c r="J262" i="1"/>
  <c r="I262" i="1"/>
  <c r="H262" i="1"/>
  <c r="G262" i="1"/>
  <c r="L262" i="1" s="1"/>
  <c r="F262" i="1"/>
  <c r="A1" i="2"/>
  <c r="A2" i="2"/>
  <c r="C9" i="2"/>
  <c r="C19" i="2" s="1"/>
  <c r="D9" i="2"/>
  <c r="E9" i="2"/>
  <c r="F9" i="2"/>
  <c r="I431" i="1"/>
  <c r="J9" i="1"/>
  <c r="J19" i="1" s="1"/>
  <c r="G611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C13" i="2"/>
  <c r="D13" i="2"/>
  <c r="E13" i="2"/>
  <c r="F13" i="2"/>
  <c r="I434" i="1"/>
  <c r="J13" i="1"/>
  <c r="G13" i="2" s="1"/>
  <c r="C14" i="2"/>
  <c r="D14" i="2"/>
  <c r="E14" i="2"/>
  <c r="F14" i="2"/>
  <c r="I435" i="1"/>
  <c r="I438" i="1" s="1"/>
  <c r="G632" i="1" s="1"/>
  <c r="J14" i="1"/>
  <c r="G14" i="2" s="1"/>
  <c r="F15" i="2"/>
  <c r="C16" i="2"/>
  <c r="D16" i="2"/>
  <c r="E16" i="2"/>
  <c r="F16" i="2"/>
  <c r="F19" i="2" s="1"/>
  <c r="C17" i="2"/>
  <c r="D17" i="2"/>
  <c r="E17" i="2"/>
  <c r="E18" i="2"/>
  <c r="E19" i="2"/>
  <c r="F17" i="2"/>
  <c r="I436" i="1"/>
  <c r="J17" i="1"/>
  <c r="G17" i="2" s="1"/>
  <c r="C18" i="2"/>
  <c r="D18" i="2"/>
  <c r="F18" i="2"/>
  <c r="I437" i="1"/>
  <c r="J18" i="1"/>
  <c r="G18" i="2" s="1"/>
  <c r="C22" i="2"/>
  <c r="C32" i="2" s="1"/>
  <c r="D22" i="2"/>
  <c r="D32" i="2" s="1"/>
  <c r="E22" i="2"/>
  <c r="F22" i="2"/>
  <c r="I440" i="1"/>
  <c r="J23" i="1"/>
  <c r="G22" i="2" s="1"/>
  <c r="C23" i="2"/>
  <c r="D23" i="2"/>
  <c r="E23" i="2"/>
  <c r="F23" i="2"/>
  <c r="I441" i="1"/>
  <c r="C24" i="2"/>
  <c r="D24" i="2"/>
  <c r="E24" i="2"/>
  <c r="E32" i="2" s="1"/>
  <c r="F24" i="2"/>
  <c r="I442" i="1"/>
  <c r="J25" i="1" s="1"/>
  <c r="C25" i="2"/>
  <c r="D25" i="2"/>
  <c r="E25" i="2"/>
  <c r="F25" i="2"/>
  <c r="C26" i="2"/>
  <c r="F26" i="2"/>
  <c r="C27" i="2"/>
  <c r="F27" i="2"/>
  <c r="F32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I444" i="1" s="1"/>
  <c r="I451" i="1" s="1"/>
  <c r="H632" i="1" s="1"/>
  <c r="C34" i="2"/>
  <c r="D34" i="2"/>
  <c r="E34" i="2"/>
  <c r="F34" i="2"/>
  <c r="F42" i="2" s="1"/>
  <c r="F43" i="2" s="1"/>
  <c r="C35" i="2"/>
  <c r="C42" i="2" s="1"/>
  <c r="C43" i="2" s="1"/>
  <c r="D35" i="2"/>
  <c r="E35" i="2"/>
  <c r="F35" i="2"/>
  <c r="C36" i="2"/>
  <c r="D36" i="2"/>
  <c r="D42" i="2" s="1"/>
  <c r="D43" i="2" s="1"/>
  <c r="E36" i="2"/>
  <c r="F36" i="2"/>
  <c r="I446" i="1"/>
  <c r="C37" i="2"/>
  <c r="D37" i="2"/>
  <c r="E37" i="2"/>
  <c r="E42" i="2" s="1"/>
  <c r="E43" i="2" s="1"/>
  <c r="F37" i="2"/>
  <c r="I447" i="1"/>
  <c r="J38" i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E48" i="2"/>
  <c r="C49" i="2"/>
  <c r="C50" i="2"/>
  <c r="C54" i="2" s="1"/>
  <c r="E50" i="2"/>
  <c r="C51" i="2"/>
  <c r="D51" i="2"/>
  <c r="E51" i="2"/>
  <c r="F51" i="2"/>
  <c r="D52" i="2"/>
  <c r="C53" i="2"/>
  <c r="D53" i="2"/>
  <c r="E53" i="2"/>
  <c r="F53" i="2"/>
  <c r="F54" i="2"/>
  <c r="C58" i="2"/>
  <c r="C62" i="2" s="1"/>
  <c r="C59" i="2"/>
  <c r="C61" i="2"/>
  <c r="D61" i="2"/>
  <c r="D62" i="2"/>
  <c r="E61" i="2"/>
  <c r="E62" i="2" s="1"/>
  <c r="F61" i="2"/>
  <c r="F62" i="2" s="1"/>
  <c r="G61" i="2"/>
  <c r="G62" i="2" s="1"/>
  <c r="C64" i="2"/>
  <c r="C70" i="2" s="1"/>
  <c r="F64" i="2"/>
  <c r="F70" i="2" s="1"/>
  <c r="F73" i="2" s="1"/>
  <c r="C65" i="2"/>
  <c r="F65" i="2"/>
  <c r="C66" i="2"/>
  <c r="C67" i="2"/>
  <c r="C68" i="2"/>
  <c r="E68" i="2"/>
  <c r="E70" i="2" s="1"/>
  <c r="F68" i="2"/>
  <c r="C69" i="2"/>
  <c r="D69" i="2"/>
  <c r="D70" i="2" s="1"/>
  <c r="D73" i="2" s="1"/>
  <c r="E69" i="2"/>
  <c r="F69" i="2"/>
  <c r="G69" i="2"/>
  <c r="G70" i="2" s="1"/>
  <c r="G73" i="2" s="1"/>
  <c r="C71" i="2"/>
  <c r="D71" i="2"/>
  <c r="E71" i="2"/>
  <c r="C72" i="2"/>
  <c r="E72" i="2"/>
  <c r="D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D88" i="2"/>
  <c r="D95" i="2" s="1"/>
  <c r="E88" i="2"/>
  <c r="E95" i="2" s="1"/>
  <c r="F88" i="2"/>
  <c r="F95" i="2" s="1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3" i="2"/>
  <c r="E104" i="2"/>
  <c r="E106" i="2"/>
  <c r="D107" i="2"/>
  <c r="F107" i="2"/>
  <c r="G107" i="2"/>
  <c r="C113" i="2"/>
  <c r="C114" i="2"/>
  <c r="D119" i="2"/>
  <c r="D120" i="2" s="1"/>
  <c r="D137" i="2" s="1"/>
  <c r="D126" i="2"/>
  <c r="D136" i="2" s="1"/>
  <c r="F120" i="2"/>
  <c r="G120" i="2"/>
  <c r="C122" i="2"/>
  <c r="E122" i="2"/>
  <c r="F126" i="2"/>
  <c r="E126" i="2"/>
  <c r="K411" i="1"/>
  <c r="K419" i="1"/>
  <c r="K425" i="1"/>
  <c r="L255" i="1"/>
  <c r="C127" i="2"/>
  <c r="E127" i="2"/>
  <c r="L256" i="1"/>
  <c r="C128" i="2" s="1"/>
  <c r="L257" i="1"/>
  <c r="C129" i="2" s="1"/>
  <c r="E129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F490" i="1"/>
  <c r="B153" i="2"/>
  <c r="G490" i="1"/>
  <c r="C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 s="1"/>
  <c r="G156" i="2" s="1"/>
  <c r="G493" i="1"/>
  <c r="C156" i="2" s="1"/>
  <c r="H493" i="1"/>
  <c r="D156" i="2"/>
  <c r="I493" i="1"/>
  <c r="E156" i="2" s="1"/>
  <c r="J493" i="1"/>
  <c r="F156" i="2" s="1"/>
  <c r="F19" i="1"/>
  <c r="G607" i="1" s="1"/>
  <c r="G19" i="1"/>
  <c r="G608" i="1" s="1"/>
  <c r="J608" i="1" s="1"/>
  <c r="H19" i="1"/>
  <c r="G609" i="1"/>
  <c r="I19" i="1"/>
  <c r="F33" i="1"/>
  <c r="G33" i="1"/>
  <c r="H33" i="1"/>
  <c r="H44" i="1" s="1"/>
  <c r="H609" i="1" s="1"/>
  <c r="I33" i="1"/>
  <c r="F43" i="1"/>
  <c r="G612" i="1" s="1"/>
  <c r="J612" i="1" s="1"/>
  <c r="G43" i="1"/>
  <c r="G44" i="1" s="1"/>
  <c r="H608" i="1" s="1"/>
  <c r="H43" i="1"/>
  <c r="I43" i="1"/>
  <c r="F169" i="1"/>
  <c r="F184" i="1" s="1"/>
  <c r="I169" i="1"/>
  <c r="F175" i="1"/>
  <c r="G175" i="1"/>
  <c r="G184" i="1" s="1"/>
  <c r="H175" i="1"/>
  <c r="H184" i="1" s="1"/>
  <c r="I175" i="1"/>
  <c r="J175" i="1"/>
  <c r="F180" i="1"/>
  <c r="G180" i="1"/>
  <c r="H180" i="1"/>
  <c r="I180" i="1"/>
  <c r="I184" i="1"/>
  <c r="F203" i="1"/>
  <c r="G203" i="1"/>
  <c r="H203" i="1"/>
  <c r="I203" i="1"/>
  <c r="J203" i="1"/>
  <c r="K203" i="1"/>
  <c r="F221" i="1"/>
  <c r="G221" i="1"/>
  <c r="G249" i="1" s="1"/>
  <c r="G263" i="1" s="1"/>
  <c r="H221" i="1"/>
  <c r="I221" i="1"/>
  <c r="J221" i="1"/>
  <c r="J249" i="1" s="1"/>
  <c r="K221" i="1"/>
  <c r="K249" i="1" s="1"/>
  <c r="K263" i="1" s="1"/>
  <c r="F239" i="1"/>
  <c r="G239" i="1"/>
  <c r="H239" i="1"/>
  <c r="I239" i="1"/>
  <c r="J239" i="1"/>
  <c r="K239" i="1"/>
  <c r="F248" i="1"/>
  <c r="G248" i="1"/>
  <c r="H248" i="1"/>
  <c r="I248" i="1"/>
  <c r="J248" i="1"/>
  <c r="L248" i="1" s="1"/>
  <c r="K248" i="1"/>
  <c r="F249" i="1"/>
  <c r="F263" i="1" s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J330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H400" i="1" s="1"/>
  <c r="H634" i="1" s="1"/>
  <c r="I385" i="1"/>
  <c r="F393" i="1"/>
  <c r="G393" i="1"/>
  <c r="H393" i="1"/>
  <c r="I393" i="1"/>
  <c r="I400" i="1" s="1"/>
  <c r="F399" i="1"/>
  <c r="F400" i="1" s="1"/>
  <c r="H633" i="1" s="1"/>
  <c r="J633" i="1" s="1"/>
  <c r="G399" i="1"/>
  <c r="H399" i="1"/>
  <c r="I399" i="1"/>
  <c r="L405" i="1"/>
  <c r="L406" i="1"/>
  <c r="L407" i="1"/>
  <c r="L411" i="1" s="1"/>
  <c r="L408" i="1"/>
  <c r="L409" i="1"/>
  <c r="L410" i="1"/>
  <c r="F411" i="1"/>
  <c r="F426" i="1" s="1"/>
  <c r="G411" i="1"/>
  <c r="G426" i="1" s="1"/>
  <c r="H411" i="1"/>
  <c r="I411" i="1"/>
  <c r="I426" i="1" s="1"/>
  <c r="J411" i="1"/>
  <c r="J426" i="1" s="1"/>
  <c r="L413" i="1"/>
  <c r="L414" i="1"/>
  <c r="L415" i="1"/>
  <c r="L416" i="1"/>
  <c r="L417" i="1"/>
  <c r="L418" i="1"/>
  <c r="F419" i="1"/>
  <c r="G419" i="1"/>
  <c r="H419" i="1"/>
  <c r="H426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F438" i="1"/>
  <c r="G629" i="1" s="1"/>
  <c r="J629" i="1" s="1"/>
  <c r="G438" i="1"/>
  <c r="G630" i="1" s="1"/>
  <c r="H438" i="1"/>
  <c r="G631" i="1" s="1"/>
  <c r="F444" i="1"/>
  <c r="G444" i="1"/>
  <c r="G451" i="1" s="1"/>
  <c r="H630" i="1" s="1"/>
  <c r="H444" i="1"/>
  <c r="H451" i="1" s="1"/>
  <c r="H631" i="1" s="1"/>
  <c r="F450" i="1"/>
  <c r="F451" i="1" s="1"/>
  <c r="H629" i="1" s="1"/>
  <c r="G450" i="1"/>
  <c r="H450" i="1"/>
  <c r="F460" i="1"/>
  <c r="G460" i="1"/>
  <c r="H460" i="1"/>
  <c r="H466" i="1" s="1"/>
  <c r="H614" i="1" s="1"/>
  <c r="I460" i="1"/>
  <c r="I466" i="1" s="1"/>
  <c r="H615" i="1" s="1"/>
  <c r="J460" i="1"/>
  <c r="F464" i="1"/>
  <c r="G464" i="1"/>
  <c r="G466" i="1"/>
  <c r="H613" i="1" s="1"/>
  <c r="H464" i="1"/>
  <c r="I464" i="1"/>
  <c r="J464" i="1"/>
  <c r="J466" i="1"/>
  <c r="H61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J535" i="1" s="1"/>
  <c r="K514" i="1"/>
  <c r="K535" i="1" s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I535" i="1" s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J550" i="1"/>
  <c r="J561" i="1" s="1"/>
  <c r="K550" i="1"/>
  <c r="L552" i="1"/>
  <c r="L553" i="1"/>
  <c r="L555" i="1" s="1"/>
  <c r="L554" i="1"/>
  <c r="F555" i="1"/>
  <c r="G555" i="1"/>
  <c r="H555" i="1"/>
  <c r="I555" i="1"/>
  <c r="J555" i="1"/>
  <c r="K555" i="1"/>
  <c r="L557" i="1"/>
  <c r="L558" i="1"/>
  <c r="L559" i="1"/>
  <c r="F560" i="1"/>
  <c r="G560" i="1"/>
  <c r="H560" i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K586" i="1"/>
  <c r="K587" i="1"/>
  <c r="H588" i="1"/>
  <c r="I588" i="1"/>
  <c r="H640" i="1"/>
  <c r="J588" i="1"/>
  <c r="H641" i="1" s="1"/>
  <c r="J641" i="1" s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10" i="1"/>
  <c r="J610" i="1" s="1"/>
  <c r="G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3" i="1"/>
  <c r="G634" i="1"/>
  <c r="J634" i="1" s="1"/>
  <c r="G639" i="1"/>
  <c r="H639" i="1"/>
  <c r="J639" i="1"/>
  <c r="G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D54" i="2"/>
  <c r="J37" i="1"/>
  <c r="I450" i="1"/>
  <c r="J24" i="1"/>
  <c r="G23" i="2" s="1"/>
  <c r="H104" i="1"/>
  <c r="E49" i="2"/>
  <c r="E54" i="2"/>
  <c r="E55" i="2" s="1"/>
  <c r="E114" i="2"/>
  <c r="D83" i="2"/>
  <c r="D19" i="2"/>
  <c r="J184" i="1"/>
  <c r="G635" i="1"/>
  <c r="F48" i="2"/>
  <c r="F55" i="2" s="1"/>
  <c r="D48" i="2"/>
  <c r="D55" i="2"/>
  <c r="G651" i="1"/>
  <c r="I651" i="1"/>
  <c r="C12" i="10"/>
  <c r="C103" i="2"/>
  <c r="L560" i="1"/>
  <c r="K561" i="1"/>
  <c r="I561" i="1"/>
  <c r="H535" i="1"/>
  <c r="F535" i="1"/>
  <c r="G149" i="2"/>
  <c r="K426" i="1"/>
  <c r="G126" i="2" s="1"/>
  <c r="G136" i="2" s="1"/>
  <c r="G137" i="2" s="1"/>
  <c r="L419" i="1"/>
  <c r="L329" i="1"/>
  <c r="G152" i="2"/>
  <c r="L393" i="1"/>
  <c r="C131" i="2" s="1"/>
  <c r="C32" i="10"/>
  <c r="G36" i="2"/>
  <c r="I44" i="1"/>
  <c r="H610" i="1" s="1"/>
  <c r="G12" i="2"/>
  <c r="F44" i="1"/>
  <c r="H607" i="1" s="1"/>
  <c r="F466" i="1"/>
  <c r="H612" i="1"/>
  <c r="K595" i="1"/>
  <c r="G638" i="1" s="1"/>
  <c r="L524" i="1"/>
  <c r="G535" i="1"/>
  <c r="G155" i="2"/>
  <c r="J624" i="1"/>
  <c r="L354" i="1"/>
  <c r="H330" i="1"/>
  <c r="H344" i="1" s="1"/>
  <c r="F22" i="13"/>
  <c r="C22" i="13" s="1"/>
  <c r="I249" i="1"/>
  <c r="I263" i="1"/>
  <c r="H249" i="1"/>
  <c r="H263" i="1"/>
  <c r="A40" i="12"/>
  <c r="G9" i="2"/>
  <c r="G37" i="2"/>
  <c r="G625" i="1"/>
  <c r="J625" i="1" s="1"/>
  <c r="C27" i="10"/>
  <c r="K541" i="1"/>
  <c r="D15" i="13"/>
  <c r="C15" i="13" s="1"/>
  <c r="D12" i="13"/>
  <c r="C12" i="13"/>
  <c r="F542" i="1" l="1"/>
  <c r="L426" i="1"/>
  <c r="G628" i="1" s="1"/>
  <c r="J628" i="1" s="1"/>
  <c r="J632" i="1"/>
  <c r="G96" i="2"/>
  <c r="F650" i="1"/>
  <c r="H542" i="1"/>
  <c r="C38" i="10"/>
  <c r="G19" i="2"/>
  <c r="D96" i="2"/>
  <c r="C73" i="2"/>
  <c r="C39" i="10"/>
  <c r="G185" i="1"/>
  <c r="G618" i="1" s="1"/>
  <c r="J618" i="1" s="1"/>
  <c r="C5" i="13"/>
  <c r="J43" i="1"/>
  <c r="J631" i="1"/>
  <c r="J609" i="1"/>
  <c r="G153" i="2"/>
  <c r="G636" i="1"/>
  <c r="G621" i="1"/>
  <c r="J621" i="1" s="1"/>
  <c r="F185" i="1"/>
  <c r="G617" i="1" s="1"/>
  <c r="J617" i="1" s="1"/>
  <c r="L330" i="1"/>
  <c r="L344" i="1" s="1"/>
  <c r="G623" i="1" s="1"/>
  <c r="J623" i="1" s="1"/>
  <c r="D31" i="13"/>
  <c r="C31" i="13" s="1"/>
  <c r="G24" i="2"/>
  <c r="G32" i="2" s="1"/>
  <c r="F96" i="2"/>
  <c r="J630" i="1"/>
  <c r="K540" i="1"/>
  <c r="J635" i="1"/>
  <c r="C130" i="2"/>
  <c r="C133" i="2" s="1"/>
  <c r="L400" i="1"/>
  <c r="C28" i="10"/>
  <c r="D13" i="10" s="1"/>
  <c r="C8" i="13"/>
  <c r="J607" i="1"/>
  <c r="D16" i="10"/>
  <c r="J263" i="1"/>
  <c r="H638" i="1"/>
  <c r="J638" i="1" s="1"/>
  <c r="E73" i="2"/>
  <c r="E96" i="2" s="1"/>
  <c r="J615" i="1"/>
  <c r="C136" i="2"/>
  <c r="G42" i="2"/>
  <c r="J614" i="1"/>
  <c r="H185" i="1"/>
  <c r="G619" i="1" s="1"/>
  <c r="J619" i="1" s="1"/>
  <c r="E102" i="2"/>
  <c r="D7" i="13"/>
  <c r="C7" i="13" s="1"/>
  <c r="L239" i="1"/>
  <c r="H650" i="1" s="1"/>
  <c r="H654" i="1" s="1"/>
  <c r="G652" i="1"/>
  <c r="I652" i="1" s="1"/>
  <c r="C19" i="10"/>
  <c r="G613" i="1"/>
  <c r="J613" i="1" s="1"/>
  <c r="L534" i="1"/>
  <c r="C112" i="2"/>
  <c r="E77" i="2"/>
  <c r="E83" i="2" s="1"/>
  <c r="D6" i="13"/>
  <c r="C6" i="13" s="1"/>
  <c r="H25" i="13"/>
  <c r="C15" i="10"/>
  <c r="C21" i="10"/>
  <c r="C35" i="10"/>
  <c r="H637" i="1"/>
  <c r="J637" i="1" s="1"/>
  <c r="C111" i="2"/>
  <c r="C120" i="2" s="1"/>
  <c r="E101" i="2"/>
  <c r="C48" i="2"/>
  <c r="C55" i="2" s="1"/>
  <c r="C26" i="10"/>
  <c r="E116" i="2"/>
  <c r="E120" i="2" s="1"/>
  <c r="K493" i="1"/>
  <c r="C77" i="2"/>
  <c r="C83" i="2" s="1"/>
  <c r="L343" i="1"/>
  <c r="E16" i="13"/>
  <c r="C16" i="13" s="1"/>
  <c r="L514" i="1"/>
  <c r="L535" i="1" s="1"/>
  <c r="I539" i="1"/>
  <c r="I542" i="1" s="1"/>
  <c r="G539" i="1"/>
  <c r="G542" i="1" s="1"/>
  <c r="C24" i="10"/>
  <c r="C29" i="10"/>
  <c r="K490" i="1"/>
  <c r="J32" i="1"/>
  <c r="G31" i="2" s="1"/>
  <c r="C23" i="10"/>
  <c r="D14" i="13"/>
  <c r="C14" i="13" s="1"/>
  <c r="C101" i="2"/>
  <c r="K330" i="1"/>
  <c r="K344" i="1" s="1"/>
  <c r="C106" i="2"/>
  <c r="G33" i="13"/>
  <c r="L374" i="1"/>
  <c r="G626" i="1" s="1"/>
  <c r="J626" i="1" s="1"/>
  <c r="C116" i="2"/>
  <c r="C20" i="10"/>
  <c r="D33" i="13" l="1"/>
  <c r="D36" i="13" s="1"/>
  <c r="D23" i="10"/>
  <c r="D11" i="10"/>
  <c r="D26" i="10"/>
  <c r="D17" i="10"/>
  <c r="C96" i="2"/>
  <c r="D22" i="10"/>
  <c r="D25" i="10"/>
  <c r="C30" i="10"/>
  <c r="D18" i="10"/>
  <c r="H636" i="1"/>
  <c r="J636" i="1" s="1"/>
  <c r="G627" i="1"/>
  <c r="J627" i="1" s="1"/>
  <c r="E107" i="2"/>
  <c r="E137" i="2" s="1"/>
  <c r="D19" i="10"/>
  <c r="D20" i="10"/>
  <c r="D24" i="10"/>
  <c r="G654" i="1"/>
  <c r="D12" i="10"/>
  <c r="D27" i="10"/>
  <c r="C36" i="10"/>
  <c r="C41" i="10"/>
  <c r="D21" i="10"/>
  <c r="K539" i="1"/>
  <c r="K542" i="1" s="1"/>
  <c r="D15" i="10"/>
  <c r="J44" i="1"/>
  <c r="H611" i="1" s="1"/>
  <c r="J611" i="1" s="1"/>
  <c r="G616" i="1"/>
  <c r="L249" i="1"/>
  <c r="L263" i="1" s="1"/>
  <c r="G622" i="1" s="1"/>
  <c r="J622" i="1" s="1"/>
  <c r="H33" i="13"/>
  <c r="C25" i="13"/>
  <c r="E33" i="13"/>
  <c r="D35" i="13" s="1"/>
  <c r="J33" i="1"/>
  <c r="F654" i="1"/>
  <c r="I650" i="1"/>
  <c r="I654" i="1" s="1"/>
  <c r="H657" i="1"/>
  <c r="H662" i="1"/>
  <c r="C6" i="10" s="1"/>
  <c r="C107" i="2"/>
  <c r="C137" i="2" s="1"/>
  <c r="G43" i="2"/>
  <c r="D10" i="10"/>
  <c r="D28" i="10" s="1"/>
  <c r="F657" i="1" l="1"/>
  <c r="F662" i="1"/>
  <c r="C4" i="10" s="1"/>
  <c r="D36" i="10"/>
  <c r="I657" i="1"/>
  <c r="I662" i="1"/>
  <c r="C7" i="10" s="1"/>
  <c r="J616" i="1"/>
  <c r="H646" i="1"/>
  <c r="D37" i="10"/>
  <c r="D40" i="10"/>
  <c r="D35" i="10"/>
  <c r="D39" i="10"/>
  <c r="D38" i="10"/>
  <c r="G657" i="1"/>
  <c r="G662" i="1"/>
  <c r="C5" i="10" s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1215596-7C6E-4B74-A79A-CF3702D6E06B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F2EFAC2-6305-41DE-9FA6-E256A40E44CC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7920360-1DE2-4364-A3AD-43EE0A96EDD4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59A47E3-8AAC-4335-A1AB-9C6FE3BFB077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C8044C74-046A-4CDE-92A4-B5FDB2C0CA68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DD2A61E-76F6-4D72-9DAC-35B219CC56B8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073822C1-0FFD-475C-93E8-DD46266739DC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7DC6F659-CA48-4F28-80A1-4212D11B4B6F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16696D0A-00E9-4457-AF56-0892960E200B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1E26CAC5-A094-43DE-B1B9-C022F96788D7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3FC24F14-204A-42A9-85B6-B2DCD4D1A3F0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A8A1EF1-B7A6-49FC-B135-0C68418AAB21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<sst xmlns="http://schemas.openxmlformats.org/spreadsheetml/2006/main" count="3868" uniqueCount="904">
  <si>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</si>
  <si>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</si>
  <si>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</si>
  <si>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</si>
  <si>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</si>
  <si>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</si>
  <si>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</si>
  <si>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</si>
  <si>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</si>
  <si>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</si>
  <si>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</si>
  <si>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</si>
  <si>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</si>
  <si>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</si>
  <si>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</si>
  <si>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</si>
  <si>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</si>
  <si>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</si>
  <si>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</si>
  <si>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</si>
  <si>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</si>
  <si>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</si>
  <si>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</si>
  <si>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</si>
  <si>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</si>
  <si>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</si>
  <si>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</si>
  <si>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</si>
  <si>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</si>
  <si>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</si>
  <si>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</si>
  <si>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</si>
  <si>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</si>
  <si>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</si>
  <si>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</si>
  <si>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</si>
  <si>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</si>
  <si>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</si>
  <si>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</si>
  <si>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</si>
  <si>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</si>
  <si>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</si>
  <si>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</si>
  <si>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</si>
  <si>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</si>
  <si>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</si>
  <si>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</si>
  <si>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</si>
  <si>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</si>
  <si>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</si>
  <si>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</si>
  <si>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</si>
  <si>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</si>
  <si>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</si>
  <si>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</si>
  <si>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</si>
  <si>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</si>
  <si>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</si>
  <si>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</si>
  <si>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</si>
  <si>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</si>
  <si>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</si>
  <si>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</si>
  <si>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</si>
  <si>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</si>
  <si>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</si>
  <si>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</si>
  <si>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</si>
  <si>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</si>
  <si>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</si>
  <si>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</si>
  <si>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</si>
  <si>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</si>
  <si>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</si>
  <si>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</si>
  <si>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</si>
  <si>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</si>
  <si>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</si>
  <si>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</si>
  <si>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</si>
  <si>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</si>
  <si>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</si>
  <si>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</si>
  <si>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</si>
  <si>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</si>
  <si>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</si>
  <si>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</si>
  <si>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</si>
  <si>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</si>
  <si>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</si>
  <si>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</si>
  <si>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</si>
  <si>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</si>
  <si>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</si>
  <si>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</si>
  <si>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</si>
  <si>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</si>
  <si>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</si>
  <si>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</si>
  <si>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</si>
  <si>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</si>
  <si>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</si>
  <si>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</si>
  <si>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</si>
  <si>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</si>
  <si>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</si>
  <si>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</si>
  <si>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</si>
  <si>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</si>
  <si>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</si>
  <si>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</si>
  <si>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</si>
  <si>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</si>
  <si>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</si>
  <si>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</si>
  <si>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</si>
  <si>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</si>
  <si>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</si>
  <si>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</si>
  <si>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</si>
  <si>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</si>
  <si>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</si>
  <si>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</si>
  <si>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</si>
  <si>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</si>
  <si>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</si>
  <si>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</si>
  <si>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</si>
  <si>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</si>
  <si>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</si>
  <si>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</si>
  <si>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</si>
  <si>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</si>
  <si>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</si>
  <si>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</si>
  <si>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</si>
  <si>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</si>
  <si>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</si>
  <si>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</si>
  <si>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</si>
  <si>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</si>
  <si>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</si>
  <si>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</si>
  <si>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</si>
  <si>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</si>
  <si>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</si>
  <si>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</si>
  <si>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</si>
  <si>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</si>
  <si>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</si>
  <si>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</si>
  <si>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</si>
  <si>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</si>
  <si>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</si>
  <si>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</si>
  <si>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</si>
  <si>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</si>
  <si>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</si>
  <si>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</si>
  <si>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</si>
  <si>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</si>
  <si>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</si>
  <si>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</si>
  <si>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</si>
  <si>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</si>
  <si>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</si>
  <si>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</si>
  <si>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</si>
  <si>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</si>
  <si>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</si>
  <si>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</si>
  <si>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</si>
  <si>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</si>
  <si>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</si>
  <si>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</si>
  <si>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</si>
  <si>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</si>
  <si>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</si>
  <si>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</si>
  <si>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</si>
  <si>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</si>
  <si>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</si>
  <si>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</si>
  <si>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</si>
  <si>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</si>
  <si>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</si>
  <si>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</si>
  <si>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</si>
  <si>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</si>
  <si>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</si>
  <si>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</si>
  <si>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</si>
  <si>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</si>
  <si>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</si>
  <si>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</si>
  <si>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</si>
  <si>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</si>
  <si>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</si>
  <si>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</si>
  <si>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</si>
  <si>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</si>
  <si>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</si>
  <si>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</si>
  <si>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</si>
  <si>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</si>
  <si>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</si>
  <si>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</si>
  <si>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</si>
  <si>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</si>
  <si>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</si>
  <si>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</si>
  <si>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</si>
  <si>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</si>
  <si>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</si>
  <si>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</si>
  <si>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</si>
  <si>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</si>
  <si>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</si>
  <si>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</si>
  <si>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</si>
  <si>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</si>
  <si>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</si>
  <si>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</si>
  <si>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</si>
  <si>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</si>
  <si>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</si>
  <si>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</si>
  <si>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</si>
  <si>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</si>
  <si>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</si>
  <si>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</si>
  <si>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</si>
  <si>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</si>
  <si>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</si>
  <si>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</si>
  <si>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</si>
  <si>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</si>
  <si>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</si>
  <si>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</si>
  <si>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</si>
  <si>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</si>
  <si>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</si>
  <si>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</si>
  <si>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</si>
  <si>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</si>
  <si>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</si>
  <si>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</si>
  <si>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</si>
  <si>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</si>
  <si>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</si>
  <si>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</si>
  <si>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</si>
  <si>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</si>
  <si>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</si>
  <si>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</si>
  <si>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</si>
  <si>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</si>
  <si>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</si>
  <si>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</si>
  <si>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</si>
  <si>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</si>
  <si>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</si>
  <si>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</si>
  <si>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</si>
  <si>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</si>
  <si>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</si>
  <si>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</si>
  <si>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</si>
  <si>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</si>
  <si>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</si>
  <si>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</si>
  <si>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</si>
  <si>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</si>
  <si>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</si>
  <si>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</si>
  <si>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</si>
  <si>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</si>
  <si>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</si>
  <si>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</si>
  <si>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</si>
  <si>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</si>
  <si>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</si>
  <si>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</si>
  <si>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</si>
  <si>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</si>
  <si>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</si>
  <si>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</si>
  <si>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</si>
  <si>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</si>
  <si>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</si>
  <si>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</si>
  <si>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</si>
  <si>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</si>
  <si>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</si>
  <si>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</si>
  <si>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</si>
  <si>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</si>
  <si>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</si>
  <si>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</si>
  <si>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</si>
  <si>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</si>
  <si>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</si>
  <si>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</si>
  <si>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</si>
  <si>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</si>
  <si>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</si>
  <si>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</si>
  <si>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</si>
  <si>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</si>
  <si>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</si>
  <si>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</si>
  <si>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</si>
  <si>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</si>
  <si>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</si>
  <si>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</si>
  <si>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</si>
  <si>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</si>
  <si>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</si>
  <si>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</si>
  <si>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</si>
  <si>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</si>
  <si>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</si>
  <si>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</si>
  <si>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</si>
  <si>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</si>
  <si>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</si>
  <si>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</si>
  <si>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</si>
  <si>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</si>
  <si>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</si>
  <si>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</si>
  <si>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</si>
  <si>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</si>
  <si>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</si>
  <si>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</si>
  <si>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</si>
  <si>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</si>
  <si>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</si>
  <si>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</si>
  <si>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</si>
  <si>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</si>
  <si>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</si>
  <si>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</si>
  <si>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</si>
  <si>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</si>
  <si>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</si>
  <si>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</si>
  <si>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</si>
  <si>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</si>
  <si>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</si>
  <si>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</si>
  <si>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</si>
  <si>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</si>
  <si>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</si>
  <si>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</si>
  <si>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</si>
  <si>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</si>
  <si>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</si>
  <si>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</si>
  <si>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</si>
  <si>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</si>
  <si>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</si>
  <si>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</si>
  <si>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</si>
  <si>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</si>
  <si>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</si>
  <si>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</si>
  <si>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</si>
  <si>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</si>
  <si>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</si>
  <si>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</si>
  <si>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</si>
  <si>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</si>
  <si>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</si>
  <si>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</si>
  <si>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</si>
  <si>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</si>
  <si>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</si>
  <si>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</si>
  <si>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</si>
  <si>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</si>
  <si>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</si>
  <si>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</si>
  <si>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</si>
  <si>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</si>
  <si>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</si>
  <si>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</si>
  <si>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</si>
  <si>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</si>
  <si>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</si>
  <si>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</si>
  <si>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</si>
  <si>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</si>
  <si>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</si>
  <si>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</si>
  <si>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</si>
  <si>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</si>
  <si>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</si>
  <si>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</si>
  <si>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</si>
  <si>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</si>
  <si>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</si>
  <si>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</si>
  <si>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</si>
  <si>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</si>
  <si>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</si>
  <si>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</si>
  <si>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</si>
  <si>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</si>
  <si>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</si>
  <si>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</si>
  <si>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</si>
  <si>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</si>
  <si>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</si>
  <si>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</si>
  <si>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</si>
  <si>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</si>
  <si>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</si>
  <si>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</si>
  <si>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</si>
  <si>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</si>
  <si>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</si>
  <si>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</si>
  <si>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</si>
  <si>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</si>
  <si>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</si>
  <si>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</si>
  <si>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</si>
  <si>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</si>
  <si>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</si>
  <si>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</si>
  <si>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</si>
  <si>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</si>
  <si>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</si>
  <si>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</si>
  <si>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</si>
  <si>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</si>
  <si>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</si>
  <si>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</si>
  <si>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</si>
  <si>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</si>
  <si>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</si>
  <si>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</si>
  <si>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</si>
  <si>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</si>
  <si>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</si>
  <si>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</si>
  <si>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</si>
  <si>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</si>
  <si>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</si>
  <si>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</si>
  <si>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</si>
  <si>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</si>
  <si>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</si>
  <si>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</si>
  <si>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</si>
  <si>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</si>
  <si>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</si>
  <si>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</si>
  <si>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</si>
  <si>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</si>
  <si>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</si>
  <si>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</si>
  <si>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</si>
  <si>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</si>
  <si>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</si>
  <si>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</si>
  <si>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</si>
  <si>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</si>
  <si>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</si>
  <si>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</si>
  <si>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</si>
  <si>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</si>
  <si>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</si>
  <si>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</si>
  <si>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</si>
  <si>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</si>
  <si>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</si>
  <si>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</si>
  <si>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</si>
  <si>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</si>
  <si>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</si>
  <si>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</si>
  <si>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</si>
  <si>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</si>
  <si>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</si>
  <si>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</si>
  <si>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</si>
  <si>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</si>
  <si>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</si>
  <si>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</si>
  <si>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</si>
  <si>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</si>
  <si>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</si>
  <si>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</si>
  <si>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</si>
  <si>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</si>
  <si>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</si>
  <si>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</si>
  <si>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</si>
  <si>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</si>
  <si>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</si>
  <si>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</si>
  <si>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</si>
  <si>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</si>
  <si>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</si>
  <si>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</si>
  <si>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</si>
  <si>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</si>
  <si>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</si>
  <si>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</si>
  <si>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</si>
  <si>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</si>
  <si>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</si>
  <si>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</si>
  <si>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</si>
  <si>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</si>
  <si>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</si>
  <si>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</si>
  <si>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</si>
  <si>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</si>
  <si>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</si>
  <si>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</si>
  <si>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</si>
  <si>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</si>
  <si>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</si>
  <si>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</si>
  <si>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</si>
  <si>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</si>
  <si>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</si>
  <si>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</si>
  <si>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</si>
  <si>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</si>
  <si>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</si>
  <si>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</si>
  <si>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</si>
  <si>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</si>
  <si>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</si>
  <si>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</si>
  <si>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</si>
  <si>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</si>
  <si>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</si>
  <si>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</si>
  <si>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</si>
  <si>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</si>
  <si>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</si>
  <si>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</si>
  <si>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</si>
  <si>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</si>
  <si>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</si>
  <si>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</si>
  <si>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</si>
  <si>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</si>
  <si>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</si>
  <si>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</si>
  <si>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</si>
  <si>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</si>
  <si>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</si>
  <si>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</si>
  <si>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</si>
  <si>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</si>
  <si>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</si>
  <si>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</si>
  <si>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</si>
  <si>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</si>
  <si>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</si>
  <si>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</si>
  <si>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</si>
  <si>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</si>
  <si>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</si>
  <si>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</si>
  <si>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</si>
  <si>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</si>
  <si>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</si>
  <si>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</si>
  <si>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</si>
  <si>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</si>
  <si>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</si>
  <si>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</si>
  <si>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</si>
  <si>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</si>
  <si>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</si>
  <si>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</si>
  <si>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</si>
  <si>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</si>
  <si>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</si>
  <si>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</si>
  <si>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</si>
  <si>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</si>
  <si>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</si>
  <si>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</si>
  <si>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</si>
  <si>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</si>
  <si>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</si>
  <si>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</si>
  <si>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</si>
  <si>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</si>
  <si>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</si>
  <si>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</si>
  <si>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</si>
  <si>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</si>
  <si>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</si>
  <si>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</si>
  <si>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</si>
  <si>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</si>
  <si>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</si>
  <si>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</si>
  <si>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</si>
  <si>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</si>
  <si>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</si>
  <si>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</si>
  <si>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</si>
  <si>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</si>
  <si>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</si>
  <si>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</si>
  <si>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</si>
  <si>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</si>
  <si>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</si>
  <si>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</si>
  <si>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</si>
  <si>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</si>
  <si>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</si>
  <si>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</si>
  <si>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</si>
  <si>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</si>
  <si>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</si>
  <si>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</si>
  <si>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</si>
  <si>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</si>
  <si>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</si>
  <si>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</si>
  <si>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</si>
  <si>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</si>
  <si>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</si>
  <si>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</si>
  <si>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</si>
  <si>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</si>
  <si>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</si>
  <si>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</si>
  <si>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</si>
  <si>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</si>
  <si>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</si>
  <si>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</si>
  <si>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</si>
  <si>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</si>
  <si>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</si>
  <si>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</si>
  <si>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</si>
  <si>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</si>
  <si>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</si>
  <si>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</si>
  <si>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</si>
  <si>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</si>
  <si>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</si>
  <si>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</si>
  <si>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</si>
  <si>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</si>
  <si>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</si>
  <si>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</si>
  <si>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</si>
  <si>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</si>
  <si>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</si>
  <si>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</si>
  <si>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</si>
  <si>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</si>
  <si>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</si>
  <si>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</si>
  <si>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</si>
  <si>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</si>
  <si>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</si>
  <si>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</si>
  <si>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</si>
  <si>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</si>
  <si>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</si>
  <si>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</si>
  <si>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</si>
  <si>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</si>
  <si>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</si>
  <si>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</si>
  <si>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</si>
  <si>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</si>
  <si>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</si>
  <si>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</si>
  <si>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</si>
  <si>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</si>
  <si>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</si>
  <si>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</si>
  <si>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</si>
  <si>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</si>
  <si>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</si>
  <si>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</si>
  <si>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</si>
  <si>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</si>
  <si>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</si>
  <si>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</si>
  <si>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</si>
  <si>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</si>
  <si>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</si>
  <si>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</si>
  <si>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</si>
  <si>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</si>
  <si>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</si>
  <si>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</si>
  <si>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</si>
  <si>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</si>
  <si>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</si>
  <si>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</si>
  <si>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</si>
  <si>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</si>
  <si>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</si>
  <si>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</si>
  <si>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</si>
  <si>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</si>
  <si>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</si>
  <si>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</si>
  <si>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</si>
  <si>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</si>
  <si>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</si>
  <si>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</si>
  <si>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</si>
  <si>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</si>
  <si>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</si>
  <si>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</si>
  <si>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</si>
  <si>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</si>
  <si>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</si>
  <si>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</si>
  <si>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</si>
  <si>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</si>
  <si>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</si>
  <si>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</si>
  <si>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</si>
  <si>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</si>
  <si>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</si>
  <si>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</si>
  <si>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</si>
  <si>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</si>
  <si>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</si>
  <si>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</si>
  <si>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</si>
  <si>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</si>
  <si>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</si>
  <si>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</si>
  <si>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</si>
  <si>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</si>
  <si>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</si>
  <si>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</si>
  <si>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</si>
  <si>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</si>
  <si>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</si>
  <si>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</si>
  <si>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</si>
  <si>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</si>
  <si>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</si>
  <si>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</si>
  <si>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</si>
  <si>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</si>
  <si>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</si>
  <si>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</si>
  <si>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</si>
  <si>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</si>
  <si>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</si>
  <si>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</si>
  <si>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</si>
  <si>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</si>
  <si>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</si>
  <si>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</si>
  <si>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</si>
  <si>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</si>
  <si>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</si>
  <si>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</si>
  <si>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</si>
  <si>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</si>
  <si>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</si>
  <si>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</si>
  <si>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</si>
  <si>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</si>
  <si>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</si>
  <si>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</si>
  <si>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</si>
  <si>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</si>
  <si>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</si>
  <si>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</si>
  <si>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</si>
  <si>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</si>
  <si>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</si>
  <si>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</si>
  <si>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</si>
  <si>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</si>
  <si>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</si>
  <si>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</si>
  <si>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</si>
  <si>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</si>
  <si>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</si>
  <si>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</si>
  <si>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</si>
  <si>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</si>
  <si>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</si>
  <si>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</si>
  <si>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</si>
  <si>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</si>
  <si>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</si>
  <si>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</si>
  <si>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</si>
  <si>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</si>
  <si>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</si>
  <si>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</si>
  <si>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</si>
  <si>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</si>
  <si>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</si>
  <si>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</si>
  <si>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</si>
  <si>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</si>
  <si>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</si>
  <si>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</si>
  <si>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</si>
  <si>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</si>
  <si>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</si>
  <si>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</si>
  <si>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</si>
  <si>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</si>
  <si>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</si>
  <si>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</si>
  <si>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</si>
  <si>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</si>
  <si>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</si>
  <si>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</si>
  <si>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</si>
  <si>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</si>
  <si>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</si>
  <si>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</si>
  <si>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</si>
  <si>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</si>
  <si>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</si>
  <si>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</si>
  <si>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</si>
  <si>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</si>
  <si>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</si>
  <si>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</si>
  <si>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</si>
  <si>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</si>
  <si>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</si>
  <si>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</si>
  <si>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</si>
  <si>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</si>
  <si>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</si>
  <si>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</si>
  <si>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</si>
  <si>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</si>
  <si>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</si>
  <si>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</si>
  <si>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</si>
  <si>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</si>
  <si>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</si>
  <si>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</si>
  <si>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</si>
  <si>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</si>
  <si>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</si>
  <si>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</si>
  <si>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</si>
  <si>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</si>
  <si>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</si>
  <si>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</si>
  <si>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</si>
  <si>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</si>
  <si>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</si>
  <si>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</si>
  <si>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</si>
  <si>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</si>
  <si>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</si>
  <si>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</si>
  <si>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</si>
  <si>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</si>
  <si>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</si>
  <si>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</si>
  <si>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</si>
  <si>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</si>
  <si>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</si>
  <si>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</si>
  <si>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</si>
  <si>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</si>
  <si>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</si>
  <si>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</si>
  <si>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</si>
  <si>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</si>
  <si>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</si>
  <si>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</si>
  <si>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</si>
  <si>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</si>
  <si>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</si>
  <si>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</si>
  <si>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</si>
  <si>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</si>
  <si>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</si>
  <si>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08/92</t>
  </si>
  <si>
    <t>08/02</t>
  </si>
  <si>
    <t>08/12</t>
  </si>
  <si>
    <t>"5.3-6.2</t>
  </si>
  <si>
    <t>"3.0-4.0</t>
  </si>
  <si>
    <t>06/09</t>
  </si>
  <si>
    <t>06/14</t>
  </si>
  <si>
    <t>07/09</t>
  </si>
  <si>
    <t>07/39</t>
  </si>
  <si>
    <t>Governor Wentworth Reg.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</si>
</sst>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C242-7F0F-4B3E-8E75-7B63ED61720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117" activePane="bottomRight" state="frozen"/>
      <selection pane="topRight" activeCell="F1" sqref="F1"/>
      <selection pane="bottomLeft" activeCell="A4" sqref="A4"/>
      <selection pane="bottomRight" activeCell="I153" sqref="I15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903</v>
      </c>
      <c r="B2" s="21">
        <v>208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1255653.01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10</v>
      </c>
      <c r="G10" s="18"/>
      <c r="H10" s="18"/>
      <c r="I10" s="18">
        <v>15850995.699999999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2315125.58</v>
      </c>
      <c r="G12" s="18">
        <v>107859.26</v>
      </c>
      <c r="H12" s="18"/>
      <c r="I12" s="18"/>
      <c r="J12" s="67">
        <f>SUM(I433)</f>
        <v>43934.1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234063.24</v>
      </c>
      <c r="G13" s="18">
        <v>5085.84</v>
      </c>
      <c r="H13" s="18">
        <v>149643.63</v>
      </c>
      <c r="I13" s="18"/>
      <c r="J13" s="67">
        <f>SUM(I434)</f>
        <v>1130003.05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7222.18</v>
      </c>
      <c r="G14" s="18">
        <v>10751</v>
      </c>
      <c r="H14" s="18"/>
      <c r="I14" s="18">
        <v>350137.29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21140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3833214.0100000002</v>
      </c>
      <c r="G19" s="41">
        <f>SUM(G9:G18)</f>
        <v>123696.09999999999</v>
      </c>
      <c r="H19" s="41">
        <f>SUM(H9:H18)</f>
        <v>149643.63</v>
      </c>
      <c r="I19" s="41">
        <f>SUM(I9:I18)</f>
        <v>16201132.989999998</v>
      </c>
      <c r="J19" s="41">
        <f>SUM(J9:J18)</f>
        <v>1173937.1500000001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68089.8</v>
      </c>
      <c r="I23" s="18">
        <v>2398829.15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>
        <v>903818.19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143110.37</v>
      </c>
      <c r="G29" s="18">
        <v>3032.12</v>
      </c>
      <c r="H29" s="18">
        <v>5563.86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353.16</v>
      </c>
      <c r="G31" s="18">
        <v>13892</v>
      </c>
      <c r="H31" s="18">
        <v>75989.97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143463.53</v>
      </c>
      <c r="G33" s="41">
        <f>SUM(G23:G32)</f>
        <v>16924.12</v>
      </c>
      <c r="H33" s="41">
        <f>SUM(H23:H32)</f>
        <v>149643.63</v>
      </c>
      <c r="I33" s="41">
        <f>SUM(I23:I32)</f>
        <v>3302647.34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21140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304985.58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106771.98</v>
      </c>
      <c r="H41" s="18"/>
      <c r="I41" s="18">
        <v>12898485.65</v>
      </c>
      <c r="J41" s="13">
        <f>SUM(I449)</f>
        <v>1173937.1499999999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3363624.9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3689750.48</v>
      </c>
      <c r="G43" s="41">
        <f>SUM(G35:G42)</f>
        <v>106771.98</v>
      </c>
      <c r="H43" s="41">
        <f>SUM(H35:H42)</f>
        <v>0</v>
      </c>
      <c r="I43" s="41">
        <f>SUM(I35:I42)</f>
        <v>12898485.65</v>
      </c>
      <c r="J43" s="41">
        <f>SUM(J35:J42)</f>
        <v>1173937.1499999999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3833214.01</v>
      </c>
      <c r="G44" s="41">
        <f>G43+G33</f>
        <v>123696.09999999999</v>
      </c>
      <c r="H44" s="41">
        <f>H43+H33</f>
        <v>149643.63</v>
      </c>
      <c r="I44" s="41">
        <f>I43+I33</f>
        <v>16201132.99</v>
      </c>
      <c r="J44" s="41">
        <f>J43+J33</f>
        <v>1173937.1499999999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22115288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22115288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28183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4722.5600000000004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72598.240000000005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120487.03999999999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55637.08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281627.92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1188.1099999999999</v>
      </c>
      <c r="G88" s="18">
        <v>292.5</v>
      </c>
      <c r="H88" s="18"/>
      <c r="I88" s="18">
        <v>56321.08</v>
      </c>
      <c r="J88" s="18">
        <v>31192.33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563008.55000000005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9265.32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8736.6200000000008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10736.02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466.83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71866.960000000006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102259.86000000002</v>
      </c>
      <c r="G103" s="41">
        <f>SUM(G88:G102)</f>
        <v>563301.05000000005</v>
      </c>
      <c r="H103" s="41">
        <f>SUM(H88:H102)</f>
        <v>0</v>
      </c>
      <c r="I103" s="41">
        <f>SUM(I88:I102)</f>
        <v>56321.08</v>
      </c>
      <c r="J103" s="41">
        <f>SUM(J88:J102)</f>
        <v>31192.33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22499175.780000001</v>
      </c>
      <c r="G104" s="41">
        <f>G52+G103</f>
        <v>563301.05000000005</v>
      </c>
      <c r="H104" s="41">
        <f>H52+H71+H86+H103</f>
        <v>0</v>
      </c>
      <c r="I104" s="41">
        <f>I52+I103</f>
        <v>56321.08</v>
      </c>
      <c r="J104" s="41">
        <f>J52+J103</f>
        <v>31192.33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2885809.21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10379936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1107196.79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14372942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257916.62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354480.04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141215.01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12367.2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27000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109456.37</v>
      </c>
      <c r="I127" s="18">
        <v>1270694.52</v>
      </c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780611.66999999993</v>
      </c>
      <c r="G128" s="41">
        <f>SUM(G115:G127)</f>
        <v>12367.2</v>
      </c>
      <c r="H128" s="41">
        <f>SUM(H115:H127)</f>
        <v>109456.37</v>
      </c>
      <c r="I128" s="41">
        <f>SUM(I115:I127)</f>
        <v>1270694.52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15153553.67</v>
      </c>
      <c r="G132" s="41">
        <f>G113+SUM(G128:G129)</f>
        <v>12367.2</v>
      </c>
      <c r="H132" s="41">
        <f>H113+SUM(H128:H131)</f>
        <v>109456.37</v>
      </c>
      <c r="I132" s="41">
        <f>I113+I128</f>
        <v>1270694.52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734089.52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533338.71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104477.75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97505.99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428131.31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581244.07999999996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371349.61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371349.61</v>
      </c>
      <c r="G154" s="41">
        <f>SUM(G142:G153)</f>
        <v>428131.31</v>
      </c>
      <c r="H154" s="41">
        <f>SUM(H142:H153)</f>
        <v>2050656.0499999998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371349.61</v>
      </c>
      <c r="G161" s="41">
        <f>G139+G154+SUM(G155:G160)</f>
        <v>428131.31</v>
      </c>
      <c r="H161" s="41">
        <f>H139+H154+SUM(H155:H160)</f>
        <v>2050656.0499999998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25325000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>
        <v>223274.48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25548274.48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64706.16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64706.16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64706.16</v>
      </c>
      <c r="G184" s="41">
        <f>G175+SUM(G180:G183)</f>
        <v>0</v>
      </c>
      <c r="H184" s="41">
        <f>+H175+SUM(H180:H183)</f>
        <v>0</v>
      </c>
      <c r="I184" s="41">
        <f>I169+I175+SUM(I180:I183)</f>
        <v>25548274.48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38088785.219999999</v>
      </c>
      <c r="G185" s="47">
        <f>G104+G132+G161+G184</f>
        <v>1003799.56</v>
      </c>
      <c r="H185" s="47">
        <f>H104+H132+H161+H184</f>
        <v>2160112.42</v>
      </c>
      <c r="I185" s="47">
        <f>I104+I132+I161+I184</f>
        <v>26875290.080000002</v>
      </c>
      <c r="J185" s="47">
        <f>J104+J132+J184</f>
        <v>31192.33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5251031.7</v>
      </c>
      <c r="G189" s="18">
        <v>1917611.3</v>
      </c>
      <c r="H189" s="18">
        <v>5905.13</v>
      </c>
      <c r="I189" s="18">
        <v>379610.27</v>
      </c>
      <c r="J189" s="18">
        <v>91888.06</v>
      </c>
      <c r="K189" s="18">
        <v>1026.98</v>
      </c>
      <c r="L189" s="19">
        <f>SUM(F189:K189)</f>
        <v>7647073.4400000004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2293697.9900000002</v>
      </c>
      <c r="G190" s="18">
        <v>855040.57</v>
      </c>
      <c r="H190" s="18">
        <v>399232.27</v>
      </c>
      <c r="I190" s="18">
        <v>23271.01</v>
      </c>
      <c r="J190" s="18">
        <v>10786.24</v>
      </c>
      <c r="K190" s="18">
        <v>515</v>
      </c>
      <c r="L190" s="19">
        <f>SUM(F190:K190)</f>
        <v>3582543.08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34816.29</v>
      </c>
      <c r="G192" s="18">
        <v>5075.17</v>
      </c>
      <c r="H192" s="18"/>
      <c r="I192" s="18"/>
      <c r="J192" s="18"/>
      <c r="K192" s="18"/>
      <c r="L192" s="19">
        <f>SUM(F192:K192)</f>
        <v>39891.46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425412.51</v>
      </c>
      <c r="G194" s="18">
        <v>137901.84</v>
      </c>
      <c r="H194" s="18">
        <v>149177.99</v>
      </c>
      <c r="I194" s="18">
        <v>6184.12</v>
      </c>
      <c r="J194" s="18">
        <v>113.65</v>
      </c>
      <c r="K194" s="18">
        <v>230</v>
      </c>
      <c r="L194" s="19">
        <f t="shared" ref="L194:L200" si="0">SUM(F194:K194)</f>
        <v>719020.11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380860.07</v>
      </c>
      <c r="G195" s="18">
        <v>178931.23</v>
      </c>
      <c r="H195" s="18">
        <v>39270.46</v>
      </c>
      <c r="I195" s="18">
        <v>72084.14</v>
      </c>
      <c r="J195" s="18">
        <v>4977.97</v>
      </c>
      <c r="K195" s="18">
        <v>826</v>
      </c>
      <c r="L195" s="19">
        <f t="shared" si="0"/>
        <v>676949.87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195013.34</v>
      </c>
      <c r="G196" s="18">
        <v>72982.91</v>
      </c>
      <c r="H196" s="18">
        <v>47652.58</v>
      </c>
      <c r="I196" s="18">
        <v>14241.91</v>
      </c>
      <c r="J196" s="18">
        <v>2876.27</v>
      </c>
      <c r="K196" s="18">
        <v>4310.33</v>
      </c>
      <c r="L196" s="19">
        <f t="shared" si="0"/>
        <v>337077.34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708344.78</v>
      </c>
      <c r="G197" s="18">
        <v>321685.49</v>
      </c>
      <c r="H197" s="18">
        <v>104135.66</v>
      </c>
      <c r="I197" s="18">
        <v>8952.59</v>
      </c>
      <c r="J197" s="18">
        <v>2103.0300000000002</v>
      </c>
      <c r="K197" s="18">
        <v>2133</v>
      </c>
      <c r="L197" s="19">
        <f t="shared" si="0"/>
        <v>1147354.55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88993.98</v>
      </c>
      <c r="G198" s="18">
        <v>47304.51</v>
      </c>
      <c r="H198" s="18">
        <v>14747.62</v>
      </c>
      <c r="I198" s="18">
        <v>8201.7900000000009</v>
      </c>
      <c r="J198" s="18">
        <v>3233.05</v>
      </c>
      <c r="K198" s="18">
        <v>1460</v>
      </c>
      <c r="L198" s="19">
        <f t="shared" si="0"/>
        <v>163940.94999999998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704449.31</v>
      </c>
      <c r="G199" s="18">
        <v>277240.03999999998</v>
      </c>
      <c r="H199" s="18">
        <v>382197.88</v>
      </c>
      <c r="I199" s="18">
        <v>388298.88</v>
      </c>
      <c r="J199" s="18">
        <v>15762.65</v>
      </c>
      <c r="K199" s="18"/>
      <c r="L199" s="19">
        <f t="shared" si="0"/>
        <v>1767948.7599999998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653353.51</v>
      </c>
      <c r="G200" s="18">
        <v>218178.41</v>
      </c>
      <c r="H200" s="18">
        <v>155849.48000000001</v>
      </c>
      <c r="I200" s="18">
        <v>92143</v>
      </c>
      <c r="J200" s="18">
        <v>114265.77</v>
      </c>
      <c r="K200" s="18"/>
      <c r="L200" s="19">
        <f t="shared" si="0"/>
        <v>1233790.17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10735973.48</v>
      </c>
      <c r="G203" s="41">
        <f t="shared" si="1"/>
        <v>4031951.4699999997</v>
      </c>
      <c r="H203" s="41">
        <f t="shared" si="1"/>
        <v>1298169.0699999998</v>
      </c>
      <c r="I203" s="41">
        <f t="shared" si="1"/>
        <v>992987.71</v>
      </c>
      <c r="J203" s="41">
        <f t="shared" si="1"/>
        <v>246006.69</v>
      </c>
      <c r="K203" s="41">
        <f t="shared" si="1"/>
        <v>10501.31</v>
      </c>
      <c r="L203" s="41">
        <f t="shared" si="1"/>
        <v>17315589.729999997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1904244.62</v>
      </c>
      <c r="G207" s="18">
        <v>934663.85</v>
      </c>
      <c r="H207" s="18">
        <v>25753.84</v>
      </c>
      <c r="I207" s="18">
        <v>108884.76</v>
      </c>
      <c r="J207" s="18">
        <v>97262.71</v>
      </c>
      <c r="K207" s="18">
        <v>25</v>
      </c>
      <c r="L207" s="19">
        <f>SUM(F207:K207)</f>
        <v>3070834.78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797614.69</v>
      </c>
      <c r="G208" s="18">
        <v>309298.13</v>
      </c>
      <c r="H208" s="18">
        <v>40447.800000000003</v>
      </c>
      <c r="I208" s="18">
        <v>7625.95</v>
      </c>
      <c r="J208" s="18">
        <v>2889.21</v>
      </c>
      <c r="K208" s="18">
        <v>206</v>
      </c>
      <c r="L208" s="19">
        <f>SUM(F208:K208)</f>
        <v>1158081.7799999998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50245.52</v>
      </c>
      <c r="G210" s="18">
        <v>7188.97</v>
      </c>
      <c r="H210" s="18">
        <v>9138.26</v>
      </c>
      <c r="I210" s="18">
        <v>3329.99</v>
      </c>
      <c r="J210" s="18">
        <v>6377.64</v>
      </c>
      <c r="K210" s="18"/>
      <c r="L210" s="19">
        <f>SUM(F210:K210)</f>
        <v>76280.38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166729.35999999999</v>
      </c>
      <c r="G212" s="18">
        <v>51825.24</v>
      </c>
      <c r="H212" s="18">
        <v>34814.42</v>
      </c>
      <c r="I212" s="18">
        <v>3802.08</v>
      </c>
      <c r="J212" s="18">
        <v>2319.79</v>
      </c>
      <c r="K212" s="18"/>
      <c r="L212" s="19">
        <f t="shared" ref="L212:L218" si="2">SUM(F212:K212)</f>
        <v>259490.88999999996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65532.57</v>
      </c>
      <c r="G213" s="18">
        <v>55033.86</v>
      </c>
      <c r="H213" s="18">
        <v>16219.43</v>
      </c>
      <c r="I213" s="18">
        <v>28831.360000000001</v>
      </c>
      <c r="J213" s="18">
        <v>2662.52</v>
      </c>
      <c r="K213" s="18">
        <v>1290.2</v>
      </c>
      <c r="L213" s="19">
        <f t="shared" si="2"/>
        <v>169569.93999999997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65954.03</v>
      </c>
      <c r="G214" s="18">
        <v>24355.45</v>
      </c>
      <c r="H214" s="18">
        <v>18927.02</v>
      </c>
      <c r="I214" s="18">
        <v>5696.76</v>
      </c>
      <c r="J214" s="18">
        <v>1150.51</v>
      </c>
      <c r="K214" s="18">
        <v>1724.13</v>
      </c>
      <c r="L214" s="19">
        <f t="shared" si="2"/>
        <v>117807.9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245780.58</v>
      </c>
      <c r="G215" s="18">
        <v>112054.89</v>
      </c>
      <c r="H215" s="18">
        <v>28966.82</v>
      </c>
      <c r="I215" s="18">
        <v>7748.59</v>
      </c>
      <c r="J215" s="18">
        <v>1727.44</v>
      </c>
      <c r="K215" s="18">
        <v>1178</v>
      </c>
      <c r="L215" s="19">
        <f t="shared" si="2"/>
        <v>397456.32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28570.52</v>
      </c>
      <c r="G216" s="18">
        <v>16186.73</v>
      </c>
      <c r="H216" s="18">
        <v>5899.05</v>
      </c>
      <c r="I216" s="18">
        <v>3280.71</v>
      </c>
      <c r="J216" s="18">
        <v>1293.22</v>
      </c>
      <c r="K216" s="18">
        <v>584</v>
      </c>
      <c r="L216" s="19">
        <f t="shared" si="2"/>
        <v>55814.23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92092.71</v>
      </c>
      <c r="G217" s="18">
        <v>75313.98</v>
      </c>
      <c r="H217" s="18">
        <v>120616.78</v>
      </c>
      <c r="I217" s="18">
        <v>122372.39</v>
      </c>
      <c r="J217" s="18">
        <v>499.36</v>
      </c>
      <c r="K217" s="18"/>
      <c r="L217" s="19">
        <f t="shared" si="2"/>
        <v>410895.22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41150.839999999997</v>
      </c>
      <c r="G218" s="18">
        <v>87267.33</v>
      </c>
      <c r="H218" s="18">
        <v>57152.1</v>
      </c>
      <c r="I218" s="18">
        <v>42870.080000000002</v>
      </c>
      <c r="J218" s="18">
        <v>45706.31</v>
      </c>
      <c r="K218" s="18"/>
      <c r="L218" s="19">
        <f t="shared" si="2"/>
        <v>274146.65999999997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3457915.4399999995</v>
      </c>
      <c r="G221" s="41">
        <f>SUM(G207:G220)</f>
        <v>1673188.43</v>
      </c>
      <c r="H221" s="41">
        <f>SUM(H207:H220)</f>
        <v>357935.51999999996</v>
      </c>
      <c r="I221" s="41">
        <f>SUM(I207:I220)</f>
        <v>334442.67000000004</v>
      </c>
      <c r="J221" s="41">
        <f>SUM(J207:J220)</f>
        <v>161888.71000000002</v>
      </c>
      <c r="K221" s="41">
        <f t="shared" si="3"/>
        <v>5007.33</v>
      </c>
      <c r="L221" s="41">
        <f t="shared" si="3"/>
        <v>5990378.1000000006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3102224.05</v>
      </c>
      <c r="G225" s="18">
        <v>1549716.21</v>
      </c>
      <c r="H225" s="18">
        <v>219438.32</v>
      </c>
      <c r="I225" s="18">
        <v>176295.72</v>
      </c>
      <c r="J225" s="18">
        <v>145623.88</v>
      </c>
      <c r="K225" s="18"/>
      <c r="L225" s="19">
        <f>SUM(F225:K225)</f>
        <v>5193298.18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844943.42</v>
      </c>
      <c r="G226" s="18">
        <v>502031.02</v>
      </c>
      <c r="H226" s="18">
        <v>625808.82999999996</v>
      </c>
      <c r="I226" s="18">
        <v>10959.5</v>
      </c>
      <c r="J226" s="18">
        <v>475.46</v>
      </c>
      <c r="K226" s="18">
        <v>309</v>
      </c>
      <c r="L226" s="19">
        <f>SUM(F226:K226)</f>
        <v>1984527.23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619055.43000000005</v>
      </c>
      <c r="G227" s="18">
        <v>229966.04</v>
      </c>
      <c r="H227" s="18">
        <v>8061.2</v>
      </c>
      <c r="I227" s="18">
        <v>33367.800000000003</v>
      </c>
      <c r="J227" s="18">
        <v>13669.5</v>
      </c>
      <c r="K227" s="18">
        <v>354.92</v>
      </c>
      <c r="L227" s="19">
        <f>SUM(F227:K227)</f>
        <v>904474.89000000013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250589.72</v>
      </c>
      <c r="G228" s="18">
        <v>33470.839999999997</v>
      </c>
      <c r="H228" s="18">
        <v>169448.99</v>
      </c>
      <c r="I228" s="18">
        <v>20911.560000000001</v>
      </c>
      <c r="J228" s="18">
        <v>26314.58</v>
      </c>
      <c r="K228" s="18">
        <v>6895.5</v>
      </c>
      <c r="L228" s="19">
        <f>SUM(F228:K228)</f>
        <v>507631.19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360972.63</v>
      </c>
      <c r="G230" s="18">
        <v>109425.72</v>
      </c>
      <c r="H230" s="18">
        <v>72529.84</v>
      </c>
      <c r="I230" s="18">
        <v>12546.49</v>
      </c>
      <c r="J230" s="18">
        <v>3420.21</v>
      </c>
      <c r="K230" s="18"/>
      <c r="L230" s="19">
        <f t="shared" ref="L230:L236" si="4">SUM(F230:K230)</f>
        <v>558894.8899999999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179979.93</v>
      </c>
      <c r="G231" s="18">
        <v>104232.48</v>
      </c>
      <c r="H231" s="18">
        <v>36961.339999999997</v>
      </c>
      <c r="I231" s="18">
        <v>49840.4</v>
      </c>
      <c r="J231" s="18">
        <v>17707.009999999998</v>
      </c>
      <c r="K231" s="18">
        <v>992.64</v>
      </c>
      <c r="L231" s="19">
        <f t="shared" si="4"/>
        <v>389713.80000000005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128027.63</v>
      </c>
      <c r="G232" s="18">
        <v>48457.78</v>
      </c>
      <c r="H232" s="18">
        <v>28390.53</v>
      </c>
      <c r="I232" s="18">
        <v>8545.15</v>
      </c>
      <c r="J232" s="18">
        <v>1725.76</v>
      </c>
      <c r="K232" s="18">
        <v>2586.1999999999998</v>
      </c>
      <c r="L232" s="19">
        <f t="shared" si="4"/>
        <v>217733.05000000002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402505.05</v>
      </c>
      <c r="G233" s="18">
        <v>201066.85</v>
      </c>
      <c r="H233" s="18">
        <v>75895.67</v>
      </c>
      <c r="I233" s="18">
        <v>16666.11</v>
      </c>
      <c r="J233" s="18">
        <v>2921.7</v>
      </c>
      <c r="K233" s="18">
        <v>4745.16</v>
      </c>
      <c r="L233" s="19">
        <f t="shared" si="4"/>
        <v>703800.54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60421.46</v>
      </c>
      <c r="G234" s="18">
        <v>31718.55</v>
      </c>
      <c r="H234" s="18">
        <v>8848.58</v>
      </c>
      <c r="I234" s="18">
        <v>9853.6200000000008</v>
      </c>
      <c r="J234" s="18">
        <v>1939.83</v>
      </c>
      <c r="K234" s="18">
        <v>876</v>
      </c>
      <c r="L234" s="19">
        <f t="shared" si="4"/>
        <v>113658.04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283177.46999999997</v>
      </c>
      <c r="G235" s="18">
        <v>162142.89000000001</v>
      </c>
      <c r="H235" s="18">
        <v>292263.62</v>
      </c>
      <c r="I235" s="18">
        <v>282796.95</v>
      </c>
      <c r="J235" s="18">
        <v>3666.6</v>
      </c>
      <c r="K235" s="18"/>
      <c r="L235" s="19">
        <f t="shared" si="4"/>
        <v>1024047.5299999999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96953.3</v>
      </c>
      <c r="G236" s="18">
        <v>57407.72</v>
      </c>
      <c r="H236" s="18">
        <v>175773.24</v>
      </c>
      <c r="I236" s="18">
        <v>77139.520000000004</v>
      </c>
      <c r="J236" s="18">
        <v>68559.460000000006</v>
      </c>
      <c r="K236" s="18"/>
      <c r="L236" s="19">
        <f t="shared" si="4"/>
        <v>475833.24000000005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6328850.089999998</v>
      </c>
      <c r="G239" s="41">
        <f t="shared" si="5"/>
        <v>3029636.1</v>
      </c>
      <c r="H239" s="41">
        <f t="shared" si="5"/>
        <v>1713420.16</v>
      </c>
      <c r="I239" s="41">
        <f t="shared" si="5"/>
        <v>698922.82000000007</v>
      </c>
      <c r="J239" s="41">
        <f t="shared" si="5"/>
        <v>286023.99</v>
      </c>
      <c r="K239" s="41">
        <f t="shared" si="5"/>
        <v>16759.419999999998</v>
      </c>
      <c r="L239" s="41">
        <f t="shared" si="5"/>
        <v>12073612.580000002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14769.91</v>
      </c>
      <c r="G243" s="18">
        <v>2201.6799999999998</v>
      </c>
      <c r="H243" s="18"/>
      <c r="I243" s="18"/>
      <c r="J243" s="18"/>
      <c r="K243" s="18"/>
      <c r="L243" s="19">
        <f t="shared" si="6"/>
        <v>16971.59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>
        <v>4727.49</v>
      </c>
      <c r="J244" s="18"/>
      <c r="K244" s="18"/>
      <c r="L244" s="19">
        <f t="shared" si="6"/>
        <v>4727.49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134483.29999999999</v>
      </c>
      <c r="K247" s="18"/>
      <c r="L247" s="19">
        <f t="shared" si="6"/>
        <v>134483.29999999999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14769.91</v>
      </c>
      <c r="G248" s="41">
        <f t="shared" si="7"/>
        <v>2201.6799999999998</v>
      </c>
      <c r="H248" s="41">
        <f t="shared" si="7"/>
        <v>0</v>
      </c>
      <c r="I248" s="41">
        <f t="shared" si="7"/>
        <v>4727.49</v>
      </c>
      <c r="J248" s="41">
        <f t="shared" si="7"/>
        <v>134483.29999999999</v>
      </c>
      <c r="K248" s="41">
        <f t="shared" si="7"/>
        <v>0</v>
      </c>
      <c r="L248" s="41">
        <f>SUM(F248:K248)</f>
        <v>156182.38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20537508.919999998</v>
      </c>
      <c r="G249" s="41">
        <f t="shared" si="8"/>
        <v>8736977.6799999997</v>
      </c>
      <c r="H249" s="41">
        <f t="shared" si="8"/>
        <v>3369524.75</v>
      </c>
      <c r="I249" s="41">
        <f t="shared" si="8"/>
        <v>2031080.69</v>
      </c>
      <c r="J249" s="41">
        <f t="shared" si="8"/>
        <v>828402.69</v>
      </c>
      <c r="K249" s="41">
        <f t="shared" si="8"/>
        <v>32268.059999999998</v>
      </c>
      <c r="L249" s="41">
        <f t="shared" si="8"/>
        <v>35535762.789999999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781284.52</v>
      </c>
      <c r="L252" s="19">
        <f>SUM(F252:K252)</f>
        <v>781284.52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278236.7</v>
      </c>
      <c r="L253" s="19">
        <f>SUM(F253:K253)</f>
        <v>278236.7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1059521.22</v>
      </c>
      <c r="L262" s="41">
        <f t="shared" si="9"/>
        <v>1059521.22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20537508.919999998</v>
      </c>
      <c r="G263" s="42">
        <f t="shared" si="11"/>
        <v>8736977.6799999997</v>
      </c>
      <c r="H263" s="42">
        <f t="shared" si="11"/>
        <v>3369524.75</v>
      </c>
      <c r="I263" s="42">
        <f t="shared" si="11"/>
        <v>2031080.69</v>
      </c>
      <c r="J263" s="42">
        <f t="shared" si="11"/>
        <v>828402.69</v>
      </c>
      <c r="K263" s="42">
        <f t="shared" si="11"/>
        <v>1091789.28</v>
      </c>
      <c r="L263" s="42">
        <f t="shared" si="11"/>
        <v>36595284.009999998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342405.85</v>
      </c>
      <c r="G268" s="18">
        <v>134161.67000000001</v>
      </c>
      <c r="H268" s="18">
        <v>64689.08</v>
      </c>
      <c r="I268" s="18">
        <v>49770.67</v>
      </c>
      <c r="J268" s="18">
        <v>42667.67</v>
      </c>
      <c r="K268" s="18"/>
      <c r="L268" s="19">
        <f>SUM(F268:K268)</f>
        <v>633694.94000000006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153391.6</v>
      </c>
      <c r="G269" s="18">
        <v>86144.08</v>
      </c>
      <c r="H269" s="18"/>
      <c r="I269" s="18">
        <v>2000.83</v>
      </c>
      <c r="J269" s="18">
        <v>4993.58</v>
      </c>
      <c r="K269" s="18"/>
      <c r="L269" s="19">
        <f>SUM(F269:K269)</f>
        <v>246530.08999999997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2205.4</v>
      </c>
      <c r="G274" s="18">
        <v>4711.13</v>
      </c>
      <c r="H274" s="18">
        <v>54866.04</v>
      </c>
      <c r="I274" s="18">
        <v>5024.8100000000004</v>
      </c>
      <c r="J274" s="18"/>
      <c r="K274" s="18"/>
      <c r="L274" s="19">
        <f t="shared" si="12"/>
        <v>66807.38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498002.85</v>
      </c>
      <c r="G282" s="42">
        <f t="shared" si="13"/>
        <v>225016.88</v>
      </c>
      <c r="H282" s="42">
        <f t="shared" si="13"/>
        <v>119555.12</v>
      </c>
      <c r="I282" s="42">
        <f t="shared" si="13"/>
        <v>56796.31</v>
      </c>
      <c r="J282" s="42">
        <f t="shared" si="13"/>
        <v>47661.25</v>
      </c>
      <c r="K282" s="42">
        <f t="shared" si="13"/>
        <v>0</v>
      </c>
      <c r="L282" s="41">
        <f t="shared" si="13"/>
        <v>947032.41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109044.34</v>
      </c>
      <c r="G287" s="18">
        <v>41182.699999999997</v>
      </c>
      <c r="H287" s="18">
        <v>20693.060000000001</v>
      </c>
      <c r="I287" s="18">
        <v>19901.87</v>
      </c>
      <c r="J287" s="18">
        <v>13867.07</v>
      </c>
      <c r="K287" s="18"/>
      <c r="L287" s="19">
        <f>SUM(F287:K287)</f>
        <v>204689.03999999998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57125.279999999999</v>
      </c>
      <c r="G288" s="18">
        <v>34104.69</v>
      </c>
      <c r="H288" s="18"/>
      <c r="I288" s="18">
        <v>800.33</v>
      </c>
      <c r="J288" s="18">
        <v>1997.43</v>
      </c>
      <c r="K288" s="18"/>
      <c r="L288" s="19">
        <f>SUM(F288:K288)</f>
        <v>94027.73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882.16</v>
      </c>
      <c r="G293" s="18">
        <v>1884.45</v>
      </c>
      <c r="H293" s="18">
        <v>21946.41</v>
      </c>
      <c r="I293" s="18">
        <v>2009.92</v>
      </c>
      <c r="J293" s="18"/>
      <c r="K293" s="18"/>
      <c r="L293" s="19">
        <f t="shared" si="14"/>
        <v>26722.940000000002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167051.78</v>
      </c>
      <c r="G301" s="42">
        <f t="shared" si="15"/>
        <v>77171.839999999997</v>
      </c>
      <c r="H301" s="42">
        <f t="shared" si="15"/>
        <v>42639.47</v>
      </c>
      <c r="I301" s="42">
        <f t="shared" si="15"/>
        <v>22712.120000000003</v>
      </c>
      <c r="J301" s="42">
        <f t="shared" si="15"/>
        <v>15864.5</v>
      </c>
      <c r="K301" s="42">
        <f t="shared" si="15"/>
        <v>0</v>
      </c>
      <c r="L301" s="41">
        <f t="shared" si="15"/>
        <v>325439.70999999996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179554.09</v>
      </c>
      <c r="G306" s="18">
        <v>61774.04</v>
      </c>
      <c r="H306" s="18">
        <v>31193.59</v>
      </c>
      <c r="I306" s="18">
        <v>29852.799999999999</v>
      </c>
      <c r="J306" s="18">
        <v>20800.61</v>
      </c>
      <c r="K306" s="18"/>
      <c r="L306" s="19">
        <f>SUM(F306:K306)</f>
        <v>323175.13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85687.92</v>
      </c>
      <c r="G307" s="18">
        <v>51157.03</v>
      </c>
      <c r="H307" s="18"/>
      <c r="I307" s="18">
        <v>1200.49</v>
      </c>
      <c r="J307" s="18">
        <v>2996.15</v>
      </c>
      <c r="K307" s="18"/>
      <c r="L307" s="19">
        <f>SUM(F307:K307)</f>
        <v>141041.59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42664.78</v>
      </c>
      <c r="G308" s="18">
        <v>22175.69</v>
      </c>
      <c r="H308" s="18">
        <v>10168</v>
      </c>
      <c r="I308" s="18"/>
      <c r="J308" s="18">
        <v>26291.39</v>
      </c>
      <c r="K308" s="18"/>
      <c r="L308" s="19">
        <f>SUM(F308:K308)</f>
        <v>101299.86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1323.24</v>
      </c>
      <c r="G312" s="18">
        <v>2826.68</v>
      </c>
      <c r="H312" s="18">
        <v>32919.620000000003</v>
      </c>
      <c r="I312" s="18">
        <v>3014.89</v>
      </c>
      <c r="J312" s="18"/>
      <c r="K312" s="18">
        <v>3177.89</v>
      </c>
      <c r="L312" s="19">
        <f t="shared" si="16"/>
        <v>43262.32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309230.03000000003</v>
      </c>
      <c r="G320" s="42">
        <f t="shared" si="17"/>
        <v>137933.44</v>
      </c>
      <c r="H320" s="42">
        <f t="shared" si="17"/>
        <v>74281.209999999992</v>
      </c>
      <c r="I320" s="42">
        <f t="shared" si="17"/>
        <v>34068.18</v>
      </c>
      <c r="J320" s="42">
        <f t="shared" si="17"/>
        <v>50088.15</v>
      </c>
      <c r="K320" s="42">
        <f t="shared" si="17"/>
        <v>3177.89</v>
      </c>
      <c r="L320" s="41">
        <f t="shared" si="17"/>
        <v>608778.89999999991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102109.98</v>
      </c>
      <c r="G325" s="18">
        <v>58668.06</v>
      </c>
      <c r="H325" s="18">
        <v>23851.83</v>
      </c>
      <c r="I325" s="18">
        <v>10122.83</v>
      </c>
      <c r="J325" s="18"/>
      <c r="K325" s="18">
        <v>1358.7</v>
      </c>
      <c r="L325" s="19">
        <f t="shared" si="18"/>
        <v>196111.4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45396.86</v>
      </c>
      <c r="G327" s="18">
        <v>35853.14</v>
      </c>
      <c r="H327" s="18">
        <v>1500</v>
      </c>
      <c r="I327" s="18"/>
      <c r="J327" s="18"/>
      <c r="K327" s="18"/>
      <c r="L327" s="19">
        <f t="shared" si="18"/>
        <v>82750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147506.84</v>
      </c>
      <c r="G329" s="41">
        <f t="shared" si="19"/>
        <v>94521.2</v>
      </c>
      <c r="H329" s="41">
        <f t="shared" si="19"/>
        <v>25351.83</v>
      </c>
      <c r="I329" s="41">
        <f t="shared" si="19"/>
        <v>10122.83</v>
      </c>
      <c r="J329" s="41">
        <f t="shared" si="19"/>
        <v>0</v>
      </c>
      <c r="K329" s="41">
        <f t="shared" si="19"/>
        <v>1358.7</v>
      </c>
      <c r="L329" s="41">
        <f t="shared" si="18"/>
        <v>278861.40000000002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1121791.5</v>
      </c>
      <c r="G330" s="41">
        <f t="shared" si="20"/>
        <v>534643.36</v>
      </c>
      <c r="H330" s="41">
        <f t="shared" si="20"/>
        <v>261827.63</v>
      </c>
      <c r="I330" s="41">
        <f t="shared" si="20"/>
        <v>123699.43999999999</v>
      </c>
      <c r="J330" s="41">
        <f t="shared" si="20"/>
        <v>113613.9</v>
      </c>
      <c r="K330" s="41">
        <f t="shared" si="20"/>
        <v>4536.59</v>
      </c>
      <c r="L330" s="41">
        <f t="shared" si="20"/>
        <v>2160112.42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1121791.5</v>
      </c>
      <c r="G344" s="41">
        <f>G330</f>
        <v>534643.36</v>
      </c>
      <c r="H344" s="41">
        <f>H330</f>
        <v>261827.63</v>
      </c>
      <c r="I344" s="41">
        <f>I330</f>
        <v>123699.43999999999</v>
      </c>
      <c r="J344" s="41">
        <f>J330</f>
        <v>113613.9</v>
      </c>
      <c r="K344" s="47">
        <f>K330+K343</f>
        <v>4536.59</v>
      </c>
      <c r="L344" s="41">
        <f>L330+L343</f>
        <v>2160112.42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201485.19</v>
      </c>
      <c r="G350" s="18">
        <v>22984.81</v>
      </c>
      <c r="H350" s="18">
        <v>11353.39</v>
      </c>
      <c r="I350" s="18">
        <v>237687.64</v>
      </c>
      <c r="J350" s="18">
        <v>2539.91</v>
      </c>
      <c r="K350" s="18"/>
      <c r="L350" s="13">
        <f>SUM(F350:K350)</f>
        <v>476050.94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80594.070000000007</v>
      </c>
      <c r="G351" s="18">
        <v>9193.93</v>
      </c>
      <c r="H351" s="18">
        <v>4541.3599999999997</v>
      </c>
      <c r="I351" s="18">
        <v>95075.05</v>
      </c>
      <c r="J351" s="18">
        <v>1015.96</v>
      </c>
      <c r="K351" s="18"/>
      <c r="L351" s="19">
        <f>SUM(F351:K351)</f>
        <v>190420.37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120891.11</v>
      </c>
      <c r="G352" s="18">
        <v>13790.89</v>
      </c>
      <c r="H352" s="18">
        <v>6812.04</v>
      </c>
      <c r="I352" s="18">
        <v>142612.57999999999</v>
      </c>
      <c r="J352" s="18">
        <v>1523.95</v>
      </c>
      <c r="K352" s="18"/>
      <c r="L352" s="19">
        <f>SUM(F352:K352)</f>
        <v>285630.57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402970.37</v>
      </c>
      <c r="G354" s="47">
        <f t="shared" si="22"/>
        <v>45969.630000000005</v>
      </c>
      <c r="H354" s="47">
        <f t="shared" si="22"/>
        <v>22706.79</v>
      </c>
      <c r="I354" s="47">
        <f t="shared" si="22"/>
        <v>475375.27</v>
      </c>
      <c r="J354" s="47">
        <f t="shared" si="22"/>
        <v>5079.82</v>
      </c>
      <c r="K354" s="47">
        <f t="shared" si="22"/>
        <v>0</v>
      </c>
      <c r="L354" s="47">
        <f t="shared" si="22"/>
        <v>952101.88000000012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216067.8</v>
      </c>
      <c r="G359" s="18">
        <v>86427.11</v>
      </c>
      <c r="H359" s="18">
        <v>129640.68</v>
      </c>
      <c r="I359" s="56">
        <f>SUM(F359:H359)</f>
        <v>432135.58999999997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21619.84</v>
      </c>
      <c r="G360" s="63">
        <v>8647.94</v>
      </c>
      <c r="H360" s="63">
        <v>12971.9</v>
      </c>
      <c r="I360" s="56">
        <f>SUM(F360:H360)</f>
        <v>43239.68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237687.63999999998</v>
      </c>
      <c r="G361" s="47">
        <f>SUM(G359:G360)</f>
        <v>95075.05</v>
      </c>
      <c r="H361" s="47">
        <f>SUM(H359:H360)</f>
        <v>142612.57999999999</v>
      </c>
      <c r="I361" s="47">
        <f>SUM(I359:I360)</f>
        <v>475375.26999999996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>
        <v>11302.4</v>
      </c>
      <c r="K367" s="18"/>
      <c r="L367" s="13">
        <f t="shared" ref="L367:L373" si="23">SUM(F367:K367)</f>
        <v>11302.4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1871854.69</v>
      </c>
      <c r="I370" s="18"/>
      <c r="J370" s="18">
        <v>11514597.75</v>
      </c>
      <c r="K370" s="18"/>
      <c r="L370" s="13">
        <f t="shared" si="23"/>
        <v>13386452.439999999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10212</v>
      </c>
      <c r="I371" s="18"/>
      <c r="J371" s="18">
        <v>306402.92</v>
      </c>
      <c r="K371" s="18"/>
      <c r="L371" s="13">
        <f t="shared" si="23"/>
        <v>316614.92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64706.16</v>
      </c>
      <c r="L373" s="13">
        <f t="shared" si="23"/>
        <v>64706.16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1882066.69</v>
      </c>
      <c r="I374" s="41">
        <f t="shared" si="24"/>
        <v>0</v>
      </c>
      <c r="J374" s="47">
        <f t="shared" si="24"/>
        <v>11832303.07</v>
      </c>
      <c r="K374" s="47">
        <f t="shared" si="24"/>
        <v>64706.16</v>
      </c>
      <c r="L374" s="47">
        <f t="shared" si="24"/>
        <v>13779075.92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57.04</v>
      </c>
      <c r="I387" s="18"/>
      <c r="J387" s="24" t="s">
        <v>312</v>
      </c>
      <c r="K387" s="24" t="s">
        <v>312</v>
      </c>
      <c r="L387" s="56">
        <f t="shared" ref="L387:L392" si="26">SUM(F387:K387)</f>
        <v>57.04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3762.96</v>
      </c>
      <c r="I388" s="18"/>
      <c r="J388" s="24" t="s">
        <v>312</v>
      </c>
      <c r="K388" s="24" t="s">
        <v>312</v>
      </c>
      <c r="L388" s="56">
        <f t="shared" si="26"/>
        <v>3762.96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3995.44</v>
      </c>
      <c r="I389" s="18"/>
      <c r="J389" s="24" t="s">
        <v>312</v>
      </c>
      <c r="K389" s="24" t="s">
        <v>312</v>
      </c>
      <c r="L389" s="56">
        <f t="shared" si="26"/>
        <v>3995.44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23376.89</v>
      </c>
      <c r="I392" s="18"/>
      <c r="J392" s="24" t="s">
        <v>312</v>
      </c>
      <c r="K392" s="24" t="s">
        <v>312</v>
      </c>
      <c r="L392" s="56">
        <f t="shared" si="26"/>
        <v>23376.89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31192.33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31192.33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31192.33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31192.33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9970.07</v>
      </c>
      <c r="I410" s="18"/>
      <c r="J410" s="18"/>
      <c r="K410" s="18"/>
      <c r="L410" s="56">
        <f t="shared" si="27"/>
        <v>9970.07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9970.07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9970.07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9970.07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9970.07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43934.1</v>
      </c>
      <c r="H433" s="18"/>
      <c r="I433" s="56">
        <f t="shared" si="33"/>
        <v>43934.1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1130003.05</v>
      </c>
      <c r="H434" s="18"/>
      <c r="I434" s="56">
        <f t="shared" si="33"/>
        <v>1130003.05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1173937.1500000001</v>
      </c>
      <c r="H438" s="13">
        <f>SUM(H431:H437)</f>
        <v>0</v>
      </c>
      <c r="I438" s="13">
        <f>SUM(I431:I437)</f>
        <v>1173937.1500000001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1173937.1499999999</v>
      </c>
      <c r="H449" s="18"/>
      <c r="I449" s="56">
        <f>SUM(F449:H449)</f>
        <v>1173937.1499999999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1173937.1499999999</v>
      </c>
      <c r="H450" s="83">
        <f>SUM(H446:H449)</f>
        <v>0</v>
      </c>
      <c r="I450" s="83">
        <f>SUM(I446:I449)</f>
        <v>1173937.1499999999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1173937.1499999999</v>
      </c>
      <c r="H451" s="42">
        <f>H444+H450</f>
        <v>0</v>
      </c>
      <c r="I451" s="42">
        <f>I444+I450</f>
        <v>1173937.1499999999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2196249.27</v>
      </c>
      <c r="G455" s="18">
        <v>55074.3</v>
      </c>
      <c r="H455" s="18"/>
      <c r="I455" s="18">
        <v>-197728.51</v>
      </c>
      <c r="J455" s="18">
        <v>1152714.8899999999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38088785.219999999</v>
      </c>
      <c r="G458" s="18">
        <v>1003799.56</v>
      </c>
      <c r="H458" s="18">
        <v>2160112.42</v>
      </c>
      <c r="I458" s="18">
        <v>26875290.079999998</v>
      </c>
      <c r="J458" s="18">
        <v>31192.33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38088785.219999999</v>
      </c>
      <c r="G460" s="53">
        <f>SUM(G458:G459)</f>
        <v>1003799.56</v>
      </c>
      <c r="H460" s="53">
        <f>SUM(H458:H459)</f>
        <v>2160112.42</v>
      </c>
      <c r="I460" s="53">
        <f>SUM(I458:I459)</f>
        <v>26875290.079999998</v>
      </c>
      <c r="J460" s="53">
        <f>SUM(J458:J459)</f>
        <v>31192.33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36595284.009999998</v>
      </c>
      <c r="G462" s="18">
        <v>952101.88</v>
      </c>
      <c r="H462" s="18">
        <v>2160112.42</v>
      </c>
      <c r="I462" s="18">
        <v>13779075.92</v>
      </c>
      <c r="J462" s="18">
        <v>9970.07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36595284.009999998</v>
      </c>
      <c r="G464" s="53">
        <f>SUM(G462:G463)</f>
        <v>952101.88</v>
      </c>
      <c r="H464" s="53">
        <f>SUM(H462:H463)</f>
        <v>2160112.42</v>
      </c>
      <c r="I464" s="53">
        <f>SUM(I462:I463)</f>
        <v>13779075.92</v>
      </c>
      <c r="J464" s="53">
        <f>SUM(J462:J463)</f>
        <v>9970.07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3689750.4800000042</v>
      </c>
      <c r="G466" s="53">
        <f>(G455+G460)- G464</f>
        <v>106771.9800000001</v>
      </c>
      <c r="H466" s="53">
        <f>(H455+H460)- H464</f>
        <v>0</v>
      </c>
      <c r="I466" s="53">
        <f>(I455+I460)- I464</f>
        <v>12898485.649999997</v>
      </c>
      <c r="J466" s="53">
        <f>(J455+J460)- J464</f>
        <v>1173937.1499999999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>
        <v>5</v>
      </c>
      <c r="I480" s="154">
        <v>30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899</v>
      </c>
      <c r="I481" s="155" t="s">
        <v>901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896</v>
      </c>
      <c r="H482" s="155" t="s">
        <v>900</v>
      </c>
      <c r="I482" s="155" t="s">
        <v>902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2717849</v>
      </c>
      <c r="G483" s="18">
        <v>2996343</v>
      </c>
      <c r="H483" s="18">
        <v>325000</v>
      </c>
      <c r="I483" s="18">
        <v>25000000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897</v>
      </c>
      <c r="G484" s="18" t="s">
        <v>898</v>
      </c>
      <c r="H484" s="18">
        <v>3.61</v>
      </c>
      <c r="I484" s="18">
        <v>4.3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606960</v>
      </c>
      <c r="G485" s="18">
        <v>1274400</v>
      </c>
      <c r="H485" s="18">
        <v>325000</v>
      </c>
      <c r="I485" s="18"/>
      <c r="J485" s="18"/>
      <c r="K485" s="53">
        <f>SUM(F485:J485)</f>
        <v>2206360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>
        <v>25000000</v>
      </c>
      <c r="J486" s="18"/>
      <c r="K486" s="53">
        <f t="shared" ref="K486:K493" si="34">SUM(F486:J486)</f>
        <v>25000000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135000</v>
      </c>
      <c r="G487" s="18">
        <v>295000</v>
      </c>
      <c r="H487" s="18">
        <v>65000</v>
      </c>
      <c r="I487" s="18">
        <v>286284.52</v>
      </c>
      <c r="J487" s="18"/>
      <c r="K487" s="53">
        <f t="shared" si="34"/>
        <v>781284.52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471960</v>
      </c>
      <c r="G488" s="205">
        <v>979400</v>
      </c>
      <c r="H488" s="205">
        <v>260000</v>
      </c>
      <c r="I488" s="205">
        <v>24713715.48</v>
      </c>
      <c r="J488" s="205"/>
      <c r="K488" s="206">
        <f t="shared" si="34"/>
        <v>26425075.48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37665</v>
      </c>
      <c r="G489" s="18">
        <v>53100</v>
      </c>
      <c r="H489" s="18">
        <v>23465</v>
      </c>
      <c r="I489" s="18">
        <v>20205314.800000001</v>
      </c>
      <c r="J489" s="18"/>
      <c r="K489" s="53">
        <f t="shared" si="34"/>
        <v>20319544.800000001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509625</v>
      </c>
      <c r="G490" s="42">
        <f>SUM(G488:G489)</f>
        <v>1032500</v>
      </c>
      <c r="H490" s="42">
        <f>SUM(H488:H489)</f>
        <v>283465</v>
      </c>
      <c r="I490" s="42">
        <f>SUM(I488:I489)</f>
        <v>44919030.280000001</v>
      </c>
      <c r="J490" s="42">
        <f>SUM(J488:J489)</f>
        <v>0</v>
      </c>
      <c r="K490" s="42">
        <f t="shared" si="34"/>
        <v>46744620.280000001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135000</v>
      </c>
      <c r="G491" s="205">
        <v>295000</v>
      </c>
      <c r="H491" s="205">
        <v>65000</v>
      </c>
      <c r="I491" s="205">
        <v>1431194.75</v>
      </c>
      <c r="J491" s="205"/>
      <c r="K491" s="206">
        <f t="shared" si="34"/>
        <v>1926194.75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20925</v>
      </c>
      <c r="G492" s="18">
        <v>29500</v>
      </c>
      <c r="H492" s="18">
        <v>9386</v>
      </c>
      <c r="I492" s="18">
        <v>67207.75</v>
      </c>
      <c r="J492" s="18"/>
      <c r="K492" s="53">
        <f t="shared" si="34"/>
        <v>127018.75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155925</v>
      </c>
      <c r="G493" s="42">
        <f>SUM(G491:G492)</f>
        <v>324500</v>
      </c>
      <c r="H493" s="42">
        <f>SUM(H491:H492)</f>
        <v>74386</v>
      </c>
      <c r="I493" s="42">
        <f>SUM(I491:I492)</f>
        <v>1498402.5</v>
      </c>
      <c r="J493" s="42">
        <f>SUM(J491:J492)</f>
        <v>0</v>
      </c>
      <c r="K493" s="42">
        <f t="shared" si="34"/>
        <v>2053213.5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657730</v>
      </c>
      <c r="G497" s="144">
        <v>113876</v>
      </c>
      <c r="H497" s="144"/>
      <c r="I497" s="144">
        <v>771606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867743</v>
      </c>
      <c r="G501" s="24" t="s">
        <v>312</v>
      </c>
      <c r="H501" s="18">
        <v>867743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74800</v>
      </c>
      <c r="G502" s="24" t="s">
        <v>312</v>
      </c>
      <c r="H502" s="18">
        <v>56100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9397463.7799999993</v>
      </c>
      <c r="G503" s="24" t="s">
        <v>312</v>
      </c>
      <c r="H503" s="18">
        <v>9113372.2400000002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931495.42</v>
      </c>
      <c r="G504" s="24" t="s">
        <v>312</v>
      </c>
      <c r="H504" s="18">
        <v>938281.63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330565</v>
      </c>
      <c r="G505" s="24" t="s">
        <v>312</v>
      </c>
      <c r="H505" s="18">
        <v>13595483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11602067.199999999</v>
      </c>
      <c r="G507" s="42">
        <f>SUM(G501:G506)</f>
        <v>0</v>
      </c>
      <c r="H507" s="42">
        <f>SUM(H501:H506)</f>
        <v>24570979.870000001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1354387.47</v>
      </c>
      <c r="G511" s="18">
        <v>588088.18999999994</v>
      </c>
      <c r="H511" s="18">
        <v>335807.66</v>
      </c>
      <c r="I511" s="18">
        <v>14674.59</v>
      </c>
      <c r="J511" s="18">
        <v>7724.17</v>
      </c>
      <c r="K511" s="18">
        <v>329.58</v>
      </c>
      <c r="L511" s="88">
        <f>SUM(F511:K511)</f>
        <v>2301011.6599999997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460491.74</v>
      </c>
      <c r="G512" s="18">
        <v>199949.98</v>
      </c>
      <c r="H512" s="18">
        <v>114174.59</v>
      </c>
      <c r="I512" s="18">
        <v>4989.3599999999997</v>
      </c>
      <c r="J512" s="18">
        <v>2626.22</v>
      </c>
      <c r="K512" s="18">
        <v>112.07</v>
      </c>
      <c r="L512" s="88">
        <f>SUM(F512:K512)</f>
        <v>782343.95999999985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893895.74</v>
      </c>
      <c r="G513" s="18">
        <v>388138.19</v>
      </c>
      <c r="H513" s="18">
        <v>221633.04</v>
      </c>
      <c r="I513" s="18">
        <v>9685.23</v>
      </c>
      <c r="J513" s="18">
        <v>5097.96</v>
      </c>
      <c r="K513" s="18">
        <v>217.54</v>
      </c>
      <c r="L513" s="88">
        <f>SUM(F513:K513)</f>
        <v>1518667.7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2708774.95</v>
      </c>
      <c r="G514" s="108">
        <f t="shared" ref="G514:L514" si="35">SUM(G511:G513)</f>
        <v>1176176.3599999999</v>
      </c>
      <c r="H514" s="108">
        <f t="shared" si="35"/>
        <v>671615.29</v>
      </c>
      <c r="I514" s="108">
        <f t="shared" si="35"/>
        <v>29349.18</v>
      </c>
      <c r="J514" s="108">
        <f t="shared" si="35"/>
        <v>15448.349999999999</v>
      </c>
      <c r="K514" s="108">
        <f t="shared" si="35"/>
        <v>659.18999999999994</v>
      </c>
      <c r="L514" s="89">
        <f t="shared" si="35"/>
        <v>4602023.3199999994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634869.13</v>
      </c>
      <c r="G516" s="18">
        <v>275666.33</v>
      </c>
      <c r="H516" s="18">
        <v>157409.82999999999</v>
      </c>
      <c r="I516" s="18">
        <v>6878.72</v>
      </c>
      <c r="J516" s="18">
        <v>3620.71</v>
      </c>
      <c r="K516" s="18">
        <v>154.5</v>
      </c>
      <c r="L516" s="88">
        <f>SUM(F516:K516)</f>
        <v>1078599.22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215855.51</v>
      </c>
      <c r="G517" s="18">
        <v>93726.55</v>
      </c>
      <c r="H517" s="18">
        <v>53519.34</v>
      </c>
      <c r="I517" s="18">
        <v>2338.7600000000002</v>
      </c>
      <c r="J517" s="18">
        <v>1231.04</v>
      </c>
      <c r="K517" s="18">
        <v>52.53</v>
      </c>
      <c r="L517" s="88">
        <f>SUM(F517:K517)</f>
        <v>366723.73000000004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419013.63</v>
      </c>
      <c r="G518" s="18">
        <v>181939.78</v>
      </c>
      <c r="H518" s="18">
        <v>103890.49</v>
      </c>
      <c r="I518" s="18">
        <v>4539.95</v>
      </c>
      <c r="J518" s="18">
        <v>2389.67</v>
      </c>
      <c r="K518" s="18">
        <v>101.96</v>
      </c>
      <c r="L518" s="88">
        <f>SUM(F518:K518)</f>
        <v>711875.48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1269738.27</v>
      </c>
      <c r="G519" s="89">
        <f t="shared" ref="G519:L519" si="36">SUM(G516:G518)</f>
        <v>551332.66</v>
      </c>
      <c r="H519" s="89">
        <f t="shared" si="36"/>
        <v>314819.65999999997</v>
      </c>
      <c r="I519" s="89">
        <f t="shared" si="36"/>
        <v>13757.43</v>
      </c>
      <c r="J519" s="89">
        <f t="shared" si="36"/>
        <v>7241.42</v>
      </c>
      <c r="K519" s="89">
        <f t="shared" si="36"/>
        <v>308.99</v>
      </c>
      <c r="L519" s="89">
        <f t="shared" si="36"/>
        <v>2157198.4299999997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126973.83</v>
      </c>
      <c r="G521" s="18">
        <v>55133.27</v>
      </c>
      <c r="H521" s="18">
        <v>31481.97</v>
      </c>
      <c r="I521" s="18">
        <v>1375.74</v>
      </c>
      <c r="J521" s="18">
        <v>724.13</v>
      </c>
      <c r="K521" s="18">
        <v>30.9</v>
      </c>
      <c r="L521" s="88">
        <f>SUM(F521:K521)</f>
        <v>215719.84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43171.1</v>
      </c>
      <c r="G522" s="18">
        <v>18745.310000000001</v>
      </c>
      <c r="H522" s="18">
        <v>10703.87</v>
      </c>
      <c r="I522" s="18">
        <v>467.75</v>
      </c>
      <c r="J522" s="18">
        <v>246.21</v>
      </c>
      <c r="K522" s="18">
        <v>10.51</v>
      </c>
      <c r="L522" s="88">
        <f>SUM(F522:K522)</f>
        <v>73344.75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83802.73</v>
      </c>
      <c r="G523" s="18">
        <v>36387.96</v>
      </c>
      <c r="H523" s="18">
        <v>20778.099999999999</v>
      </c>
      <c r="I523" s="18">
        <v>907.99</v>
      </c>
      <c r="J523" s="18">
        <v>477.93</v>
      </c>
      <c r="K523" s="18">
        <v>20.39</v>
      </c>
      <c r="L523" s="88">
        <f>SUM(F523:K523)</f>
        <v>142375.1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253947.65999999997</v>
      </c>
      <c r="G524" s="89">
        <f t="shared" ref="G524:L524" si="37">SUM(G521:G523)</f>
        <v>110266.54000000001</v>
      </c>
      <c r="H524" s="89">
        <f t="shared" si="37"/>
        <v>62963.94</v>
      </c>
      <c r="I524" s="89">
        <f t="shared" si="37"/>
        <v>2751.48</v>
      </c>
      <c r="J524" s="89">
        <f t="shared" si="37"/>
        <v>1448.27</v>
      </c>
      <c r="K524" s="89">
        <f t="shared" si="37"/>
        <v>61.8</v>
      </c>
      <c r="L524" s="89">
        <f t="shared" si="37"/>
        <v>431439.68999999994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8045.04</v>
      </c>
      <c r="I526" s="18"/>
      <c r="J526" s="18"/>
      <c r="K526" s="18"/>
      <c r="L526" s="88">
        <f>SUM(F526:K526)</f>
        <v>8045.04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2735.31</v>
      </c>
      <c r="I527" s="18"/>
      <c r="J527" s="18"/>
      <c r="K527" s="18"/>
      <c r="L527" s="88">
        <f>SUM(F527:K527)</f>
        <v>2735.31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5309.72</v>
      </c>
      <c r="I528" s="18"/>
      <c r="J528" s="18"/>
      <c r="K528" s="18"/>
      <c r="L528" s="88">
        <f>SUM(F528:K528)</f>
        <v>5309.72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16090.07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16090.07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77919.14</v>
      </c>
      <c r="G531" s="18">
        <v>12665.38</v>
      </c>
      <c r="H531" s="18">
        <v>63288.42</v>
      </c>
      <c r="I531" s="18">
        <v>694.4</v>
      </c>
      <c r="J531" s="18"/>
      <c r="K531" s="18"/>
      <c r="L531" s="88">
        <f>SUM(F531:K531)</f>
        <v>154567.34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26492.51</v>
      </c>
      <c r="G532" s="18">
        <v>4306.2299999999996</v>
      </c>
      <c r="H532" s="18">
        <v>21518.06</v>
      </c>
      <c r="I532" s="18">
        <v>236.1</v>
      </c>
      <c r="J532" s="18"/>
      <c r="K532" s="18"/>
      <c r="L532" s="88">
        <f>SUM(F532:K532)</f>
        <v>52552.9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51426.63</v>
      </c>
      <c r="G533" s="18">
        <v>8359.15</v>
      </c>
      <c r="H533" s="18">
        <v>41770.36</v>
      </c>
      <c r="I533" s="18">
        <v>458.3</v>
      </c>
      <c r="J533" s="18"/>
      <c r="K533" s="18"/>
      <c r="L533" s="88">
        <f>SUM(F533:K533)</f>
        <v>102014.44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155838.28</v>
      </c>
      <c r="G534" s="194">
        <f t="shared" ref="G534:L534" si="39">SUM(G531:G533)</f>
        <v>25330.760000000002</v>
      </c>
      <c r="H534" s="194">
        <f t="shared" si="39"/>
        <v>126576.84</v>
      </c>
      <c r="I534" s="194">
        <f t="shared" si="39"/>
        <v>1388.8</v>
      </c>
      <c r="J534" s="194">
        <f t="shared" si="39"/>
        <v>0</v>
      </c>
      <c r="K534" s="194">
        <f t="shared" si="39"/>
        <v>0</v>
      </c>
      <c r="L534" s="194">
        <f t="shared" si="39"/>
        <v>309134.68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4388299.16</v>
      </c>
      <c r="G535" s="89">
        <f t="shared" ref="G535:L535" si="40">G514+G519+G524+G529+G534</f>
        <v>1863106.32</v>
      </c>
      <c r="H535" s="89">
        <f t="shared" si="40"/>
        <v>1192065.8</v>
      </c>
      <c r="I535" s="89">
        <f t="shared" si="40"/>
        <v>47246.890000000007</v>
      </c>
      <c r="J535" s="89">
        <f t="shared" si="40"/>
        <v>24138.039999999997</v>
      </c>
      <c r="K535" s="89">
        <f t="shared" si="40"/>
        <v>1029.98</v>
      </c>
      <c r="L535" s="89">
        <f t="shared" si="40"/>
        <v>7515886.1899999995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2301011.6599999997</v>
      </c>
      <c r="G539" s="87">
        <f>L516</f>
        <v>1078599.22</v>
      </c>
      <c r="H539" s="87">
        <f>L521</f>
        <v>215719.84</v>
      </c>
      <c r="I539" s="87">
        <f>L526</f>
        <v>8045.04</v>
      </c>
      <c r="J539" s="87">
        <f>L531</f>
        <v>154567.34</v>
      </c>
      <c r="K539" s="87">
        <f>SUM(F539:J539)</f>
        <v>3757943.0999999996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782343.95999999985</v>
      </c>
      <c r="G540" s="87">
        <f>L517</f>
        <v>366723.73000000004</v>
      </c>
      <c r="H540" s="87">
        <f>L522</f>
        <v>73344.75</v>
      </c>
      <c r="I540" s="87">
        <f>L527</f>
        <v>2735.31</v>
      </c>
      <c r="J540" s="87">
        <f>L532</f>
        <v>52552.9</v>
      </c>
      <c r="K540" s="87">
        <f>SUM(F540:J540)</f>
        <v>1277700.6499999999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1518667.7</v>
      </c>
      <c r="G541" s="87">
        <f>L518</f>
        <v>711875.48</v>
      </c>
      <c r="H541" s="87">
        <f>L523</f>
        <v>142375.1</v>
      </c>
      <c r="I541" s="87">
        <f>L528</f>
        <v>5309.72</v>
      </c>
      <c r="J541" s="87">
        <f>L533</f>
        <v>102014.44</v>
      </c>
      <c r="K541" s="87">
        <f>SUM(F541:J541)</f>
        <v>2480242.44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4602023.3199999994</v>
      </c>
      <c r="G542" s="89">
        <f t="shared" si="41"/>
        <v>2157198.4299999997</v>
      </c>
      <c r="H542" s="89">
        <f t="shared" si="41"/>
        <v>431439.68999999994</v>
      </c>
      <c r="I542" s="89">
        <f t="shared" si="41"/>
        <v>16090.07</v>
      </c>
      <c r="J542" s="89">
        <f t="shared" si="41"/>
        <v>309134.68</v>
      </c>
      <c r="K542" s="89">
        <f t="shared" si="41"/>
        <v>7515886.1899999995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51772.5</v>
      </c>
      <c r="G547" s="18">
        <v>7700.24</v>
      </c>
      <c r="H547" s="18">
        <v>389.97</v>
      </c>
      <c r="I547" s="18">
        <v>462.17</v>
      </c>
      <c r="J547" s="18"/>
      <c r="K547" s="18"/>
      <c r="L547" s="88">
        <f>SUM(F547:K547)</f>
        <v>60324.88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20709</v>
      </c>
      <c r="G548" s="18">
        <v>3080.09</v>
      </c>
      <c r="H548" s="18">
        <v>117.99</v>
      </c>
      <c r="I548" s="18">
        <v>82.19</v>
      </c>
      <c r="J548" s="18"/>
      <c r="K548" s="18"/>
      <c r="L548" s="88">
        <f>SUM(F548:K548)</f>
        <v>23989.27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31063.5</v>
      </c>
      <c r="G549" s="18">
        <v>4620.1400000000003</v>
      </c>
      <c r="H549" s="18">
        <v>176.98</v>
      </c>
      <c r="I549" s="18">
        <v>123.28</v>
      </c>
      <c r="J549" s="18">
        <v>1103.92</v>
      </c>
      <c r="K549" s="18"/>
      <c r="L549" s="88">
        <f>SUM(F549:K549)</f>
        <v>37087.82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103545</v>
      </c>
      <c r="G550" s="108">
        <f t="shared" si="42"/>
        <v>15400.470000000001</v>
      </c>
      <c r="H550" s="108">
        <f t="shared" si="42"/>
        <v>684.94</v>
      </c>
      <c r="I550" s="108">
        <f t="shared" si="42"/>
        <v>667.64</v>
      </c>
      <c r="J550" s="108">
        <f t="shared" si="42"/>
        <v>1103.92</v>
      </c>
      <c r="K550" s="108">
        <f t="shared" si="42"/>
        <v>0</v>
      </c>
      <c r="L550" s="89">
        <f t="shared" si="42"/>
        <v>121401.97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103545</v>
      </c>
      <c r="G561" s="89">
        <f t="shared" ref="G561:L561" si="45">G550+G555+G560</f>
        <v>15400.470000000001</v>
      </c>
      <c r="H561" s="89">
        <f t="shared" si="45"/>
        <v>684.94</v>
      </c>
      <c r="I561" s="89">
        <f t="shared" si="45"/>
        <v>667.64</v>
      </c>
      <c r="J561" s="89">
        <f t="shared" si="45"/>
        <v>1103.92</v>
      </c>
      <c r="K561" s="89">
        <f t="shared" si="45"/>
        <v>0</v>
      </c>
      <c r="L561" s="89">
        <f t="shared" si="45"/>
        <v>121401.97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65910.48</v>
      </c>
      <c r="G569" s="18"/>
      <c r="H569" s="18"/>
      <c r="I569" s="87">
        <f t="shared" si="46"/>
        <v>65910.48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196219.54</v>
      </c>
      <c r="G572" s="18">
        <v>35940.519999999997</v>
      </c>
      <c r="H572" s="18">
        <v>413338.26</v>
      </c>
      <c r="I572" s="87">
        <f t="shared" si="46"/>
        <v>645498.32000000007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175705.14</v>
      </c>
      <c r="I573" s="87">
        <f t="shared" si="46"/>
        <v>175705.14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1003131.34</v>
      </c>
      <c r="I581" s="18">
        <v>166482.06</v>
      </c>
      <c r="J581" s="18">
        <v>288937.65000000002</v>
      </c>
      <c r="K581" s="104">
        <f t="shared" ref="K581:K587" si="47">SUM(H581:J581)</f>
        <v>1458551.0499999998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154567.34</v>
      </c>
      <c r="I582" s="18">
        <v>52552.9</v>
      </c>
      <c r="J582" s="18">
        <v>102014.44</v>
      </c>
      <c r="K582" s="104">
        <f t="shared" si="47"/>
        <v>309134.68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2213.6</v>
      </c>
      <c r="K583" s="104">
        <f t="shared" si="47"/>
        <v>2213.6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24675.11</v>
      </c>
      <c r="J584" s="18">
        <v>37012.660000000003</v>
      </c>
      <c r="K584" s="104">
        <f t="shared" si="47"/>
        <v>61687.770000000004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19488.21</v>
      </c>
      <c r="I585" s="18">
        <v>7795.28</v>
      </c>
      <c r="J585" s="18">
        <v>11692.92</v>
      </c>
      <c r="K585" s="104">
        <f t="shared" si="47"/>
        <v>38976.409999999996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56603.28</v>
      </c>
      <c r="I587" s="18">
        <v>22641.31</v>
      </c>
      <c r="J587" s="18">
        <v>33961.97</v>
      </c>
      <c r="K587" s="104">
        <f t="shared" si="47"/>
        <v>113206.56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1233790.17</v>
      </c>
      <c r="I588" s="108">
        <f>SUM(I581:I587)</f>
        <v>274146.66000000003</v>
      </c>
      <c r="J588" s="108">
        <f>SUM(J581:J587)</f>
        <v>475833.24</v>
      </c>
      <c r="K588" s="108">
        <f>SUM(K581:K587)</f>
        <v>1983770.0699999998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2592.4</v>
      </c>
      <c r="I592" s="18"/>
      <c r="J592" s="18"/>
      <c r="K592" s="104">
        <f>SUM(H592:J592)</f>
        <v>2592.4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291075.53999999998</v>
      </c>
      <c r="I594" s="18">
        <v>177753.21</v>
      </c>
      <c r="J594" s="18">
        <v>336112.14</v>
      </c>
      <c r="K594" s="104">
        <f>SUM(H594:J594)</f>
        <v>804940.89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293667.94</v>
      </c>
      <c r="I595" s="108">
        <f>SUM(I592:I594)</f>
        <v>177753.21</v>
      </c>
      <c r="J595" s="108">
        <f>SUM(J592:J594)</f>
        <v>336112.14</v>
      </c>
      <c r="K595" s="108">
        <f>SUM(K592:K594)</f>
        <v>807533.29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26662.5</v>
      </c>
      <c r="G601" s="18">
        <v>3806.13</v>
      </c>
      <c r="H601" s="18"/>
      <c r="I601" s="18"/>
      <c r="J601" s="18"/>
      <c r="K601" s="18"/>
      <c r="L601" s="88">
        <f>SUM(F601:K601)</f>
        <v>30468.63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>
        <v>1000</v>
      </c>
      <c r="I602" s="18"/>
      <c r="J602" s="18"/>
      <c r="K602" s="18"/>
      <c r="L602" s="88">
        <f>SUM(F602:K602)</f>
        <v>1000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29791.5</v>
      </c>
      <c r="G603" s="18">
        <v>4305.8900000000003</v>
      </c>
      <c r="H603" s="18"/>
      <c r="I603" s="18">
        <v>582.47</v>
      </c>
      <c r="J603" s="18"/>
      <c r="K603" s="18"/>
      <c r="L603" s="88">
        <f>SUM(F603:K603)</f>
        <v>34679.86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56454</v>
      </c>
      <c r="G604" s="108">
        <f t="shared" si="48"/>
        <v>8112.02</v>
      </c>
      <c r="H604" s="108">
        <f t="shared" si="48"/>
        <v>1000</v>
      </c>
      <c r="I604" s="108">
        <f t="shared" si="48"/>
        <v>582.47</v>
      </c>
      <c r="J604" s="108">
        <f t="shared" si="48"/>
        <v>0</v>
      </c>
      <c r="K604" s="108">
        <f t="shared" si="48"/>
        <v>0</v>
      </c>
      <c r="L604" s="89">
        <f t="shared" si="48"/>
        <v>66148.490000000005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3833214.0100000002</v>
      </c>
      <c r="H607" s="109">
        <f>SUM(F44)</f>
        <v>3833214.01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123696.09999999999</v>
      </c>
      <c r="H608" s="109">
        <f>SUM(G44)</f>
        <v>123696.09999999999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149643.63</v>
      </c>
      <c r="H609" s="109">
        <f>SUM(H44)</f>
        <v>149643.63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16201132.989999998</v>
      </c>
      <c r="H610" s="109">
        <f>SUM(I44)</f>
        <v>16201132.99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1173937.1500000001</v>
      </c>
      <c r="H611" s="109">
        <f>SUM(J44)</f>
        <v>1173937.1499999999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3689750.48</v>
      </c>
      <c r="H612" s="109">
        <f>F466</f>
        <v>3689750.4800000042</v>
      </c>
      <c r="I612" s="121" t="s">
        <v>106</v>
      </c>
      <c r="J612" s="109">
        <f t="shared" ref="J612:J645" si="49">G612-H612</f>
        <v>-4.1909515857696533E-9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106771.98</v>
      </c>
      <c r="H613" s="109">
        <f>G466</f>
        <v>106771.9800000001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12898485.65</v>
      </c>
      <c r="H615" s="109">
        <f>I466</f>
        <v>12898485.649999997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1173937.1499999999</v>
      </c>
      <c r="H616" s="109">
        <f>J466</f>
        <v>1173937.1499999999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38088785.219999999</v>
      </c>
      <c r="H617" s="104">
        <f>SUM(F458)</f>
        <v>38088785.219999999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1003799.56</v>
      </c>
      <c r="H618" s="104">
        <f>SUM(G458)</f>
        <v>1003799.56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2160112.42</v>
      </c>
      <c r="H619" s="104">
        <f>SUM(H458)</f>
        <v>2160112.42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26875290.080000002</v>
      </c>
      <c r="H620" s="104">
        <f>SUM(I458)</f>
        <v>26875290.079999998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31192.33</v>
      </c>
      <c r="H621" s="104">
        <f>SUM(J458)</f>
        <v>31192.33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36595284.009999998</v>
      </c>
      <c r="H622" s="104">
        <f>SUM(F462)</f>
        <v>36595284.009999998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2160112.42</v>
      </c>
      <c r="H623" s="104">
        <f>SUM(H462)</f>
        <v>2160112.42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475375.27</v>
      </c>
      <c r="H624" s="104">
        <f>I361</f>
        <v>475375.26999999996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952101.88000000012</v>
      </c>
      <c r="H625" s="104">
        <f>SUM(G462)</f>
        <v>952101.88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13779075.92</v>
      </c>
      <c r="H626" s="104">
        <f>SUM(I462)</f>
        <v>13779075.92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31192.33</v>
      </c>
      <c r="H627" s="164">
        <f>SUM(J458)</f>
        <v>31192.33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9970.07</v>
      </c>
      <c r="H628" s="164">
        <f>SUM(J462)</f>
        <v>9970.07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1173937.1500000001</v>
      </c>
      <c r="H630" s="104">
        <f>SUM(G451)</f>
        <v>1173937.1499999999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1173937.1500000001</v>
      </c>
      <c r="H632" s="104">
        <f>SUM(I451)</f>
        <v>1173937.1499999999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31192.33</v>
      </c>
      <c r="H634" s="104">
        <f>H400</f>
        <v>31192.33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31192.33</v>
      </c>
      <c r="H636" s="104">
        <f>L400</f>
        <v>31192.33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1983770.0699999998</v>
      </c>
      <c r="H637" s="104">
        <f>L200+L218+L236</f>
        <v>1983770.0699999998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807533.29</v>
      </c>
      <c r="H638" s="104">
        <f>(J249+J330)-(J247+J328)</f>
        <v>807533.29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1233790.17</v>
      </c>
      <c r="H639" s="104">
        <f>H588</f>
        <v>1233790.17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274146.65999999997</v>
      </c>
      <c r="H640" s="104">
        <f>I588</f>
        <v>274146.66000000003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475833.24000000005</v>
      </c>
      <c r="H641" s="104">
        <f>J588</f>
        <v>475833.24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18738673.079999998</v>
      </c>
      <c r="G650" s="19">
        <f>(L221+L301+L351)</f>
        <v>6506238.1800000006</v>
      </c>
      <c r="H650" s="19">
        <f>(L239+L320+L352)</f>
        <v>12968022.050000003</v>
      </c>
      <c r="I650" s="19">
        <f>SUM(F650:H650)</f>
        <v>38212933.310000002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281504.27499999997</v>
      </c>
      <c r="G651" s="19">
        <f>(L351/IF(SUM(L350:L352)=0,1,SUM(L350:L352))*(SUM(G89:G102)))</f>
        <v>112601.70645200647</v>
      </c>
      <c r="H651" s="19">
        <f>(L352/IF(SUM(L350:L352)=0,1,SUM(L350:L352))*(SUM(G89:G102)))</f>
        <v>168902.56854799352</v>
      </c>
      <c r="I651" s="19">
        <f>SUM(F651:H651)</f>
        <v>563008.54999999993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1119524.3999999999</v>
      </c>
      <c r="G652" s="19">
        <f>(L218+L298)-(J218+J298)</f>
        <v>228440.34999999998</v>
      </c>
      <c r="H652" s="19">
        <f>(L236+L317)-(J236+J317)</f>
        <v>407273.78</v>
      </c>
      <c r="I652" s="19">
        <f>SUM(F652:H652)</f>
        <v>1755238.53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586266.59</v>
      </c>
      <c r="G653" s="200">
        <f>SUM(G565:G577)+SUM(I592:I594)+L602</f>
        <v>214693.72999999998</v>
      </c>
      <c r="H653" s="200">
        <f>SUM(H565:H577)+SUM(J592:J594)+L603</f>
        <v>959835.4</v>
      </c>
      <c r="I653" s="19">
        <f>SUM(F653:H653)</f>
        <v>1760795.72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16751377.814999998</v>
      </c>
      <c r="G654" s="19">
        <f>G650-SUM(G651:G653)</f>
        <v>5950502.3935479941</v>
      </c>
      <c r="H654" s="19">
        <f>H650-SUM(H651:H653)</f>
        <v>11432010.301452009</v>
      </c>
      <c r="I654" s="19">
        <f>I650-SUM(I651:I653)</f>
        <v>34133890.510000005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1156.22</v>
      </c>
      <c r="G655" s="249">
        <v>414.78</v>
      </c>
      <c r="H655" s="249">
        <v>868.28</v>
      </c>
      <c r="I655" s="19">
        <f>SUM(F655:H655)</f>
        <v>2439.2799999999997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14488.05</v>
      </c>
      <c r="G657" s="19">
        <f>ROUND(G654/G655,2)</f>
        <v>14346.17</v>
      </c>
      <c r="H657" s="19">
        <f>ROUND(H654/H655,2)</f>
        <v>13166.27</v>
      </c>
      <c r="I657" s="19">
        <f>ROUND(I654/I655,2)</f>
        <v>13993.43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18.2</v>
      </c>
      <c r="I660" s="19">
        <f>SUM(F660:H660)</f>
        <v>18.2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14488.05</v>
      </c>
      <c r="G662" s="19">
        <f>ROUND((G654+G659)/(G655+G660),2)</f>
        <v>14346.17</v>
      </c>
      <c r="H662" s="19">
        <f>ROUND((H654+H659)/(H655+H660),2)</f>
        <v>12895.96</v>
      </c>
      <c r="I662" s="19">
        <f>ROUND((I654+I659)/(I655+I660),2)</f>
        <v>13889.79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0A64-B906-4B5E-8D39-397CFECDAF00}">
  <sheetPr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Governor Wentworth Reg.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10888504.65</v>
      </c>
      <c r="C9" s="230">
        <f>'DOE25'!G189+'DOE25'!G207+'DOE25'!G225+'DOE25'!G268+'DOE25'!G287+'DOE25'!G306</f>
        <v>4639109.7699999996</v>
      </c>
    </row>
    <row r="10" spans="1:3" x14ac:dyDescent="0.2">
      <c r="A10" t="s">
        <v>813</v>
      </c>
      <c r="B10" s="241">
        <v>9794209.9299999997</v>
      </c>
      <c r="C10" s="241">
        <v>4172879.24</v>
      </c>
    </row>
    <row r="11" spans="1:3" x14ac:dyDescent="0.2">
      <c r="A11" t="s">
        <v>814</v>
      </c>
      <c r="B11" s="241">
        <v>585801.55000000005</v>
      </c>
      <c r="C11" s="241">
        <v>249584.11</v>
      </c>
    </row>
    <row r="12" spans="1:3" x14ac:dyDescent="0.2">
      <c r="A12" t="s">
        <v>815</v>
      </c>
      <c r="B12" s="241">
        <v>508493.17</v>
      </c>
      <c r="C12" s="241">
        <v>216646.42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10888504.65</v>
      </c>
      <c r="C13" s="232">
        <f>SUM(C10:C12)</f>
        <v>4639109.7700000005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4232460.9000000004</v>
      </c>
      <c r="C18" s="230">
        <f>'DOE25'!G190+'DOE25'!G208+'DOE25'!G226+'DOE25'!G269+'DOE25'!G288+'DOE25'!G307</f>
        <v>1837775.52</v>
      </c>
    </row>
    <row r="19" spans="1:3" x14ac:dyDescent="0.2">
      <c r="A19" t="s">
        <v>813</v>
      </c>
      <c r="B19" s="241">
        <v>2738402.2</v>
      </c>
      <c r="C19" s="241">
        <v>1189040.76</v>
      </c>
    </row>
    <row r="20" spans="1:3" x14ac:dyDescent="0.2">
      <c r="A20" t="s">
        <v>814</v>
      </c>
      <c r="B20" s="241">
        <v>1283282.1399999999</v>
      </c>
      <c r="C20" s="241">
        <v>557213.54</v>
      </c>
    </row>
    <row r="21" spans="1:3" x14ac:dyDescent="0.2">
      <c r="A21" t="s">
        <v>815</v>
      </c>
      <c r="B21" s="241">
        <v>210776.56</v>
      </c>
      <c r="C21" s="241">
        <v>91521.22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4232460.8999999994</v>
      </c>
      <c r="C22" s="232">
        <f>SUM(C19:C21)</f>
        <v>1837775.52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661720.21000000008</v>
      </c>
      <c r="C27" s="235">
        <f>'DOE25'!G191+'DOE25'!G209+'DOE25'!G227+'DOE25'!G270+'DOE25'!G289+'DOE25'!G308</f>
        <v>252141.73</v>
      </c>
    </row>
    <row r="28" spans="1:3" x14ac:dyDescent="0.2">
      <c r="A28" t="s">
        <v>813</v>
      </c>
      <c r="B28" s="241">
        <v>437000.03</v>
      </c>
      <c r="C28" s="241">
        <v>166514.4</v>
      </c>
    </row>
    <row r="29" spans="1:3" x14ac:dyDescent="0.2">
      <c r="A29" t="s">
        <v>814</v>
      </c>
      <c r="B29" s="241">
        <v>101838.74</v>
      </c>
      <c r="C29" s="241">
        <v>38804.61</v>
      </c>
    </row>
    <row r="30" spans="1:3" x14ac:dyDescent="0.2">
      <c r="A30" t="s">
        <v>815</v>
      </c>
      <c r="B30" s="241">
        <v>122881.44</v>
      </c>
      <c r="C30" s="241">
        <v>46822.720000000001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661720.21</v>
      </c>
      <c r="C31" s="232">
        <f>SUM(C28:C30)</f>
        <v>252141.73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335651.53</v>
      </c>
      <c r="C36" s="236">
        <f>'DOE25'!G192+'DOE25'!G210+'DOE25'!G228+'DOE25'!G271+'DOE25'!G290+'DOE25'!G309</f>
        <v>45734.979999999996</v>
      </c>
    </row>
    <row r="37" spans="1:3" x14ac:dyDescent="0.2">
      <c r="A37" t="s">
        <v>813</v>
      </c>
      <c r="B37" s="241">
        <v>155876.57</v>
      </c>
      <c r="C37" s="241">
        <v>21239.32</v>
      </c>
    </row>
    <row r="38" spans="1:3" x14ac:dyDescent="0.2">
      <c r="A38" t="s">
        <v>814</v>
      </c>
      <c r="B38" s="241">
        <v>62632.58</v>
      </c>
      <c r="C38" s="241">
        <v>8534.15</v>
      </c>
    </row>
    <row r="39" spans="1:3" x14ac:dyDescent="0.2">
      <c r="A39" t="s">
        <v>815</v>
      </c>
      <c r="B39" s="241">
        <v>117142.38</v>
      </c>
      <c r="C39" s="241">
        <v>15961.51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335651.53</v>
      </c>
      <c r="C40" s="232">
        <f>SUM(C37:C39)</f>
        <v>45734.98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4EBD-01B9-46C9-9AA8-D4E5BB4BD488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Governor Wentworth Reg.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24164636.41</v>
      </c>
      <c r="D5" s="20">
        <f>SUM('DOE25'!L189:L192)+SUM('DOE25'!L207:L210)+SUM('DOE25'!L225:L228)-F5-G5</f>
        <v>23760016.73</v>
      </c>
      <c r="E5" s="244"/>
      <c r="F5" s="256">
        <f>SUM('DOE25'!J189:J192)+SUM('DOE25'!J207:J210)+SUM('DOE25'!J225:J228)</f>
        <v>395287.28</v>
      </c>
      <c r="G5" s="53">
        <f>SUM('DOE25'!K189:K192)+SUM('DOE25'!K207:K210)+SUM('DOE25'!K225:K228)</f>
        <v>9332.4</v>
      </c>
      <c r="H5" s="260"/>
    </row>
    <row r="6" spans="1:9" x14ac:dyDescent="0.2">
      <c r="A6" s="32">
        <v>2100</v>
      </c>
      <c r="B6" t="s">
        <v>835</v>
      </c>
      <c r="C6" s="246">
        <f t="shared" si="0"/>
        <v>1537405.89</v>
      </c>
      <c r="D6" s="20">
        <f>'DOE25'!L194+'DOE25'!L212+'DOE25'!L230-F6-G6</f>
        <v>1531322.24</v>
      </c>
      <c r="E6" s="244"/>
      <c r="F6" s="256">
        <f>'DOE25'!J194+'DOE25'!J212+'DOE25'!J230</f>
        <v>5853.65</v>
      </c>
      <c r="G6" s="53">
        <f>'DOE25'!K194+'DOE25'!K212+'DOE25'!K230</f>
        <v>230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1236233.6099999999</v>
      </c>
      <c r="D7" s="20">
        <f>'DOE25'!L195+'DOE25'!L213+'DOE25'!L231-F7-G7</f>
        <v>1207777.2699999998</v>
      </c>
      <c r="E7" s="244"/>
      <c r="F7" s="256">
        <f>'DOE25'!J195+'DOE25'!J213+'DOE25'!J231</f>
        <v>25347.5</v>
      </c>
      <c r="G7" s="53">
        <f>'DOE25'!K195+'DOE25'!K213+'DOE25'!K231</f>
        <v>3108.8399999999997</v>
      </c>
      <c r="H7" s="260"/>
    </row>
    <row r="8" spans="1:9" x14ac:dyDescent="0.2">
      <c r="A8" s="32">
        <v>2300</v>
      </c>
      <c r="B8" t="s">
        <v>836</v>
      </c>
      <c r="C8" s="246">
        <f t="shared" si="0"/>
        <v>102512.97999999997</v>
      </c>
      <c r="D8" s="244"/>
      <c r="E8" s="20">
        <f>'DOE25'!L196+'DOE25'!L214+'DOE25'!L232-F8-G8-D9-D11</f>
        <v>88139.77999999997</v>
      </c>
      <c r="F8" s="256">
        <f>'DOE25'!J196+'DOE25'!J214+'DOE25'!J232</f>
        <v>5752.54</v>
      </c>
      <c r="G8" s="53">
        <f>'DOE25'!K196+'DOE25'!K214+'DOE25'!K232</f>
        <v>8620.66</v>
      </c>
      <c r="H8" s="260"/>
    </row>
    <row r="9" spans="1:9" x14ac:dyDescent="0.2">
      <c r="A9" s="32">
        <v>2310</v>
      </c>
      <c r="B9" t="s">
        <v>852</v>
      </c>
      <c r="C9" s="246">
        <f t="shared" si="0"/>
        <v>102928.6</v>
      </c>
      <c r="D9" s="245">
        <v>102928.6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16244.57</v>
      </c>
      <c r="D10" s="244"/>
      <c r="E10" s="245">
        <v>16244.57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467176.71</v>
      </c>
      <c r="D11" s="245">
        <v>467176.71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2248611.41</v>
      </c>
      <c r="D12" s="20">
        <f>'DOE25'!L197+'DOE25'!L215+'DOE25'!L233-F12-G12</f>
        <v>2233803.08</v>
      </c>
      <c r="E12" s="244"/>
      <c r="F12" s="256">
        <f>'DOE25'!J197+'DOE25'!J215+'DOE25'!J233</f>
        <v>6752.17</v>
      </c>
      <c r="G12" s="53">
        <f>'DOE25'!K197+'DOE25'!K215+'DOE25'!K233</f>
        <v>8056.16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333413.21999999997</v>
      </c>
      <c r="D13" s="244"/>
      <c r="E13" s="20">
        <f>'DOE25'!L198+'DOE25'!L216+'DOE25'!L234-F13-G13</f>
        <v>324027.12</v>
      </c>
      <c r="F13" s="256">
        <f>'DOE25'!J198+'DOE25'!J216+'DOE25'!J234</f>
        <v>6466.1</v>
      </c>
      <c r="G13" s="53">
        <f>'DOE25'!K198+'DOE25'!K216+'DOE25'!K234</f>
        <v>2920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3202891.5099999993</v>
      </c>
      <c r="D14" s="20">
        <f>'DOE25'!L199+'DOE25'!L217+'DOE25'!L235-F14-G14</f>
        <v>3182962.8999999994</v>
      </c>
      <c r="E14" s="244"/>
      <c r="F14" s="256">
        <f>'DOE25'!J199+'DOE25'!J217+'DOE25'!J235</f>
        <v>19928.61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1983770.0699999998</v>
      </c>
      <c r="D15" s="20">
        <f>'DOE25'!L200+'DOE25'!L218+'DOE25'!L236-F15-G15</f>
        <v>1755238.5299999998</v>
      </c>
      <c r="E15" s="244"/>
      <c r="F15" s="256">
        <f>'DOE25'!J200+'DOE25'!J218+'DOE25'!J236</f>
        <v>228531.54000000004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16971.59</v>
      </c>
      <c r="D17" s="20">
        <f>'DOE25'!L243-F17-G17</f>
        <v>16971.59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4727.49</v>
      </c>
      <c r="D18" s="20">
        <f>'DOE25'!L244-F18-G18</f>
        <v>4727.49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134483.29999999999</v>
      </c>
      <c r="D22" s="244"/>
      <c r="E22" s="244"/>
      <c r="F22" s="256">
        <f>'DOE25'!L247+'DOE25'!L328</f>
        <v>134483.29999999999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1059521.22</v>
      </c>
      <c r="D25" s="244"/>
      <c r="E25" s="244"/>
      <c r="F25" s="259"/>
      <c r="G25" s="257"/>
      <c r="H25" s="258">
        <f>'DOE25'!L252+'DOE25'!L253+'DOE25'!L333+'DOE25'!L334</f>
        <v>1059521.22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519966.29000000015</v>
      </c>
      <c r="D29" s="20">
        <f>'DOE25'!L350+'DOE25'!L351+'DOE25'!L352-'DOE25'!I359-F29-G29</f>
        <v>514886.47000000015</v>
      </c>
      <c r="E29" s="244"/>
      <c r="F29" s="256">
        <f>'DOE25'!J350+'DOE25'!J351+'DOE25'!J352</f>
        <v>5079.82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2160112.42</v>
      </c>
      <c r="D31" s="20">
        <f>'DOE25'!L282+'DOE25'!L301+'DOE25'!L320+'DOE25'!L325+'DOE25'!L326+'DOE25'!L327-F31-G31</f>
        <v>2041961.93</v>
      </c>
      <c r="E31" s="244"/>
      <c r="F31" s="256">
        <f>'DOE25'!J282+'DOE25'!J301+'DOE25'!J320+'DOE25'!J325+'DOE25'!J326+'DOE25'!J327</f>
        <v>113613.9</v>
      </c>
      <c r="G31" s="53">
        <f>'DOE25'!K282+'DOE25'!K301+'DOE25'!K320+'DOE25'!K325+'DOE25'!K326+'DOE25'!K327</f>
        <v>4536.59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36819773.540000007</v>
      </c>
      <c r="E33" s="247">
        <f>SUM(E5:E31)</f>
        <v>428411.47</v>
      </c>
      <c r="F33" s="247">
        <f>SUM(F5:F31)</f>
        <v>947096.40999999992</v>
      </c>
      <c r="G33" s="247">
        <f>SUM(G5:G31)</f>
        <v>36804.65</v>
      </c>
      <c r="H33" s="247">
        <f>SUM(H5:H31)</f>
        <v>1059521.22</v>
      </c>
    </row>
    <row r="35" spans="2:8" ht="12" thickBot="1" x14ac:dyDescent="0.25">
      <c r="B35" s="254" t="s">
        <v>881</v>
      </c>
      <c r="D35" s="255">
        <f>E33</f>
        <v>428411.47</v>
      </c>
      <c r="E35" s="250"/>
    </row>
    <row r="36" spans="2:8" ht="12" thickTop="1" x14ac:dyDescent="0.2">
      <c r="B36" t="s">
        <v>849</v>
      </c>
      <c r="D36" s="20">
        <f>D33</f>
        <v>36819773.540000007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CB34-849F-4A04-B00B-D2C6CF5C5DB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Governor Wentworth Reg.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1255653.01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10</v>
      </c>
      <c r="D10" s="95">
        <f>'DOE25'!G10</f>
        <v>0</v>
      </c>
      <c r="E10" s="95">
        <f>'DOE25'!H10</f>
        <v>0</v>
      </c>
      <c r="F10" s="95">
        <f>'DOE25'!I10</f>
        <v>15850995.699999999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2315125.58</v>
      </c>
      <c r="D12" s="95">
        <f>'DOE25'!G12</f>
        <v>107859.26</v>
      </c>
      <c r="E12" s="95">
        <f>'DOE25'!H12</f>
        <v>0</v>
      </c>
      <c r="F12" s="95">
        <f>'DOE25'!I12</f>
        <v>0</v>
      </c>
      <c r="G12" s="95">
        <f>'DOE25'!J12</f>
        <v>43934.1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234063.24</v>
      </c>
      <c r="D13" s="95">
        <f>'DOE25'!G13</f>
        <v>5085.84</v>
      </c>
      <c r="E13" s="95">
        <f>'DOE25'!H13</f>
        <v>149643.63</v>
      </c>
      <c r="F13" s="95">
        <f>'DOE25'!I13</f>
        <v>0</v>
      </c>
      <c r="G13" s="95">
        <f>'DOE25'!J13</f>
        <v>1130003.05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7222.18</v>
      </c>
      <c r="D14" s="95">
        <f>'DOE25'!G14</f>
        <v>10751</v>
      </c>
      <c r="E14" s="95">
        <f>'DOE25'!H14</f>
        <v>0</v>
      </c>
      <c r="F14" s="95">
        <f>'DOE25'!I14</f>
        <v>350137.29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21140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3833214.0100000002</v>
      </c>
      <c r="D19" s="41">
        <f>SUM(D9:D18)</f>
        <v>123696.09999999999</v>
      </c>
      <c r="E19" s="41">
        <f>SUM(E9:E18)</f>
        <v>149643.63</v>
      </c>
      <c r="F19" s="41">
        <f>SUM(F9:F18)</f>
        <v>16201132.989999998</v>
      </c>
      <c r="G19" s="41">
        <f>SUM(G9:G18)</f>
        <v>1173937.1500000001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68089.8</v>
      </c>
      <c r="F22" s="95">
        <f>'DOE25'!I23</f>
        <v>2398829.15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903818.19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143110.37</v>
      </c>
      <c r="D28" s="95">
        <f>'DOE25'!G29</f>
        <v>3032.12</v>
      </c>
      <c r="E28" s="95">
        <f>'DOE25'!H29</f>
        <v>5563.86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353.16</v>
      </c>
      <c r="D30" s="95">
        <f>'DOE25'!G31</f>
        <v>13892</v>
      </c>
      <c r="E30" s="95">
        <f>'DOE25'!H31</f>
        <v>75989.97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143463.53</v>
      </c>
      <c r="D32" s="41">
        <f>SUM(D22:D31)</f>
        <v>16924.12</v>
      </c>
      <c r="E32" s="41">
        <f>SUM(E22:E31)</f>
        <v>149643.63</v>
      </c>
      <c r="F32" s="41">
        <f>SUM(F22:F31)</f>
        <v>3302647.34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21140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304985.58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106771.98</v>
      </c>
      <c r="E40" s="95">
        <f>'DOE25'!H41</f>
        <v>0</v>
      </c>
      <c r="F40" s="95">
        <f>'DOE25'!I41</f>
        <v>12898485.65</v>
      </c>
      <c r="G40" s="95">
        <f>'DOE25'!J41</f>
        <v>1173937.1499999999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3363624.9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3689750.48</v>
      </c>
      <c r="D42" s="41">
        <f>SUM(D34:D41)</f>
        <v>106771.98</v>
      </c>
      <c r="E42" s="41">
        <f>SUM(E34:E41)</f>
        <v>0</v>
      </c>
      <c r="F42" s="41">
        <f>SUM(F34:F41)</f>
        <v>12898485.65</v>
      </c>
      <c r="G42" s="41">
        <f>SUM(G34:G41)</f>
        <v>1173937.1499999999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3833214.01</v>
      </c>
      <c r="D43" s="41">
        <f>D42+D32</f>
        <v>123696.09999999999</v>
      </c>
      <c r="E43" s="41">
        <f>E42+E32</f>
        <v>149643.63</v>
      </c>
      <c r="F43" s="41">
        <f>F42+F32</f>
        <v>16201132.99</v>
      </c>
      <c r="G43" s="41">
        <f>G42+G32</f>
        <v>1173937.1499999999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22115288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281627.92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1188.1099999999999</v>
      </c>
      <c r="D51" s="95">
        <f>'DOE25'!G88</f>
        <v>292.5</v>
      </c>
      <c r="E51" s="95">
        <f>'DOE25'!H88</f>
        <v>0</v>
      </c>
      <c r="F51" s="95">
        <f>'DOE25'!I88</f>
        <v>56321.08</v>
      </c>
      <c r="G51" s="95">
        <f>'DOE25'!J88</f>
        <v>31192.33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563008.55000000005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101071.75000000001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383887.77999999997</v>
      </c>
      <c r="D54" s="130">
        <f>SUM(D49:D53)</f>
        <v>563301.05000000005</v>
      </c>
      <c r="E54" s="130">
        <f>SUM(E49:E53)</f>
        <v>0</v>
      </c>
      <c r="F54" s="130">
        <f>SUM(F49:F53)</f>
        <v>56321.08</v>
      </c>
      <c r="G54" s="130">
        <f>SUM(G49:G53)</f>
        <v>31192.33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22499175.780000001</v>
      </c>
      <c r="D55" s="22">
        <f>D48+D54</f>
        <v>563301.05000000005</v>
      </c>
      <c r="E55" s="22">
        <f>E48+E54</f>
        <v>0</v>
      </c>
      <c r="F55" s="22">
        <f>F48+F54</f>
        <v>56321.08</v>
      </c>
      <c r="G55" s="22">
        <f>G48+G54</f>
        <v>31192.33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2885809.21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10379936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1107196.79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14372942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257916.62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354480.04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141215.01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27000</v>
      </c>
      <c r="D69" s="95">
        <f>SUM('DOE25'!G123:G127)</f>
        <v>12367.2</v>
      </c>
      <c r="E69" s="95">
        <f>SUM('DOE25'!H123:H127)</f>
        <v>109456.37</v>
      </c>
      <c r="F69" s="95">
        <f>SUM('DOE25'!I123:I127)</f>
        <v>1270694.52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780611.66999999993</v>
      </c>
      <c r="D70" s="130">
        <f>SUM(D64:D69)</f>
        <v>12367.2</v>
      </c>
      <c r="E70" s="130">
        <f>SUM(E64:E69)</f>
        <v>109456.37</v>
      </c>
      <c r="F70" s="130">
        <f>SUM(F64:F69)</f>
        <v>1270694.52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15153553.67</v>
      </c>
      <c r="D73" s="130">
        <f>SUM(D71:D72)+D70+D62</f>
        <v>12367.2</v>
      </c>
      <c r="E73" s="130">
        <f>SUM(E71:E72)+E70+E62</f>
        <v>109456.37</v>
      </c>
      <c r="F73" s="130">
        <f>SUM(F71:F72)+F70+F62</f>
        <v>1270694.52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371349.61</v>
      </c>
      <c r="D80" s="95">
        <f>SUM('DOE25'!G145:G153)</f>
        <v>428131.31</v>
      </c>
      <c r="E80" s="95">
        <f>SUM('DOE25'!H145:H153)</f>
        <v>2050656.0499999998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371349.61</v>
      </c>
      <c r="D83" s="131">
        <f>SUM(D77:D82)</f>
        <v>428131.31</v>
      </c>
      <c r="E83" s="131">
        <f>SUM(E77:E82)</f>
        <v>2050656.0499999998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25548274.48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64706.16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64706.16</v>
      </c>
      <c r="D95" s="86">
        <f>SUM(D85:D94)</f>
        <v>0</v>
      </c>
      <c r="E95" s="86">
        <f>SUM(E85:E94)</f>
        <v>0</v>
      </c>
      <c r="F95" s="86">
        <f>SUM(F85:F94)</f>
        <v>25548274.48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38088785.219999999</v>
      </c>
      <c r="D96" s="86">
        <f>D55+D73+D83+D95</f>
        <v>1003799.56</v>
      </c>
      <c r="E96" s="86">
        <f>E55+E73+E83+E95</f>
        <v>2160112.42</v>
      </c>
      <c r="F96" s="86">
        <f>F55+F73+F83+F95</f>
        <v>26875290.080000002</v>
      </c>
      <c r="G96" s="86">
        <f>G55+G73+G95</f>
        <v>31192.33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15911206.4</v>
      </c>
      <c r="D101" s="24" t="s">
        <v>312</v>
      </c>
      <c r="E101" s="95">
        <f>('DOE25'!L268)+('DOE25'!L287)+('DOE25'!L306)</f>
        <v>1161559.1099999999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6725152.0899999999</v>
      </c>
      <c r="D102" s="24" t="s">
        <v>312</v>
      </c>
      <c r="E102" s="95">
        <f>('DOE25'!L269)+('DOE25'!L288)+('DOE25'!L307)</f>
        <v>481599.40999999992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904474.89000000013</v>
      </c>
      <c r="D103" s="24" t="s">
        <v>312</v>
      </c>
      <c r="E103" s="95">
        <f>('DOE25'!L270)+('DOE25'!L289)+('DOE25'!L308)</f>
        <v>101299.86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623803.03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21699.08</v>
      </c>
      <c r="D106" s="24" t="s">
        <v>312</v>
      </c>
      <c r="E106" s="95">
        <f>+ SUM('DOE25'!L325:L327)</f>
        <v>278861.40000000002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24186335.490000002</v>
      </c>
      <c r="D107" s="86">
        <f>SUM(D101:D106)</f>
        <v>0</v>
      </c>
      <c r="E107" s="86">
        <f>SUM(E101:E106)</f>
        <v>2023319.7799999998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1537405.89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1236233.6099999999</v>
      </c>
      <c r="D111" s="24" t="s">
        <v>312</v>
      </c>
      <c r="E111" s="95">
        <f>+('DOE25'!L274)+('DOE25'!L293)+('DOE25'!L312)</f>
        <v>136792.64000000001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672618.29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2248611.41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333413.21999999997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3202891.5099999993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1983770.0699999998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952101.88000000012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11214944</v>
      </c>
      <c r="D120" s="86">
        <f>SUM(D110:D119)</f>
        <v>952101.88000000012</v>
      </c>
      <c r="E120" s="86">
        <f>SUM(E110:E119)</f>
        <v>136792.64000000001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134483.29999999999</v>
      </c>
      <c r="D122" s="24" t="s">
        <v>312</v>
      </c>
      <c r="E122" s="129">
        <f>'DOE25'!L328</f>
        <v>0</v>
      </c>
      <c r="F122" s="129">
        <f>SUM('DOE25'!L366:'DOE25'!L372)</f>
        <v>13714369.76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781284.52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278236.7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64706.16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31192.33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-31192.33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1194004.52</v>
      </c>
      <c r="D136" s="141">
        <f>SUM(D122:D135)</f>
        <v>0</v>
      </c>
      <c r="E136" s="141">
        <f>SUM(E122:E135)</f>
        <v>0</v>
      </c>
      <c r="F136" s="141">
        <f>SUM(F122:F135)</f>
        <v>13779075.92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36595284.010000005</v>
      </c>
      <c r="D137" s="86">
        <f>(D107+D120+D136)</f>
        <v>952101.88000000012</v>
      </c>
      <c r="E137" s="86">
        <f>(E107+E120+E136)</f>
        <v>2160112.42</v>
      </c>
      <c r="F137" s="86">
        <f>(F107+F120+F136)</f>
        <v>13779075.92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5</v>
      </c>
      <c r="E143" s="153">
        <f>'DOE25'!I480</f>
        <v>30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08/92</v>
      </c>
      <c r="C144" s="152" t="str">
        <f>'DOE25'!G481</f>
        <v>08/02</v>
      </c>
      <c r="D144" s="152" t="str">
        <f>'DOE25'!H481</f>
        <v>06/09</v>
      </c>
      <c r="E144" s="152" t="str">
        <f>'DOE25'!I481</f>
        <v>07/09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08/12</v>
      </c>
      <c r="C145" s="152" t="str">
        <f>'DOE25'!G482</f>
        <v>08/12</v>
      </c>
      <c r="D145" s="152" t="str">
        <f>'DOE25'!H482</f>
        <v>06/14</v>
      </c>
      <c r="E145" s="152" t="str">
        <f>'DOE25'!I482</f>
        <v>07/39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2717849</v>
      </c>
      <c r="C146" s="137">
        <f>'DOE25'!G483</f>
        <v>2996343</v>
      </c>
      <c r="D146" s="137">
        <f>'DOE25'!H483</f>
        <v>325000</v>
      </c>
      <c r="E146" s="137">
        <f>'DOE25'!I483</f>
        <v>25000000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"5.3-6.2</v>
      </c>
      <c r="C147" s="137" t="str">
        <f>'DOE25'!G484</f>
        <v>"3.0-4.0</v>
      </c>
      <c r="D147" s="137">
        <f>'DOE25'!H484</f>
        <v>3.61</v>
      </c>
      <c r="E147" s="137">
        <f>'DOE25'!I484</f>
        <v>4.3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606960</v>
      </c>
      <c r="C148" s="137">
        <f>'DOE25'!G485</f>
        <v>1274400</v>
      </c>
      <c r="D148" s="137">
        <f>'DOE25'!H485</f>
        <v>325000</v>
      </c>
      <c r="E148" s="137">
        <f>'DOE25'!I485</f>
        <v>0</v>
      </c>
      <c r="F148" s="137">
        <f>'DOE25'!J485</f>
        <v>0</v>
      </c>
      <c r="G148" s="138">
        <f>SUM(B148:F148)</f>
        <v>2206360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25000000</v>
      </c>
      <c r="F149" s="137">
        <f>'DOE25'!J486</f>
        <v>0</v>
      </c>
      <c r="G149" s="138">
        <f t="shared" ref="G149:G156" si="0">SUM(B149:F149)</f>
        <v>25000000</v>
      </c>
    </row>
    <row r="150" spans="1:7" x14ac:dyDescent="0.2">
      <c r="A150" s="22" t="s">
        <v>34</v>
      </c>
      <c r="B150" s="137">
        <f>'DOE25'!F487</f>
        <v>135000</v>
      </c>
      <c r="C150" s="137">
        <f>'DOE25'!G487</f>
        <v>295000</v>
      </c>
      <c r="D150" s="137">
        <f>'DOE25'!H487</f>
        <v>65000</v>
      </c>
      <c r="E150" s="137">
        <f>'DOE25'!I487</f>
        <v>286284.52</v>
      </c>
      <c r="F150" s="137">
        <f>'DOE25'!J487</f>
        <v>0</v>
      </c>
      <c r="G150" s="138">
        <f t="shared" si="0"/>
        <v>781284.52</v>
      </c>
    </row>
    <row r="151" spans="1:7" x14ac:dyDescent="0.2">
      <c r="A151" s="22" t="s">
        <v>35</v>
      </c>
      <c r="B151" s="137">
        <f>'DOE25'!F488</f>
        <v>471960</v>
      </c>
      <c r="C151" s="137">
        <f>'DOE25'!G488</f>
        <v>979400</v>
      </c>
      <c r="D151" s="137">
        <f>'DOE25'!H488</f>
        <v>260000</v>
      </c>
      <c r="E151" s="137">
        <f>'DOE25'!I488</f>
        <v>24713715.48</v>
      </c>
      <c r="F151" s="137">
        <f>'DOE25'!J488</f>
        <v>0</v>
      </c>
      <c r="G151" s="138">
        <f t="shared" si="0"/>
        <v>26425075.48</v>
      </c>
    </row>
    <row r="152" spans="1:7" x14ac:dyDescent="0.2">
      <c r="A152" s="22" t="s">
        <v>36</v>
      </c>
      <c r="B152" s="137">
        <f>'DOE25'!F489</f>
        <v>37665</v>
      </c>
      <c r="C152" s="137">
        <f>'DOE25'!G489</f>
        <v>53100</v>
      </c>
      <c r="D152" s="137">
        <f>'DOE25'!H489</f>
        <v>23465</v>
      </c>
      <c r="E152" s="137">
        <f>'DOE25'!I489</f>
        <v>20205314.800000001</v>
      </c>
      <c r="F152" s="137">
        <f>'DOE25'!J489</f>
        <v>0</v>
      </c>
      <c r="G152" s="138">
        <f t="shared" si="0"/>
        <v>20319544.800000001</v>
      </c>
    </row>
    <row r="153" spans="1:7" x14ac:dyDescent="0.2">
      <c r="A153" s="22" t="s">
        <v>37</v>
      </c>
      <c r="B153" s="137">
        <f>'DOE25'!F490</f>
        <v>509625</v>
      </c>
      <c r="C153" s="137">
        <f>'DOE25'!G490</f>
        <v>1032500</v>
      </c>
      <c r="D153" s="137">
        <f>'DOE25'!H490</f>
        <v>283465</v>
      </c>
      <c r="E153" s="137">
        <f>'DOE25'!I490</f>
        <v>44919030.280000001</v>
      </c>
      <c r="F153" s="137">
        <f>'DOE25'!J490</f>
        <v>0</v>
      </c>
      <c r="G153" s="138">
        <f t="shared" si="0"/>
        <v>46744620.280000001</v>
      </c>
    </row>
    <row r="154" spans="1:7" x14ac:dyDescent="0.2">
      <c r="A154" s="22" t="s">
        <v>38</v>
      </c>
      <c r="B154" s="137">
        <f>'DOE25'!F491</f>
        <v>135000</v>
      </c>
      <c r="C154" s="137">
        <f>'DOE25'!G491</f>
        <v>295000</v>
      </c>
      <c r="D154" s="137">
        <f>'DOE25'!H491</f>
        <v>65000</v>
      </c>
      <c r="E154" s="137">
        <f>'DOE25'!I491</f>
        <v>1431194.75</v>
      </c>
      <c r="F154" s="137">
        <f>'DOE25'!J491</f>
        <v>0</v>
      </c>
      <c r="G154" s="138">
        <f t="shared" si="0"/>
        <v>1926194.75</v>
      </c>
    </row>
    <row r="155" spans="1:7" x14ac:dyDescent="0.2">
      <c r="A155" s="22" t="s">
        <v>39</v>
      </c>
      <c r="B155" s="137">
        <f>'DOE25'!F492</f>
        <v>20925</v>
      </c>
      <c r="C155" s="137">
        <f>'DOE25'!G492</f>
        <v>29500</v>
      </c>
      <c r="D155" s="137">
        <f>'DOE25'!H492</f>
        <v>9386</v>
      </c>
      <c r="E155" s="137">
        <f>'DOE25'!I492</f>
        <v>67207.75</v>
      </c>
      <c r="F155" s="137">
        <f>'DOE25'!J492</f>
        <v>0</v>
      </c>
      <c r="G155" s="138">
        <f t="shared" si="0"/>
        <v>127018.75</v>
      </c>
    </row>
    <row r="156" spans="1:7" x14ac:dyDescent="0.2">
      <c r="A156" s="22" t="s">
        <v>269</v>
      </c>
      <c r="B156" s="137">
        <f>'DOE25'!F493</f>
        <v>155925</v>
      </c>
      <c r="C156" s="137">
        <f>'DOE25'!G493</f>
        <v>324500</v>
      </c>
      <c r="D156" s="137">
        <f>'DOE25'!H493</f>
        <v>74386</v>
      </c>
      <c r="E156" s="137">
        <f>'DOE25'!I493</f>
        <v>1498402.5</v>
      </c>
      <c r="F156" s="137">
        <f>'DOE25'!J493</f>
        <v>0</v>
      </c>
      <c r="G156" s="138">
        <f t="shared" si="0"/>
        <v>2053213.5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76E8-6903-4B31-B1A5-4DC36897F08E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Governor Wentworth Reg.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14488</v>
      </c>
    </row>
    <row r="5" spans="1:4" x14ac:dyDescent="0.2">
      <c r="B5" t="s">
        <v>735</v>
      </c>
      <c r="C5" s="179">
        <f>IF('DOE25'!G655+'DOE25'!G660=0,0,ROUND('DOE25'!G662,0))</f>
        <v>14346</v>
      </c>
    </row>
    <row r="6" spans="1:4" x14ac:dyDescent="0.2">
      <c r="B6" t="s">
        <v>62</v>
      </c>
      <c r="C6" s="179">
        <f>IF('DOE25'!H655+'DOE25'!H660=0,0,ROUND('DOE25'!H662,0))</f>
        <v>12896</v>
      </c>
    </row>
    <row r="7" spans="1:4" x14ac:dyDescent="0.2">
      <c r="B7" t="s">
        <v>736</v>
      </c>
      <c r="C7" s="179">
        <f>IF('DOE25'!I655+'DOE25'!I660=0,0,ROUND('DOE25'!I662,0))</f>
        <v>13890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17072766</v>
      </c>
      <c r="D10" s="182">
        <f>ROUND((C10/$C$28)*100,1)</f>
        <v>44.7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7206752</v>
      </c>
      <c r="D11" s="182">
        <f>ROUND((C11/$C$28)*100,1)</f>
        <v>18.899999999999999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1005775</v>
      </c>
      <c r="D12" s="182">
        <f>ROUND((C12/$C$28)*100,1)</f>
        <v>2.6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623803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1537406</v>
      </c>
      <c r="D15" s="182">
        <f t="shared" ref="D15:D27" si="0">ROUND((C15/$C$28)*100,1)</f>
        <v>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1373026</v>
      </c>
      <c r="D16" s="182">
        <f t="shared" si="0"/>
        <v>3.6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672618</v>
      </c>
      <c r="D17" s="182">
        <f t="shared" si="0"/>
        <v>1.8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2248611</v>
      </c>
      <c r="D18" s="182">
        <f t="shared" si="0"/>
        <v>5.9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333413</v>
      </c>
      <c r="D19" s="182">
        <f t="shared" si="0"/>
        <v>0.9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3202892</v>
      </c>
      <c r="D20" s="182">
        <f t="shared" si="0"/>
        <v>8.4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1983770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300560</v>
      </c>
      <c r="D24" s="182">
        <f t="shared" si="0"/>
        <v>0.8</v>
      </c>
    </row>
    <row r="25" spans="1:4" x14ac:dyDescent="0.2">
      <c r="A25">
        <v>5120</v>
      </c>
      <c r="B25" t="s">
        <v>751</v>
      </c>
      <c r="C25" s="179">
        <f>ROUND('DOE25'!L253+'DOE25'!L334,0)</f>
        <v>278237</v>
      </c>
      <c r="D25" s="182">
        <f t="shared" si="0"/>
        <v>0.7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389093.44999999995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38228722.450000003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13848853</v>
      </c>
    </row>
    <row r="30" spans="1:4" x14ac:dyDescent="0.2">
      <c r="B30" s="187" t="s">
        <v>760</v>
      </c>
      <c r="C30" s="180">
        <f>SUM(C28:C29)</f>
        <v>52077575.450000003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781285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22115288</v>
      </c>
      <c r="D35" s="182">
        <f t="shared" ref="D35:D40" si="1">ROUND((C35/$C$41)*100,1)</f>
        <v>52.4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694968.16999999806</v>
      </c>
      <c r="D36" s="182">
        <f t="shared" si="1"/>
        <v>1.6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13265745</v>
      </c>
      <c r="D37" s="182">
        <f t="shared" si="1"/>
        <v>31.4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3280327</v>
      </c>
      <c r="D38" s="182">
        <f t="shared" si="1"/>
        <v>7.8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2850137</v>
      </c>
      <c r="D39" s="182">
        <f t="shared" si="1"/>
        <v>6.8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42206465.170000002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25325000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3667-2F4C-42F4-8DEE-C81B33C950C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802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799</v>
      </c>
      <c r="B2" s="293"/>
      <c r="C2" s="293"/>
      <c r="D2" s="293"/>
      <c r="E2" s="293"/>
      <c r="F2" s="290" t="str">
        <f>'DOE25'!A2</f>
        <v>Governor Wentworth Reg. SD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88" t="s">
        <v>803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70A" sheet="1" objects="1" scenarios="1"/>
  <mergeCells count="223">
    <mergeCell ref="C27:M27"/>
    <mergeCell ref="C28:M28"/>
    <mergeCell ref="C87:M87"/>
    <mergeCell ref="C79:M79"/>
    <mergeCell ref="C80:M80"/>
    <mergeCell ref="C81:M81"/>
    <mergeCell ref="C82:M82"/>
    <mergeCell ref="C75:M75"/>
    <mergeCell ref="C76:M76"/>
    <mergeCell ref="C88:M88"/>
    <mergeCell ref="C89:M89"/>
    <mergeCell ref="C90:M90"/>
    <mergeCell ref="C83:M83"/>
    <mergeCell ref="C84:M84"/>
    <mergeCell ref="C85:M85"/>
    <mergeCell ref="C86:M86"/>
    <mergeCell ref="C68:M68"/>
    <mergeCell ref="C69:M69"/>
    <mergeCell ref="C77:M77"/>
    <mergeCell ref="C78:M78"/>
    <mergeCell ref="C70:M70"/>
    <mergeCell ref="A72:E72"/>
    <mergeCell ref="C73:M73"/>
    <mergeCell ref="C74:M74"/>
    <mergeCell ref="C62:M62"/>
    <mergeCell ref="C63:M63"/>
    <mergeCell ref="C64:M64"/>
    <mergeCell ref="C65:M65"/>
    <mergeCell ref="C66:M66"/>
    <mergeCell ref="C67:M67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1:M21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A1:I1"/>
    <mergeCell ref="C3:M3"/>
    <mergeCell ref="C4:M4"/>
    <mergeCell ref="F2:I2"/>
    <mergeCell ref="A2:E2"/>
    <mergeCell ref="C13:M13"/>
    <mergeCell ref="C12:M12"/>
    <mergeCell ref="C32:M32"/>
    <mergeCell ref="C30:M30"/>
    <mergeCell ref="C31:M31"/>
    <mergeCell ref="P31:Z31"/>
    <mergeCell ref="AP31:AZ31"/>
    <mergeCell ref="P32:Z32"/>
    <mergeCell ref="C22:M22"/>
    <mergeCell ref="C23:M23"/>
    <mergeCell ref="C26:M26"/>
    <mergeCell ref="C24:M24"/>
    <mergeCell ref="C29:M29"/>
    <mergeCell ref="C25:M25"/>
    <mergeCell ref="C5:M5"/>
    <mergeCell ref="C6:M6"/>
    <mergeCell ref="C7:M7"/>
    <mergeCell ref="C8:M8"/>
    <mergeCell ref="C9:M9"/>
    <mergeCell ref="C10:M10"/>
    <mergeCell ref="C11:M11"/>
    <mergeCell ref="DC29:DM29"/>
    <mergeCell ref="DP29:DZ29"/>
    <mergeCell ref="EC29:EM29"/>
    <mergeCell ref="C20:M20"/>
    <mergeCell ref="BC29:BM29"/>
    <mergeCell ref="BP29:BZ29"/>
    <mergeCell ref="CC29:CM29"/>
    <mergeCell ref="P29:Z29"/>
    <mergeCell ref="AC29:AM29"/>
    <mergeCell ref="AP29:AZ29"/>
    <mergeCell ref="C39:M39"/>
    <mergeCell ref="GP29:GZ29"/>
    <mergeCell ref="HC29:HM29"/>
    <mergeCell ref="HP29:HZ29"/>
    <mergeCell ref="IC29:IM29"/>
    <mergeCell ref="EP29:EZ29"/>
    <mergeCell ref="FC29:FM29"/>
    <mergeCell ref="FP29:FZ29"/>
    <mergeCell ref="GC29:GM29"/>
    <mergeCell ref="CP29:CZ29"/>
    <mergeCell ref="AC31:AM31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P40:Z40"/>
    <mergeCell ref="AC40:AM40"/>
    <mergeCell ref="BP32:BZ32"/>
    <mergeCell ref="BC38:BM38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AC38:A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DC38:DM38"/>
    <mergeCell ref="DP38:DZ38"/>
    <mergeCell ref="EC38:EM38"/>
    <mergeCell ref="EP38:EZ38"/>
    <mergeCell ref="FC38:FM38"/>
    <mergeCell ref="FP38:FZ38"/>
    <mergeCell ref="GP38:GZ38"/>
    <mergeCell ref="HC38:HM38"/>
    <mergeCell ref="HP38:HZ38"/>
    <mergeCell ref="IC38:IM38"/>
    <mergeCell ref="FP32:FZ32"/>
    <mergeCell ref="GC32:GM32"/>
    <mergeCell ref="GC38:G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40:M40"/>
    <mergeCell ref="C43:M43"/>
    <mergeCell ref="BC40:BM40"/>
    <mergeCell ref="BP40:BZ40"/>
    <mergeCell ref="IC40:IM40"/>
    <mergeCell ref="FC40:FM40"/>
    <mergeCell ref="FP40:FZ40"/>
    <mergeCell ref="CC40:CM40"/>
    <mergeCell ref="CP40:CZ40"/>
    <mergeCell ref="DC40:DM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Eaton, Brian</dc:creator>
  <cp:lastModifiedBy>Eaton, Brian</cp:lastModifiedBy>
  <cp:lastPrinted>2010-09-22T15:11:09Z</cp:lastPrinted>
  <dcterms:created xsi:type="dcterms:W3CDTF">2010-09-14T13:42:32Z</dcterms:created>
  <dcterms:modified xsi:type="dcterms:W3CDTF">2025-01-09T20:02:39Z</dcterms:modified>
</cp:coreProperties>
</file>