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284C9E13-99CA-4330-96FD-7357F510D064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F9E60C19-79EE-4459-9CD4-2744C760371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2" l="1"/>
  <c r="C19" i="12"/>
  <c r="B19" i="12"/>
  <c r="B10" i="12"/>
  <c r="C60" i="2"/>
  <c r="B2" i="13"/>
  <c r="F8" i="13"/>
  <c r="G8" i="13"/>
  <c r="L196" i="1"/>
  <c r="L214" i="1"/>
  <c r="L232" i="1"/>
  <c r="C112" i="2" s="1"/>
  <c r="E8" i="13"/>
  <c r="D39" i="13"/>
  <c r="F13" i="13"/>
  <c r="G13" i="13"/>
  <c r="L198" i="1"/>
  <c r="C114" i="2" s="1"/>
  <c r="L216" i="1"/>
  <c r="L234" i="1"/>
  <c r="F16" i="13"/>
  <c r="G16" i="13"/>
  <c r="G33" i="13" s="1"/>
  <c r="L201" i="1"/>
  <c r="E16" i="13" s="1"/>
  <c r="C16" i="13" s="1"/>
  <c r="L219" i="1"/>
  <c r="L237" i="1"/>
  <c r="F5" i="13"/>
  <c r="G5" i="13"/>
  <c r="L189" i="1"/>
  <c r="L190" i="1"/>
  <c r="L191" i="1"/>
  <c r="L192" i="1"/>
  <c r="C13" i="10" s="1"/>
  <c r="L207" i="1"/>
  <c r="L221" i="1" s="1"/>
  <c r="L208" i="1"/>
  <c r="C11" i="10" s="1"/>
  <c r="L209" i="1"/>
  <c r="C12" i="10" s="1"/>
  <c r="L210" i="1"/>
  <c r="L225" i="1"/>
  <c r="L239" i="1" s="1"/>
  <c r="L226" i="1"/>
  <c r="L227" i="1"/>
  <c r="L228" i="1"/>
  <c r="F6" i="13"/>
  <c r="G6" i="13"/>
  <c r="L194" i="1"/>
  <c r="D6" i="13" s="1"/>
  <c r="C6" i="13" s="1"/>
  <c r="L212" i="1"/>
  <c r="C15" i="10" s="1"/>
  <c r="L230" i="1"/>
  <c r="F7" i="13"/>
  <c r="G7" i="13"/>
  <c r="L195" i="1"/>
  <c r="C16" i="10" s="1"/>
  <c r="L213" i="1"/>
  <c r="L231" i="1"/>
  <c r="F12" i="13"/>
  <c r="G12" i="13"/>
  <c r="L197" i="1"/>
  <c r="D12" i="13" s="1"/>
  <c r="C12" i="13" s="1"/>
  <c r="L215" i="1"/>
  <c r="C113" i="2" s="1"/>
  <c r="L233" i="1"/>
  <c r="F14" i="13"/>
  <c r="G14" i="13"/>
  <c r="L199" i="1"/>
  <c r="C115" i="2" s="1"/>
  <c r="L217" i="1"/>
  <c r="D14" i="13" s="1"/>
  <c r="C14" i="13" s="1"/>
  <c r="L235" i="1"/>
  <c r="F15" i="13"/>
  <c r="G15" i="13"/>
  <c r="L200" i="1"/>
  <c r="L218" i="1"/>
  <c r="H637" i="1" s="1"/>
  <c r="L236" i="1"/>
  <c r="H652" i="1" s="1"/>
  <c r="D15" i="13"/>
  <c r="C15" i="13" s="1"/>
  <c r="F17" i="13"/>
  <c r="G17" i="13"/>
  <c r="L243" i="1"/>
  <c r="D17" i="13"/>
  <c r="C17" i="13" s="1"/>
  <c r="F18" i="13"/>
  <c r="G18" i="13"/>
  <c r="L244" i="1"/>
  <c r="D18" i="13"/>
  <c r="C18" i="13"/>
  <c r="F19" i="13"/>
  <c r="D19" i="13" s="1"/>
  <c r="C19" i="13" s="1"/>
  <c r="G19" i="13"/>
  <c r="L245" i="1"/>
  <c r="F29" i="13"/>
  <c r="G29" i="13"/>
  <c r="L350" i="1"/>
  <c r="L354" i="1" s="1"/>
  <c r="L351" i="1"/>
  <c r="L352" i="1"/>
  <c r="I359" i="1"/>
  <c r="I361" i="1" s="1"/>
  <c r="H624" i="1" s="1"/>
  <c r="J282" i="1"/>
  <c r="J330" i="1" s="1"/>
  <c r="J344" i="1" s="1"/>
  <c r="F31" i="13"/>
  <c r="J301" i="1"/>
  <c r="J320" i="1"/>
  <c r="K282" i="1"/>
  <c r="K301" i="1"/>
  <c r="K320" i="1"/>
  <c r="L268" i="1"/>
  <c r="E101" i="2" s="1"/>
  <c r="E107" i="2" s="1"/>
  <c r="L269" i="1"/>
  <c r="L270" i="1"/>
  <c r="L271" i="1"/>
  <c r="L273" i="1"/>
  <c r="E110" i="2" s="1"/>
  <c r="E120" i="2" s="1"/>
  <c r="L274" i="1"/>
  <c r="E111" i="2" s="1"/>
  <c r="L275" i="1"/>
  <c r="L276" i="1"/>
  <c r="L277" i="1"/>
  <c r="E114" i="2" s="1"/>
  <c r="L278" i="1"/>
  <c r="L279" i="1"/>
  <c r="F652" i="1" s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L306" i="1"/>
  <c r="L307" i="1"/>
  <c r="L308" i="1"/>
  <c r="L320" i="1" s="1"/>
  <c r="L309" i="1"/>
  <c r="L311" i="1"/>
  <c r="L312" i="1"/>
  <c r="L313" i="1"/>
  <c r="E112" i="2"/>
  <c r="L314" i="1"/>
  <c r="L315" i="1"/>
  <c r="L316" i="1"/>
  <c r="L317" i="1"/>
  <c r="L318" i="1"/>
  <c r="L325" i="1"/>
  <c r="C24" i="10" s="1"/>
  <c r="L326" i="1"/>
  <c r="E106" i="2"/>
  <c r="L327" i="1"/>
  <c r="L252" i="1"/>
  <c r="L253" i="1"/>
  <c r="C25" i="10" s="1"/>
  <c r="L333" i="1"/>
  <c r="E123" i="2"/>
  <c r="L334" i="1"/>
  <c r="L247" i="1"/>
  <c r="F22" i="13" s="1"/>
  <c r="C22" i="13" s="1"/>
  <c r="L328" i="1"/>
  <c r="C29" i="10" s="1"/>
  <c r="C11" i="13"/>
  <c r="C10" i="13"/>
  <c r="C9" i="13"/>
  <c r="L353" i="1"/>
  <c r="B4" i="12"/>
  <c r="B36" i="12"/>
  <c r="C36" i="12"/>
  <c r="B40" i="12"/>
  <c r="A40" i="12" s="1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258" i="1"/>
  <c r="J52" i="1"/>
  <c r="G48" i="2" s="1"/>
  <c r="G55" i="2" s="1"/>
  <c r="G51" i="2"/>
  <c r="G53" i="2"/>
  <c r="G54" i="2" s="1"/>
  <c r="F2" i="11"/>
  <c r="L603" i="1"/>
  <c r="H653" i="1" s="1"/>
  <c r="L602" i="1"/>
  <c r="G653" i="1"/>
  <c r="L601" i="1"/>
  <c r="L604" i="1" s="1"/>
  <c r="F653" i="1"/>
  <c r="C40" i="10"/>
  <c r="F52" i="1"/>
  <c r="F104" i="1" s="1"/>
  <c r="G52" i="1"/>
  <c r="G104" i="1" s="1"/>
  <c r="H52" i="1"/>
  <c r="I52" i="1"/>
  <c r="F48" i="2" s="1"/>
  <c r="F71" i="1"/>
  <c r="C49" i="2" s="1"/>
  <c r="F86" i="1"/>
  <c r="C50" i="2" s="1"/>
  <c r="F103" i="1"/>
  <c r="G103" i="1"/>
  <c r="H71" i="1"/>
  <c r="H104" i="1" s="1"/>
  <c r="H86" i="1"/>
  <c r="E50" i="2"/>
  <c r="H103" i="1"/>
  <c r="I103" i="1"/>
  <c r="J103" i="1"/>
  <c r="C37" i="10"/>
  <c r="F113" i="1"/>
  <c r="F128" i="1"/>
  <c r="F132" i="1"/>
  <c r="G113" i="1"/>
  <c r="G132" i="1" s="1"/>
  <c r="C38" i="10" s="1"/>
  <c r="G128" i="1"/>
  <c r="H113" i="1"/>
  <c r="H128" i="1"/>
  <c r="I113" i="1"/>
  <c r="I128" i="1"/>
  <c r="I132" i="1"/>
  <c r="J113" i="1"/>
  <c r="J132" i="1" s="1"/>
  <c r="J128" i="1"/>
  <c r="F139" i="1"/>
  <c r="C77" i="2" s="1"/>
  <c r="C83" i="2" s="1"/>
  <c r="F154" i="1"/>
  <c r="G139" i="1"/>
  <c r="D77" i="2" s="1"/>
  <c r="D83" i="2" s="1"/>
  <c r="G154" i="1"/>
  <c r="H139" i="1"/>
  <c r="H161" i="1" s="1"/>
  <c r="H154" i="1"/>
  <c r="I139" i="1"/>
  <c r="I161" i="1" s="1"/>
  <c r="I154" i="1"/>
  <c r="C20" i="10"/>
  <c r="L242" i="1"/>
  <c r="C105" i="2" s="1"/>
  <c r="L324" i="1"/>
  <c r="L246" i="1"/>
  <c r="L260" i="1"/>
  <c r="C26" i="10" s="1"/>
  <c r="C134" i="2"/>
  <c r="L261" i="1"/>
  <c r="C135" i="2" s="1"/>
  <c r="L341" i="1"/>
  <c r="L342" i="1"/>
  <c r="I655" i="1"/>
  <c r="I660" i="1"/>
  <c r="I659" i="1"/>
  <c r="C6" i="10"/>
  <c r="C5" i="10"/>
  <c r="C42" i="10"/>
  <c r="C32" i="10"/>
  <c r="L366" i="1"/>
  <c r="F122" i="2" s="1"/>
  <c r="F136" i="2" s="1"/>
  <c r="F137" i="2" s="1"/>
  <c r="L367" i="1"/>
  <c r="L368" i="1"/>
  <c r="L369" i="1"/>
  <c r="L370" i="1"/>
  <c r="L371" i="1"/>
  <c r="L372" i="1"/>
  <c r="B2" i="10"/>
  <c r="L336" i="1"/>
  <c r="L337" i="1"/>
  <c r="E127" i="2"/>
  <c r="L338" i="1"/>
  <c r="E129" i="2" s="1"/>
  <c r="L339" i="1"/>
  <c r="K343" i="1"/>
  <c r="L511" i="1"/>
  <c r="F539" i="1" s="1"/>
  <c r="L512" i="1"/>
  <c r="L514" i="1" s="1"/>
  <c r="F540" i="1"/>
  <c r="L513" i="1"/>
  <c r="F541" i="1" s="1"/>
  <c r="L516" i="1"/>
  <c r="G539" i="1"/>
  <c r="L517" i="1"/>
  <c r="G540" i="1" s="1"/>
  <c r="L518" i="1"/>
  <c r="G541" i="1" s="1"/>
  <c r="L521" i="1"/>
  <c r="H539" i="1" s="1"/>
  <c r="L522" i="1"/>
  <c r="L524" i="1" s="1"/>
  <c r="H540" i="1"/>
  <c r="L523" i="1"/>
  <c r="H541" i="1" s="1"/>
  <c r="L526" i="1"/>
  <c r="I539" i="1"/>
  <c r="I542" i="1" s="1"/>
  <c r="L527" i="1"/>
  <c r="I540" i="1" s="1"/>
  <c r="L528" i="1"/>
  <c r="I541" i="1" s="1"/>
  <c r="L531" i="1"/>
  <c r="J539" i="1"/>
  <c r="L532" i="1"/>
  <c r="J540" i="1" s="1"/>
  <c r="J542" i="1" s="1"/>
  <c r="L533" i="1"/>
  <c r="J541" i="1"/>
  <c r="K262" i="1"/>
  <c r="J262" i="1"/>
  <c r="I262" i="1"/>
  <c r="H262" i="1"/>
  <c r="G262" i="1"/>
  <c r="F262" i="1"/>
  <c r="L262" i="1"/>
  <c r="C124" i="2"/>
  <c r="C123" i="2"/>
  <c r="A1" i="2"/>
  <c r="A2" i="2"/>
  <c r="C9" i="2"/>
  <c r="D9" i="2"/>
  <c r="D19" i="2" s="1"/>
  <c r="E9" i="2"/>
  <c r="E19" i="2" s="1"/>
  <c r="F9" i="2"/>
  <c r="I431" i="1"/>
  <c r="J9" i="1"/>
  <c r="G9" i="2" s="1"/>
  <c r="G19" i="2" s="1"/>
  <c r="C10" i="2"/>
  <c r="D10" i="2"/>
  <c r="D12" i="2"/>
  <c r="D13" i="2"/>
  <c r="D14" i="2"/>
  <c r="D16" i="2"/>
  <c r="D17" i="2"/>
  <c r="D18" i="2"/>
  <c r="E10" i="2"/>
  <c r="F10" i="2"/>
  <c r="I432" i="1"/>
  <c r="J10" i="1"/>
  <c r="G10" i="2" s="1"/>
  <c r="C11" i="2"/>
  <c r="C19" i="2" s="1"/>
  <c r="C12" i="2"/>
  <c r="E12" i="2"/>
  <c r="F12" i="2"/>
  <c r="I433" i="1"/>
  <c r="J12" i="1"/>
  <c r="G12" i="2" s="1"/>
  <c r="C13" i="2"/>
  <c r="E13" i="2"/>
  <c r="F13" i="2"/>
  <c r="I434" i="1"/>
  <c r="J13" i="1"/>
  <c r="G13" i="2"/>
  <c r="C14" i="2"/>
  <c r="E14" i="2"/>
  <c r="F14" i="2"/>
  <c r="I435" i="1"/>
  <c r="J14" i="1"/>
  <c r="G14" i="2" s="1"/>
  <c r="F15" i="2"/>
  <c r="C16" i="2"/>
  <c r="E16" i="2"/>
  <c r="F16" i="2"/>
  <c r="C17" i="2"/>
  <c r="E17" i="2"/>
  <c r="F17" i="2"/>
  <c r="I436" i="1"/>
  <c r="J17" i="1"/>
  <c r="G17" i="2"/>
  <c r="C18" i="2"/>
  <c r="E18" i="2"/>
  <c r="F18" i="2"/>
  <c r="I437" i="1"/>
  <c r="C22" i="2"/>
  <c r="D22" i="2"/>
  <c r="D32" i="2" s="1"/>
  <c r="E22" i="2"/>
  <c r="E32" i="2" s="1"/>
  <c r="F22" i="2"/>
  <c r="F32" i="2" s="1"/>
  <c r="F23" i="2"/>
  <c r="F24" i="2"/>
  <c r="F25" i="2"/>
  <c r="F26" i="2"/>
  <c r="F27" i="2"/>
  <c r="F28" i="2"/>
  <c r="F29" i="2"/>
  <c r="F30" i="2"/>
  <c r="F31" i="2"/>
  <c r="I440" i="1"/>
  <c r="I444" i="1" s="1"/>
  <c r="J23" i="1"/>
  <c r="G22" i="2" s="1"/>
  <c r="C23" i="2"/>
  <c r="C32" i="2" s="1"/>
  <c r="D23" i="2"/>
  <c r="E23" i="2"/>
  <c r="I441" i="1"/>
  <c r="C24" i="2"/>
  <c r="D24" i="2"/>
  <c r="D25" i="2"/>
  <c r="D28" i="2"/>
  <c r="D29" i="2"/>
  <c r="D30" i="2"/>
  <c r="D31" i="2"/>
  <c r="E24" i="2"/>
  <c r="I442" i="1"/>
  <c r="J25" i="1"/>
  <c r="G24" i="2" s="1"/>
  <c r="C25" i="2"/>
  <c r="E25" i="2"/>
  <c r="C26" i="2"/>
  <c r="C27" i="2"/>
  <c r="C28" i="2"/>
  <c r="E28" i="2"/>
  <c r="C29" i="2"/>
  <c r="E29" i="2"/>
  <c r="C30" i="2"/>
  <c r="E30" i="2"/>
  <c r="C31" i="2"/>
  <c r="E31" i="2"/>
  <c r="I443" i="1"/>
  <c r="J32" i="1" s="1"/>
  <c r="C34" i="2"/>
  <c r="C42" i="2" s="1"/>
  <c r="D34" i="2"/>
  <c r="D42" i="2" s="1"/>
  <c r="E34" i="2"/>
  <c r="E42" i="2" s="1"/>
  <c r="F34" i="2"/>
  <c r="C35" i="2"/>
  <c r="D35" i="2"/>
  <c r="E35" i="2"/>
  <c r="F35" i="2"/>
  <c r="F42" i="2" s="1"/>
  <c r="C36" i="2"/>
  <c r="D36" i="2"/>
  <c r="E36" i="2"/>
  <c r="F36" i="2"/>
  <c r="I446" i="1"/>
  <c r="J37" i="1" s="1"/>
  <c r="C37" i="2"/>
  <c r="D37" i="2"/>
  <c r="E37" i="2"/>
  <c r="F37" i="2"/>
  <c r="I447" i="1"/>
  <c r="J38" i="1"/>
  <c r="G37" i="2" s="1"/>
  <c r="C38" i="2"/>
  <c r="D38" i="2"/>
  <c r="E38" i="2"/>
  <c r="F38" i="2"/>
  <c r="I448" i="1"/>
  <c r="J40" i="1"/>
  <c r="G39" i="2"/>
  <c r="C40" i="2"/>
  <c r="D40" i="2"/>
  <c r="E40" i="2"/>
  <c r="E41" i="2"/>
  <c r="F40" i="2"/>
  <c r="I449" i="1"/>
  <c r="J41" i="1" s="1"/>
  <c r="G40" i="2" s="1"/>
  <c r="C41" i="2"/>
  <c r="D41" i="2"/>
  <c r="F41" i="2"/>
  <c r="C48" i="2"/>
  <c r="C51" i="2"/>
  <c r="C53" i="2"/>
  <c r="D48" i="2"/>
  <c r="E48" i="2"/>
  <c r="E49" i="2"/>
  <c r="E54" i="2" s="1"/>
  <c r="D51" i="2"/>
  <c r="E51" i="2"/>
  <c r="F51" i="2"/>
  <c r="F54" i="2" s="1"/>
  <c r="D52" i="2"/>
  <c r="D54" i="2" s="1"/>
  <c r="D53" i="2"/>
  <c r="E53" i="2"/>
  <c r="F53" i="2"/>
  <c r="C58" i="2"/>
  <c r="C62" i="2" s="1"/>
  <c r="C59" i="2"/>
  <c r="C61" i="2"/>
  <c r="D61" i="2"/>
  <c r="D62" i="2"/>
  <c r="D71" i="2"/>
  <c r="D69" i="2"/>
  <c r="D70" i="2" s="1"/>
  <c r="D73" i="2" s="1"/>
  <c r="E61" i="2"/>
  <c r="E62" i="2" s="1"/>
  <c r="F61" i="2"/>
  <c r="F62" i="2"/>
  <c r="G61" i="2"/>
  <c r="G62" i="2" s="1"/>
  <c r="G69" i="2"/>
  <c r="G70" i="2" s="1"/>
  <c r="C64" i="2"/>
  <c r="F64" i="2"/>
  <c r="C65" i="2"/>
  <c r="F65" i="2"/>
  <c r="F70" i="2" s="1"/>
  <c r="F73" i="2" s="1"/>
  <c r="C66" i="2"/>
  <c r="C70" i="2" s="1"/>
  <c r="C73" i="2" s="1"/>
  <c r="C67" i="2"/>
  <c r="C68" i="2"/>
  <c r="E68" i="2"/>
  <c r="F68" i="2"/>
  <c r="C69" i="2"/>
  <c r="E69" i="2"/>
  <c r="E70" i="2" s="1"/>
  <c r="E73" i="2" s="1"/>
  <c r="F69" i="2"/>
  <c r="C71" i="2"/>
  <c r="E71" i="2"/>
  <c r="C72" i="2"/>
  <c r="E72" i="2"/>
  <c r="E77" i="2"/>
  <c r="E83" i="2" s="1"/>
  <c r="E79" i="2"/>
  <c r="E80" i="2"/>
  <c r="E81" i="2"/>
  <c r="C79" i="2"/>
  <c r="F79" i="2"/>
  <c r="F80" i="2"/>
  <c r="F81" i="2"/>
  <c r="C80" i="2"/>
  <c r="D80" i="2"/>
  <c r="C81" i="2"/>
  <c r="D81" i="2"/>
  <c r="C82" i="2"/>
  <c r="C85" i="2"/>
  <c r="F85" i="2"/>
  <c r="C86" i="2"/>
  <c r="F86" i="2"/>
  <c r="D88" i="2"/>
  <c r="D95" i="2" s="1"/>
  <c r="D89" i="2"/>
  <c r="D90" i="2"/>
  <c r="D91" i="2"/>
  <c r="D92" i="2"/>
  <c r="D93" i="2"/>
  <c r="D94" i="2"/>
  <c r="E88" i="2"/>
  <c r="F88" i="2"/>
  <c r="G88" i="2"/>
  <c r="C89" i="2"/>
  <c r="E89" i="2"/>
  <c r="F89" i="2"/>
  <c r="F95" i="2" s="1"/>
  <c r="G89" i="2"/>
  <c r="C90" i="2"/>
  <c r="E90" i="2"/>
  <c r="G90" i="2"/>
  <c r="G95" i="2" s="1"/>
  <c r="C91" i="2"/>
  <c r="E91" i="2"/>
  <c r="F91" i="2"/>
  <c r="F92" i="2"/>
  <c r="F93" i="2"/>
  <c r="F94" i="2"/>
  <c r="C92" i="2"/>
  <c r="E92" i="2"/>
  <c r="C93" i="2"/>
  <c r="E93" i="2"/>
  <c r="C94" i="2"/>
  <c r="E94" i="2"/>
  <c r="E102" i="2"/>
  <c r="C103" i="2"/>
  <c r="E103" i="2"/>
  <c r="E104" i="2"/>
  <c r="E105" i="2"/>
  <c r="C106" i="2"/>
  <c r="D107" i="2"/>
  <c r="F107" i="2"/>
  <c r="G107" i="2"/>
  <c r="E113" i="2"/>
  <c r="E115" i="2"/>
  <c r="E117" i="2"/>
  <c r="F120" i="2"/>
  <c r="G120" i="2"/>
  <c r="C122" i="2"/>
  <c r="E122" i="2"/>
  <c r="D126" i="2"/>
  <c r="E126" i="2"/>
  <c r="F126" i="2"/>
  <c r="K411" i="1"/>
  <c r="K426" i="1" s="1"/>
  <c r="G126" i="2" s="1"/>
  <c r="G136" i="2" s="1"/>
  <c r="G137" i="2" s="1"/>
  <c r="K419" i="1"/>
  <c r="K425" i="1"/>
  <c r="L255" i="1"/>
  <c r="C127" i="2" s="1"/>
  <c r="L256" i="1"/>
  <c r="C128" i="2"/>
  <c r="L257" i="1"/>
  <c r="C129" i="2"/>
  <c r="E134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B153" i="2" s="1"/>
  <c r="G490" i="1"/>
  <c r="C153" i="2"/>
  <c r="H490" i="1"/>
  <c r="D153" i="2" s="1"/>
  <c r="I490" i="1"/>
  <c r="E153" i="2" s="1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/>
  <c r="G493" i="1"/>
  <c r="C156" i="2" s="1"/>
  <c r="G156" i="2" s="1"/>
  <c r="H493" i="1"/>
  <c r="D156" i="2" s="1"/>
  <c r="I493" i="1"/>
  <c r="E156" i="2"/>
  <c r="J493" i="1"/>
  <c r="F156" i="2" s="1"/>
  <c r="F19" i="1"/>
  <c r="G19" i="1"/>
  <c r="H19" i="1"/>
  <c r="I19" i="1"/>
  <c r="G610" i="1"/>
  <c r="F33" i="1"/>
  <c r="G33" i="1"/>
  <c r="H33" i="1"/>
  <c r="I33" i="1"/>
  <c r="F43" i="1"/>
  <c r="F44" i="1" s="1"/>
  <c r="H607" i="1" s="1"/>
  <c r="J607" i="1" s="1"/>
  <c r="G43" i="1"/>
  <c r="G44" i="1" s="1"/>
  <c r="H608" i="1" s="1"/>
  <c r="H43" i="1"/>
  <c r="H44" i="1" s="1"/>
  <c r="H609" i="1" s="1"/>
  <c r="I43" i="1"/>
  <c r="G615" i="1" s="1"/>
  <c r="J615" i="1" s="1"/>
  <c r="I44" i="1"/>
  <c r="H610" i="1" s="1"/>
  <c r="J610" i="1" s="1"/>
  <c r="F169" i="1"/>
  <c r="F184" i="1" s="1"/>
  <c r="I169" i="1"/>
  <c r="F175" i="1"/>
  <c r="G175" i="1"/>
  <c r="H175" i="1"/>
  <c r="H184" i="1" s="1"/>
  <c r="I175" i="1"/>
  <c r="I184" i="1" s="1"/>
  <c r="J175" i="1"/>
  <c r="G635" i="1" s="1"/>
  <c r="J635" i="1" s="1"/>
  <c r="F180" i="1"/>
  <c r="G180" i="1"/>
  <c r="G184" i="1" s="1"/>
  <c r="H180" i="1"/>
  <c r="I180" i="1"/>
  <c r="F203" i="1"/>
  <c r="G203" i="1"/>
  <c r="H203" i="1"/>
  <c r="H249" i="1" s="1"/>
  <c r="H263" i="1" s="1"/>
  <c r="I203" i="1"/>
  <c r="I249" i="1" s="1"/>
  <c r="I263" i="1" s="1"/>
  <c r="J203" i="1"/>
  <c r="K203" i="1"/>
  <c r="F221" i="1"/>
  <c r="G221" i="1"/>
  <c r="H221" i="1"/>
  <c r="I221" i="1"/>
  <c r="J221" i="1"/>
  <c r="J249" i="1" s="1"/>
  <c r="K221" i="1"/>
  <c r="K249" i="1" s="1"/>
  <c r="K263" i="1" s="1"/>
  <c r="F239" i="1"/>
  <c r="F249" i="1" s="1"/>
  <c r="F263" i="1" s="1"/>
  <c r="G239" i="1"/>
  <c r="H239" i="1"/>
  <c r="I239" i="1"/>
  <c r="J239" i="1"/>
  <c r="K239" i="1"/>
  <c r="F248" i="1"/>
  <c r="G248" i="1"/>
  <c r="H248" i="1"/>
  <c r="I248" i="1"/>
  <c r="J248" i="1"/>
  <c r="L248" i="1" s="1"/>
  <c r="K248" i="1"/>
  <c r="G249" i="1"/>
  <c r="G263" i="1" s="1"/>
  <c r="F282" i="1"/>
  <c r="F330" i="1" s="1"/>
  <c r="F344" i="1" s="1"/>
  <c r="G282" i="1"/>
  <c r="H282" i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G330" i="1" s="1"/>
  <c r="G344" i="1" s="1"/>
  <c r="H329" i="1"/>
  <c r="H330" i="1" s="1"/>
  <c r="H344" i="1" s="1"/>
  <c r="I329" i="1"/>
  <c r="J329" i="1"/>
  <c r="K329" i="1"/>
  <c r="K330" i="1"/>
  <c r="K344" i="1" s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I385" i="1"/>
  <c r="F393" i="1"/>
  <c r="G393" i="1"/>
  <c r="H393" i="1"/>
  <c r="I393" i="1"/>
  <c r="F399" i="1"/>
  <c r="F400" i="1" s="1"/>
  <c r="H633" i="1" s="1"/>
  <c r="G399" i="1"/>
  <c r="H399" i="1"/>
  <c r="I399" i="1"/>
  <c r="G400" i="1"/>
  <c r="I400" i="1"/>
  <c r="L405" i="1"/>
  <c r="L406" i="1"/>
  <c r="L407" i="1"/>
  <c r="L411" i="1" s="1"/>
  <c r="L426" i="1" s="1"/>
  <c r="G628" i="1" s="1"/>
  <c r="J628" i="1" s="1"/>
  <c r="L408" i="1"/>
  <c r="L409" i="1"/>
  <c r="L410" i="1"/>
  <c r="F411" i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G426" i="1" s="1"/>
  <c r="H419" i="1"/>
  <c r="I419" i="1"/>
  <c r="I426" i="1"/>
  <c r="J419" i="1"/>
  <c r="J426" i="1" s="1"/>
  <c r="L421" i="1"/>
  <c r="L422" i="1"/>
  <c r="L423" i="1"/>
  <c r="L425" i="1" s="1"/>
  <c r="L424" i="1"/>
  <c r="F425" i="1"/>
  <c r="F426" i="1"/>
  <c r="G425" i="1"/>
  <c r="H425" i="1"/>
  <c r="H426" i="1" s="1"/>
  <c r="I425" i="1"/>
  <c r="J425" i="1"/>
  <c r="F438" i="1"/>
  <c r="G438" i="1"/>
  <c r="G630" i="1"/>
  <c r="H438" i="1"/>
  <c r="G631" i="1" s="1"/>
  <c r="F444" i="1"/>
  <c r="F451" i="1" s="1"/>
  <c r="H629" i="1" s="1"/>
  <c r="J629" i="1" s="1"/>
  <c r="G444" i="1"/>
  <c r="G451" i="1" s="1"/>
  <c r="H630" i="1" s="1"/>
  <c r="H444" i="1"/>
  <c r="F450" i="1"/>
  <c r="G450" i="1"/>
  <c r="H450" i="1"/>
  <c r="H451" i="1" s="1"/>
  <c r="H631" i="1" s="1"/>
  <c r="F460" i="1"/>
  <c r="F466" i="1" s="1"/>
  <c r="H612" i="1" s="1"/>
  <c r="G460" i="1"/>
  <c r="H460" i="1"/>
  <c r="I460" i="1"/>
  <c r="J460" i="1"/>
  <c r="J466" i="1" s="1"/>
  <c r="H616" i="1" s="1"/>
  <c r="F464" i="1"/>
  <c r="G464" i="1"/>
  <c r="G466" i="1" s="1"/>
  <c r="H613" i="1" s="1"/>
  <c r="J613" i="1" s="1"/>
  <c r="H464" i="1"/>
  <c r="I464" i="1"/>
  <c r="I466" i="1"/>
  <c r="H615" i="1"/>
  <c r="J464" i="1"/>
  <c r="H466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/>
  <c r="H514" i="1"/>
  <c r="H535" i="1" s="1"/>
  <c r="I514" i="1"/>
  <c r="J514" i="1"/>
  <c r="K514" i="1"/>
  <c r="F519" i="1"/>
  <c r="F535" i="1" s="1"/>
  <c r="G519" i="1"/>
  <c r="H519" i="1"/>
  <c r="I519" i="1"/>
  <c r="J519" i="1"/>
  <c r="J535" i="1" s="1"/>
  <c r="K519" i="1"/>
  <c r="K535" i="1" s="1"/>
  <c r="L519" i="1"/>
  <c r="F524" i="1"/>
  <c r="G524" i="1"/>
  <c r="H524" i="1"/>
  <c r="I524" i="1"/>
  <c r="I535" i="1" s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G550" i="1"/>
  <c r="G561" i="1" s="1"/>
  <c r="H550" i="1"/>
  <c r="H561" i="1" s="1"/>
  <c r="I550" i="1"/>
  <c r="I561" i="1" s="1"/>
  <c r="J550" i="1"/>
  <c r="J561" i="1" s="1"/>
  <c r="K550" i="1"/>
  <c r="L552" i="1"/>
  <c r="L555" i="1" s="1"/>
  <c r="L553" i="1"/>
  <c r="L554" i="1"/>
  <c r="F555" i="1"/>
  <c r="G555" i="1"/>
  <c r="H555" i="1"/>
  <c r="I555" i="1"/>
  <c r="J555" i="1"/>
  <c r="K555" i="1"/>
  <c r="K561" i="1" s="1"/>
  <c r="L557" i="1"/>
  <c r="L558" i="1"/>
  <c r="L559" i="1"/>
  <c r="L560" i="1" s="1"/>
  <c r="F560" i="1"/>
  <c r="F561" i="1" s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/>
  <c r="G637" i="1" s="1"/>
  <c r="J637" i="1" s="1"/>
  <c r="K582" i="1"/>
  <c r="K583" i="1"/>
  <c r="K584" i="1"/>
  <c r="K585" i="1"/>
  <c r="K586" i="1"/>
  <c r="K587" i="1"/>
  <c r="H588" i="1"/>
  <c r="I588" i="1"/>
  <c r="H640" i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8" i="1"/>
  <c r="G609" i="1"/>
  <c r="J609" i="1" s="1"/>
  <c r="G613" i="1"/>
  <c r="G614" i="1"/>
  <c r="H614" i="1"/>
  <c r="J614" i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29" i="1"/>
  <c r="G633" i="1"/>
  <c r="G634" i="1"/>
  <c r="H635" i="1"/>
  <c r="G639" i="1"/>
  <c r="J639" i="1" s="1"/>
  <c r="H639" i="1"/>
  <c r="H641" i="1"/>
  <c r="G642" i="1"/>
  <c r="J642" i="1" s="1"/>
  <c r="H642" i="1"/>
  <c r="G643" i="1"/>
  <c r="H643" i="1"/>
  <c r="J643" i="1"/>
  <c r="G644" i="1"/>
  <c r="J644" i="1"/>
  <c r="H644" i="1"/>
  <c r="G645" i="1"/>
  <c r="J645" i="1" s="1"/>
  <c r="H645" i="1"/>
  <c r="C95" i="2"/>
  <c r="G612" i="1"/>
  <c r="J612" i="1" s="1"/>
  <c r="G155" i="2"/>
  <c r="E95" i="2"/>
  <c r="L529" i="1"/>
  <c r="G148" i="2"/>
  <c r="J24" i="1"/>
  <c r="I438" i="1"/>
  <c r="G632" i="1" s="1"/>
  <c r="J18" i="1"/>
  <c r="G18" i="2"/>
  <c r="F19" i="2"/>
  <c r="E124" i="2"/>
  <c r="L203" i="1"/>
  <c r="L399" i="1"/>
  <c r="C132" i="2" s="1"/>
  <c r="G31" i="13"/>
  <c r="F651" i="1"/>
  <c r="G161" i="1"/>
  <c r="H132" i="1"/>
  <c r="H25" i="13"/>
  <c r="C25" i="13" s="1"/>
  <c r="E116" i="2"/>
  <c r="H651" i="1"/>
  <c r="D7" i="13"/>
  <c r="C7" i="13"/>
  <c r="G23" i="2"/>
  <c r="J634" i="1" l="1"/>
  <c r="C54" i="2"/>
  <c r="C55" i="2" s="1"/>
  <c r="C96" i="2" s="1"/>
  <c r="H650" i="1"/>
  <c r="H654" i="1" s="1"/>
  <c r="J633" i="1"/>
  <c r="L561" i="1"/>
  <c r="F43" i="2"/>
  <c r="F55" i="2"/>
  <c r="F542" i="1"/>
  <c r="K539" i="1"/>
  <c r="G96" i="2"/>
  <c r="E136" i="2"/>
  <c r="H542" i="1"/>
  <c r="G185" i="1"/>
  <c r="G618" i="1" s="1"/>
  <c r="J618" i="1" s="1"/>
  <c r="C133" i="2"/>
  <c r="J631" i="1"/>
  <c r="C27" i="10"/>
  <c r="G625" i="1"/>
  <c r="J625" i="1" s="1"/>
  <c r="G650" i="1"/>
  <c r="L249" i="1"/>
  <c r="L263" i="1" s="1"/>
  <c r="G622" i="1" s="1"/>
  <c r="J622" i="1" s="1"/>
  <c r="J630" i="1"/>
  <c r="E55" i="2"/>
  <c r="E96" i="2" s="1"/>
  <c r="E137" i="2"/>
  <c r="I651" i="1"/>
  <c r="D55" i="2"/>
  <c r="D96" i="2" s="1"/>
  <c r="E43" i="2"/>
  <c r="G542" i="1"/>
  <c r="I653" i="1"/>
  <c r="L400" i="1"/>
  <c r="C130" i="2"/>
  <c r="C136" i="2" s="1"/>
  <c r="D43" i="2"/>
  <c r="I652" i="1"/>
  <c r="J608" i="1"/>
  <c r="G153" i="2"/>
  <c r="G36" i="2"/>
  <c r="G42" i="2" s="1"/>
  <c r="J43" i="1"/>
  <c r="C43" i="2"/>
  <c r="K541" i="1"/>
  <c r="H185" i="1"/>
  <c r="G619" i="1" s="1"/>
  <c r="J619" i="1" s="1"/>
  <c r="H638" i="1"/>
  <c r="J638" i="1" s="1"/>
  <c r="J263" i="1"/>
  <c r="G73" i="2"/>
  <c r="J33" i="1"/>
  <c r="G31" i="2"/>
  <c r="G32" i="2" s="1"/>
  <c r="K540" i="1"/>
  <c r="J104" i="1"/>
  <c r="G651" i="1"/>
  <c r="C8" i="13"/>
  <c r="L534" i="1"/>
  <c r="L535" i="1" s="1"/>
  <c r="I104" i="1"/>
  <c r="I185" i="1" s="1"/>
  <c r="G620" i="1" s="1"/>
  <c r="J620" i="1" s="1"/>
  <c r="C35" i="10"/>
  <c r="K493" i="1"/>
  <c r="G641" i="1"/>
  <c r="J641" i="1" s="1"/>
  <c r="J184" i="1"/>
  <c r="C111" i="2"/>
  <c r="C102" i="2"/>
  <c r="F77" i="2"/>
  <c r="F83" i="2" s="1"/>
  <c r="C23" i="10"/>
  <c r="L282" i="1"/>
  <c r="D29" i="13"/>
  <c r="C29" i="13" s="1"/>
  <c r="C10" i="10"/>
  <c r="G652" i="1"/>
  <c r="C19" i="10"/>
  <c r="D119" i="2"/>
  <c r="D120" i="2" s="1"/>
  <c r="D137" i="2" s="1"/>
  <c r="C110" i="2"/>
  <c r="L374" i="1"/>
  <c r="G626" i="1" s="1"/>
  <c r="J626" i="1" s="1"/>
  <c r="H33" i="13"/>
  <c r="D5" i="13"/>
  <c r="J19" i="1"/>
  <c r="G611" i="1" s="1"/>
  <c r="I450" i="1"/>
  <c r="I451" i="1" s="1"/>
  <c r="H632" i="1" s="1"/>
  <c r="J632" i="1" s="1"/>
  <c r="G640" i="1"/>
  <c r="J640" i="1" s="1"/>
  <c r="L329" i="1"/>
  <c r="C101" i="2"/>
  <c r="L343" i="1"/>
  <c r="F33" i="13"/>
  <c r="C18" i="10"/>
  <c r="C117" i="2"/>
  <c r="C21" i="10"/>
  <c r="F161" i="1"/>
  <c r="C39" i="10" s="1"/>
  <c r="E13" i="13"/>
  <c r="C13" i="13" s="1"/>
  <c r="C116" i="2"/>
  <c r="C104" i="2"/>
  <c r="C17" i="10"/>
  <c r="K490" i="1"/>
  <c r="J44" i="1" l="1"/>
  <c r="H611" i="1" s="1"/>
  <c r="G616" i="1"/>
  <c r="J616" i="1" s="1"/>
  <c r="C36" i="10"/>
  <c r="C41" i="10" s="1"/>
  <c r="F96" i="2"/>
  <c r="H662" i="1"/>
  <c r="H657" i="1"/>
  <c r="J611" i="1"/>
  <c r="C107" i="2"/>
  <c r="C137" i="2" s="1"/>
  <c r="C28" i="10"/>
  <c r="D10" i="10" s="1"/>
  <c r="G627" i="1"/>
  <c r="J627" i="1" s="1"/>
  <c r="H636" i="1"/>
  <c r="E33" i="13"/>
  <c r="D35" i="13" s="1"/>
  <c r="D17" i="10"/>
  <c r="L330" i="1"/>
  <c r="L344" i="1" s="1"/>
  <c r="G623" i="1" s="1"/>
  <c r="J623" i="1" s="1"/>
  <c r="D31" i="13"/>
  <c r="C31" i="13" s="1"/>
  <c r="F650" i="1"/>
  <c r="G654" i="1"/>
  <c r="C5" i="13"/>
  <c r="D18" i="10"/>
  <c r="D23" i="10"/>
  <c r="J185" i="1"/>
  <c r="G43" i="2"/>
  <c r="F185" i="1"/>
  <c r="G617" i="1" s="1"/>
  <c r="J617" i="1" s="1"/>
  <c r="D21" i="10"/>
  <c r="K542" i="1"/>
  <c r="D27" i="10"/>
  <c r="C120" i="2"/>
  <c r="D40" i="10" l="1"/>
  <c r="D37" i="10"/>
  <c r="D38" i="10"/>
  <c r="D35" i="10"/>
  <c r="D39" i="10"/>
  <c r="G657" i="1"/>
  <c r="G662" i="1"/>
  <c r="D33" i="13"/>
  <c r="D36" i="13" s="1"/>
  <c r="I650" i="1"/>
  <c r="I654" i="1" s="1"/>
  <c r="F654" i="1"/>
  <c r="G621" i="1"/>
  <c r="G636" i="1"/>
  <c r="J636" i="1" s="1"/>
  <c r="D19" i="10"/>
  <c r="D36" i="10"/>
  <c r="D22" i="10"/>
  <c r="C30" i="10"/>
  <c r="D11" i="10"/>
  <c r="D28" i="10" s="1"/>
  <c r="D15" i="10"/>
  <c r="D25" i="10"/>
  <c r="D13" i="10"/>
  <c r="D24" i="10"/>
  <c r="D12" i="10"/>
  <c r="D16" i="10"/>
  <c r="D26" i="10"/>
  <c r="D20" i="10"/>
  <c r="J621" i="1" l="1"/>
  <c r="H646" i="1"/>
  <c r="I662" i="1"/>
  <c r="C7" i="10" s="1"/>
  <c r="I657" i="1"/>
  <c r="F662" i="1"/>
  <c r="C4" i="10" s="1"/>
  <c r="F657" i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B1B66A34-1C9A-4560-B8DD-7805EAE0053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1717227-18AE-4C0B-AEA8-37F661408C8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5FA3022-1AFC-43CE-900E-E15C908D4B7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4A8B32B-0574-4D28-91D6-2BC9EB4BFE5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98BE61A3-DBD0-47CB-A4EA-27E3E425FB6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8C04D6E-6A75-41FE-B44D-7343736035C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62DC33A-E622-451B-A2C6-2F70798D1D2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2B7015C5-224F-4C2C-8AB1-9CA5E66CEFC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B00BFA64-D056-40C1-B5B7-ED3DF78B796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849016B2-489A-4CB7-A0B4-D7A55F4B1E7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9E82EB1-DCF5-4574-B68D-B1F50739B4D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5691300-5215-4377-8763-36EFBB20859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<sst xmlns="http://schemas.openxmlformats.org/spreadsheetml/2006/main" count="3858" uniqueCount="895">
  <si>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</si>
  <si>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</si>
  <si>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</si>
  <si>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</si>
  <si>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</si>
  <si>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</si>
  <si>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</si>
  <si>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</si>
  <si>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</si>
  <si>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</si>
  <si>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</si>
  <si>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</si>
  <si>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</si>
  <si>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</si>
  <si>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</si>
  <si>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</si>
  <si>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</si>
  <si>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</si>
  <si>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</si>
  <si>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</si>
  <si>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</si>
  <si>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</si>
  <si>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</si>
  <si>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</si>
  <si>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</si>
  <si>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</si>
  <si>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</si>
  <si>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</si>
  <si>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</si>
  <si>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</si>
  <si>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</si>
  <si>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</si>
  <si>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</si>
  <si>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</si>
  <si>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</si>
  <si>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</si>
  <si>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</si>
  <si>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</si>
  <si>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</si>
  <si>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</si>
  <si>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</si>
  <si>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</si>
  <si>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</si>
  <si>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</si>
  <si>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</si>
  <si>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</si>
  <si>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</si>
  <si>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</si>
  <si>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</si>
  <si>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</si>
  <si>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</si>
  <si>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</si>
  <si>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</si>
  <si>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</si>
  <si>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</si>
  <si>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</si>
  <si>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</si>
  <si>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</si>
  <si>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</si>
  <si>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</si>
  <si>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</si>
  <si>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</si>
  <si>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</si>
  <si>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</si>
  <si>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</si>
  <si>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</si>
  <si>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</si>
  <si>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</si>
  <si>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</si>
  <si>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</si>
  <si>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</si>
  <si>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</si>
  <si>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</si>
  <si>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</si>
  <si>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</si>
  <si>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</si>
  <si>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</si>
  <si>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</si>
  <si>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</si>
  <si>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</si>
  <si>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</si>
  <si>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</si>
  <si>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</si>
  <si>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</si>
  <si>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</si>
  <si>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</si>
  <si>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</si>
  <si>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</si>
  <si>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</si>
  <si>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</si>
  <si>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</si>
  <si>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</si>
  <si>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</si>
  <si>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</si>
  <si>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</si>
  <si>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</si>
  <si>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</si>
  <si>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</si>
  <si>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</si>
  <si>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</si>
  <si>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</si>
  <si>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</si>
  <si>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</si>
  <si>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</si>
  <si>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</si>
  <si>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</si>
  <si>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</si>
  <si>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</si>
  <si>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</si>
  <si>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</si>
  <si>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</si>
  <si>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</si>
  <si>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</si>
  <si>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</si>
  <si>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</si>
  <si>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</si>
  <si>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</si>
  <si>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</si>
  <si>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</si>
  <si>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</si>
  <si>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</si>
  <si>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</si>
  <si>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</si>
  <si>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</si>
  <si>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</si>
  <si>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</si>
  <si>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</si>
  <si>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</si>
  <si>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</si>
  <si>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</si>
  <si>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</si>
  <si>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</si>
  <si>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</si>
  <si>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</si>
  <si>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</si>
  <si>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</si>
  <si>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</si>
  <si>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</si>
  <si>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</si>
  <si>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</si>
  <si>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</si>
  <si>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</si>
  <si>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</si>
  <si>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</si>
  <si>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</si>
  <si>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</si>
  <si>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</si>
  <si>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</si>
  <si>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</si>
  <si>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</si>
  <si>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</si>
  <si>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</si>
  <si>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</si>
  <si>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</si>
  <si>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</si>
  <si>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</si>
  <si>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</si>
  <si>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</si>
  <si>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</si>
  <si>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</si>
  <si>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</si>
  <si>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</si>
  <si>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</si>
  <si>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</si>
  <si>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</si>
  <si>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</si>
  <si>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</si>
  <si>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</si>
  <si>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</si>
  <si>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</si>
  <si>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</si>
  <si>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</si>
  <si>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</si>
  <si>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</si>
  <si>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</si>
  <si>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</si>
  <si>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</si>
  <si>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</si>
  <si>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</si>
  <si>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</si>
  <si>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</si>
  <si>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</si>
  <si>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</si>
  <si>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</si>
  <si>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</si>
  <si>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</si>
  <si>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</si>
  <si>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</si>
  <si>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</si>
  <si>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</si>
  <si>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</si>
  <si>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</si>
  <si>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</si>
  <si>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</si>
  <si>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</si>
  <si>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</si>
  <si>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</si>
  <si>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</si>
  <si>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</si>
  <si>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</si>
  <si>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</si>
  <si>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</si>
  <si>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</si>
  <si>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</si>
  <si>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</si>
  <si>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</si>
  <si>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</si>
  <si>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</si>
  <si>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</si>
  <si>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</si>
  <si>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</si>
  <si>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</si>
  <si>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</si>
  <si>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</si>
  <si>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</si>
  <si>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</si>
  <si>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</si>
  <si>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</si>
  <si>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</si>
  <si>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</si>
  <si>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</si>
  <si>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</si>
  <si>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</si>
  <si>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</si>
  <si>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</si>
  <si>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</si>
  <si>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</si>
  <si>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</si>
  <si>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</si>
  <si>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</si>
  <si>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</si>
  <si>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</si>
  <si>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</si>
  <si>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</si>
  <si>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</si>
  <si>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</si>
  <si>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</si>
  <si>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</si>
  <si>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</si>
  <si>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</si>
  <si>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</si>
  <si>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</si>
  <si>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</si>
  <si>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</si>
  <si>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</si>
  <si>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</si>
  <si>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</si>
  <si>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</si>
  <si>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</si>
  <si>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</si>
  <si>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</si>
  <si>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</si>
  <si>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</si>
  <si>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</si>
  <si>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</si>
  <si>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</si>
  <si>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</si>
  <si>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</si>
  <si>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</si>
  <si>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</si>
  <si>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</si>
  <si>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</si>
  <si>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</si>
  <si>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</si>
  <si>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</si>
  <si>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</si>
  <si>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</si>
  <si>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</si>
  <si>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</si>
  <si>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</si>
  <si>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</si>
  <si>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</si>
  <si>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</si>
  <si>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</si>
  <si>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</si>
  <si>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</si>
  <si>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</si>
  <si>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</si>
  <si>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</si>
  <si>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</si>
  <si>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</si>
  <si>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</si>
  <si>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</si>
  <si>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</si>
  <si>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</si>
  <si>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</si>
  <si>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</si>
  <si>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</si>
  <si>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</si>
  <si>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</si>
  <si>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</si>
  <si>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</si>
  <si>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</si>
  <si>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</si>
  <si>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</si>
  <si>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</si>
  <si>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</si>
  <si>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</si>
  <si>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</si>
  <si>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</si>
  <si>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</si>
  <si>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</si>
  <si>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</si>
  <si>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</si>
  <si>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</si>
  <si>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</si>
  <si>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</si>
  <si>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</si>
  <si>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</si>
  <si>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</si>
  <si>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</si>
  <si>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</si>
  <si>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</si>
  <si>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</si>
  <si>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</si>
  <si>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</si>
  <si>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</si>
  <si>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</si>
  <si>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</si>
  <si>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</si>
  <si>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</si>
  <si>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</si>
  <si>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</si>
  <si>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</si>
  <si>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</si>
  <si>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</si>
  <si>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</si>
  <si>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</si>
  <si>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</si>
  <si>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</si>
  <si>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</si>
  <si>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</si>
  <si>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</si>
  <si>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</si>
  <si>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</si>
  <si>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</si>
  <si>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</si>
  <si>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</si>
  <si>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</si>
  <si>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</si>
  <si>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</si>
  <si>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</si>
  <si>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</si>
  <si>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</si>
  <si>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</si>
  <si>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</si>
  <si>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</si>
  <si>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</si>
  <si>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</si>
  <si>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</si>
  <si>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</si>
  <si>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</si>
  <si>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</si>
  <si>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</si>
  <si>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</si>
  <si>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</si>
  <si>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</si>
  <si>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</si>
  <si>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</si>
  <si>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</si>
  <si>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</si>
  <si>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</si>
  <si>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</si>
  <si>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</si>
  <si>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</si>
  <si>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</si>
  <si>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</si>
  <si>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</si>
  <si>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</si>
  <si>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</si>
  <si>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</si>
  <si>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</si>
  <si>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</si>
  <si>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</si>
  <si>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</si>
  <si>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</si>
  <si>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</si>
  <si>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</si>
  <si>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</si>
  <si>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</si>
  <si>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</si>
  <si>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</si>
  <si>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</si>
  <si>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</si>
  <si>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</si>
  <si>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</si>
  <si>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</si>
  <si>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</si>
  <si>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</si>
  <si>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</si>
  <si>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</si>
  <si>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</si>
  <si>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</si>
  <si>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</si>
  <si>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</si>
  <si>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</si>
  <si>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</si>
  <si>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</si>
  <si>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</si>
  <si>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</si>
  <si>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</si>
  <si>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</si>
  <si>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</si>
  <si>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</si>
  <si>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</si>
  <si>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</si>
  <si>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</si>
  <si>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</si>
  <si>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</si>
  <si>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</si>
  <si>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</si>
  <si>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</si>
  <si>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</si>
  <si>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</si>
  <si>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</si>
  <si>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</si>
  <si>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</si>
  <si>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</si>
  <si>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</si>
  <si>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</si>
  <si>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</si>
  <si>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</si>
  <si>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</si>
  <si>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</si>
  <si>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</si>
  <si>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</si>
  <si>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</si>
  <si>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</si>
  <si>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</si>
  <si>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</si>
  <si>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</si>
  <si>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</si>
  <si>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</si>
  <si>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</si>
  <si>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</si>
  <si>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</si>
  <si>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</si>
  <si>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</si>
  <si>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</si>
  <si>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</si>
  <si>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</si>
  <si>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</si>
  <si>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</si>
  <si>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</si>
  <si>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</si>
  <si>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</si>
  <si>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</si>
  <si>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</si>
  <si>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</si>
  <si>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</si>
  <si>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</si>
  <si>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</si>
  <si>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</si>
  <si>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</si>
  <si>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</si>
  <si>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</si>
  <si>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</si>
  <si>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</si>
  <si>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</si>
  <si>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</si>
  <si>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</si>
  <si>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</si>
  <si>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</si>
  <si>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</si>
  <si>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</si>
  <si>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</si>
  <si>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</si>
  <si>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</si>
  <si>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</si>
  <si>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</si>
  <si>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</si>
  <si>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</si>
  <si>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</si>
  <si>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</si>
  <si>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</si>
  <si>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</si>
  <si>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</si>
  <si>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</si>
  <si>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</si>
  <si>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</si>
  <si>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</si>
  <si>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</si>
  <si>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</si>
  <si>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</si>
  <si>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</si>
  <si>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</si>
  <si>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</si>
  <si>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</si>
  <si>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</si>
  <si>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</si>
  <si>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</si>
  <si>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</si>
  <si>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</si>
  <si>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</si>
  <si>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</si>
  <si>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</si>
  <si>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</si>
  <si>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</si>
  <si>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</si>
  <si>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</si>
  <si>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</si>
  <si>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</si>
  <si>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</si>
  <si>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</si>
  <si>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</si>
  <si>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</si>
  <si>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</si>
  <si>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</si>
  <si>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</si>
  <si>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</si>
  <si>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</si>
  <si>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</si>
  <si>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</si>
  <si>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</si>
  <si>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</si>
  <si>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</si>
  <si>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</si>
  <si>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</si>
  <si>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</si>
  <si>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</si>
  <si>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</si>
  <si>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</si>
  <si>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</si>
  <si>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</si>
  <si>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</si>
  <si>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</si>
  <si>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</si>
  <si>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</si>
  <si>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</si>
  <si>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</si>
  <si>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</si>
  <si>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</si>
  <si>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</si>
  <si>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</si>
  <si>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</si>
  <si>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</si>
  <si>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</si>
  <si>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</si>
  <si>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</si>
  <si>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</si>
  <si>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</si>
  <si>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</si>
  <si>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</si>
  <si>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</si>
  <si>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</si>
  <si>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</si>
  <si>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</si>
  <si>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</si>
  <si>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</si>
  <si>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</si>
  <si>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</si>
  <si>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</si>
  <si>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</si>
  <si>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</si>
  <si>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</si>
  <si>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</si>
  <si>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</si>
  <si>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</si>
  <si>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</si>
  <si>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</si>
  <si>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</si>
  <si>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</si>
  <si>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</si>
  <si>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</si>
  <si>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</si>
  <si>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</si>
  <si>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</si>
  <si>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</si>
  <si>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</si>
  <si>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</si>
  <si>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</si>
  <si>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</si>
  <si>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</si>
  <si>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</si>
  <si>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</si>
  <si>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</si>
  <si>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</si>
  <si>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</si>
  <si>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</si>
  <si>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</si>
  <si>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</si>
  <si>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</si>
  <si>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</si>
  <si>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</si>
  <si>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</si>
  <si>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</si>
  <si>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</si>
  <si>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</si>
  <si>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</si>
  <si>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</si>
  <si>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</si>
  <si>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</si>
  <si>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</si>
  <si>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</si>
  <si>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</si>
  <si>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</si>
  <si>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</si>
  <si>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</si>
  <si>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</si>
  <si>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</si>
  <si>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</si>
  <si>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</si>
  <si>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</si>
  <si>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</si>
  <si>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</si>
  <si>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</si>
  <si>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</si>
  <si>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</si>
  <si>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</si>
  <si>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</si>
  <si>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</si>
  <si>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</si>
  <si>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</si>
  <si>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</si>
  <si>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</si>
  <si>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</si>
  <si>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</si>
  <si>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</si>
  <si>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</si>
  <si>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</si>
  <si>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</si>
  <si>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</si>
  <si>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</si>
  <si>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</si>
  <si>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</si>
  <si>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</si>
  <si>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</si>
  <si>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</si>
  <si>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</si>
  <si>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</si>
  <si>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</si>
  <si>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</si>
  <si>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</si>
  <si>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</si>
  <si>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</si>
  <si>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</si>
  <si>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</si>
  <si>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</si>
  <si>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</si>
  <si>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</si>
  <si>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</si>
  <si>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</si>
  <si>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</si>
  <si>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</si>
  <si>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</si>
  <si>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</si>
  <si>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</si>
  <si>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</si>
  <si>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</si>
  <si>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</si>
  <si>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</si>
  <si>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</si>
  <si>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</si>
  <si>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</si>
  <si>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</si>
  <si>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</si>
  <si>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</si>
  <si>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</si>
  <si>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</si>
  <si>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</si>
  <si>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</si>
  <si>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</si>
  <si>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</si>
  <si>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</si>
  <si>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</si>
  <si>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</si>
  <si>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</si>
  <si>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</si>
  <si>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</si>
  <si>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</si>
  <si>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</si>
  <si>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</si>
  <si>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</si>
  <si>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</si>
  <si>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</si>
  <si>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</si>
  <si>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</si>
  <si>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</si>
  <si>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</si>
  <si>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</si>
  <si>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</si>
  <si>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</si>
  <si>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</si>
  <si>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</si>
  <si>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</si>
  <si>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</si>
  <si>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</si>
  <si>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</si>
  <si>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</si>
  <si>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</si>
  <si>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</si>
  <si>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</si>
  <si>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</si>
  <si>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</si>
  <si>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</si>
  <si>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</si>
  <si>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</si>
  <si>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</si>
  <si>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</si>
  <si>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</si>
  <si>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</si>
  <si>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</si>
  <si>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</si>
  <si>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</si>
  <si>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</si>
  <si>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</si>
  <si>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</si>
  <si>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</si>
  <si>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</si>
  <si>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</si>
  <si>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</si>
  <si>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</si>
  <si>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</si>
  <si>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</si>
  <si>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</si>
  <si>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</si>
  <si>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</si>
  <si>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</si>
  <si>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</si>
  <si>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</si>
  <si>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</si>
  <si>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</si>
  <si>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</si>
  <si>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</si>
  <si>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</si>
  <si>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</si>
  <si>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</si>
  <si>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</si>
  <si>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</si>
  <si>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</si>
  <si>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</si>
  <si>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</si>
  <si>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</si>
  <si>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</si>
  <si>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</si>
  <si>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</si>
  <si>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</si>
  <si>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</si>
  <si>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</si>
  <si>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</si>
  <si>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</si>
  <si>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</si>
  <si>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</si>
  <si>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</si>
  <si>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</si>
  <si>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</si>
  <si>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</si>
  <si>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</si>
  <si>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</si>
  <si>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</si>
  <si>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</si>
  <si>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</si>
  <si>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</si>
  <si>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</si>
  <si>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</si>
  <si>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</si>
  <si>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</si>
  <si>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</si>
  <si>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</si>
  <si>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</si>
  <si>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</si>
  <si>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</si>
  <si>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</si>
  <si>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</si>
  <si>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</si>
  <si>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</si>
  <si>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</si>
  <si>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</si>
  <si>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</si>
  <si>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</si>
  <si>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</si>
  <si>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</si>
  <si>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</si>
  <si>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</si>
  <si>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</si>
  <si>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</si>
  <si>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</si>
  <si>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</si>
  <si>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</si>
  <si>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</si>
  <si>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</si>
  <si>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</si>
  <si>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</si>
  <si>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</si>
  <si>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</si>
  <si>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</si>
  <si>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</si>
  <si>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</si>
  <si>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</si>
  <si>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</si>
  <si>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</si>
  <si>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</si>
  <si>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</si>
  <si>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</si>
  <si>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</si>
  <si>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</si>
  <si>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</si>
  <si>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</si>
  <si>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</si>
  <si>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</si>
  <si>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</si>
  <si>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</si>
  <si>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</si>
  <si>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</si>
  <si>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</si>
  <si>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</si>
  <si>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</si>
  <si>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</si>
  <si>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</si>
  <si>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</si>
  <si>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</si>
  <si>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</si>
  <si>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</si>
  <si>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</si>
  <si>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</si>
  <si>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</si>
  <si>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</si>
  <si>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</si>
  <si>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</si>
  <si>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</si>
  <si>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</si>
  <si>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</si>
  <si>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</si>
  <si>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</si>
  <si>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</si>
  <si>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</si>
  <si>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</si>
  <si>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</si>
  <si>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</si>
  <si>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</si>
  <si>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</si>
  <si>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</si>
  <si>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</si>
  <si>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</si>
  <si>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</si>
  <si>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</si>
  <si>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</si>
  <si>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</si>
  <si>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</si>
  <si>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</si>
  <si>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</si>
  <si>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</si>
  <si>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</si>
  <si>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</si>
  <si>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</si>
  <si>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</si>
  <si>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</si>
  <si>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</si>
  <si>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</si>
  <si>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</si>
  <si>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</si>
  <si>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</si>
  <si>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</si>
  <si>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</si>
  <si>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</si>
  <si>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</si>
  <si>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</si>
  <si>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</si>
  <si>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</si>
  <si>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</si>
  <si>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</si>
  <si>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</si>
  <si>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</si>
  <si>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</si>
  <si>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</si>
  <si>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</si>
  <si>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</si>
  <si>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</si>
  <si>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</si>
  <si>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</si>
  <si>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</si>
  <si>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</si>
  <si>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</si>
  <si>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</si>
  <si>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</si>
  <si>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</si>
  <si>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</si>
  <si>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</si>
  <si>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</si>
  <si>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</si>
  <si>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</si>
  <si>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</si>
  <si>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</si>
  <si>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</si>
  <si>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</si>
  <si>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</si>
  <si>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</si>
  <si>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</si>
  <si>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</si>
  <si>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</si>
  <si>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</si>
  <si>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</si>
  <si>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</si>
  <si>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</si>
  <si>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Grantham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</si>
</sst>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3" fontId="2" fillId="0" borderId="0" xfId="0" applyNumberFormat="1" applyFont="1" applyProtection="1">
      <protection locked="0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A4B8-6D01-4CF5-8D83-DA77DB430B98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211</v>
      </c>
      <c r="C2" s="21">
        <v>211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149965.42000000001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>
        <v>219479.51</v>
      </c>
      <c r="J10" s="67">
        <f>SUM(I432)</f>
        <v>296386.57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89159.43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3056.97</v>
      </c>
      <c r="H13" s="18">
        <v>24044.55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239124.85</v>
      </c>
      <c r="G19" s="41">
        <f>SUM(G9:G18)</f>
        <v>3056.97</v>
      </c>
      <c r="H19" s="41">
        <f>SUM(H9:H18)</f>
        <v>24044.55</v>
      </c>
      <c r="I19" s="41">
        <f>SUM(I9:I18)</f>
        <v>219479.51</v>
      </c>
      <c r="J19" s="41">
        <f>SUM(J9:J18)</f>
        <v>296386.57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14911.2</v>
      </c>
      <c r="I23" s="18">
        <v>73311.19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462</v>
      </c>
      <c r="G24" s="18">
        <v>937.04</v>
      </c>
      <c r="H24" s="18">
        <v>6693.49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5562.38</v>
      </c>
      <c r="G29" s="18"/>
      <c r="H29" s="18"/>
      <c r="I29" s="18">
        <v>3371.78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2130.8200000000002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1939.86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8155.2000000000007</v>
      </c>
      <c r="G33" s="41">
        <f>SUM(G23:G32)</f>
        <v>937.04</v>
      </c>
      <c r="H33" s="41">
        <f>SUM(H23:H32)</f>
        <v>23544.550000000003</v>
      </c>
      <c r="I33" s="41">
        <f>SUM(I23:I32)</f>
        <v>76682.97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39396.9</v>
      </c>
      <c r="G37" s="18"/>
      <c r="H37" s="18">
        <v>370.04</v>
      </c>
      <c r="I37" s="18">
        <v>15060.75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67000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2119.9299999999998</v>
      </c>
      <c r="H41" s="18">
        <v>129.96</v>
      </c>
      <c r="I41" s="18">
        <v>127735.79</v>
      </c>
      <c r="J41" s="13">
        <f>SUM(I449)</f>
        <v>296386.57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124572.15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230969.05</v>
      </c>
      <c r="G43" s="41">
        <f>SUM(G35:G42)</f>
        <v>2119.9299999999998</v>
      </c>
      <c r="H43" s="41">
        <f>SUM(H35:H42)</f>
        <v>500</v>
      </c>
      <c r="I43" s="41">
        <f>SUM(I35:I42)</f>
        <v>142796.53999999998</v>
      </c>
      <c r="J43" s="41">
        <f>SUM(J35:J42)</f>
        <v>296386.57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239124.25</v>
      </c>
      <c r="G44" s="41">
        <f>G43+G33</f>
        <v>3056.97</v>
      </c>
      <c r="H44" s="41">
        <f>H43+H33</f>
        <v>24044.550000000003</v>
      </c>
      <c r="I44" s="41">
        <f>I43+I33</f>
        <v>219479.50999999998</v>
      </c>
      <c r="J44" s="41">
        <f>J43+J33</f>
        <v>296386.57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4876748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4876748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6225.44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6225.44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1112</v>
      </c>
      <c r="G88" s="18"/>
      <c r="H88" s="18"/>
      <c r="I88" s="18">
        <v>1638.62</v>
      </c>
      <c r="J88" s="18">
        <v>1863.22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69713.25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>
        <v>30641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16504.810000000001</v>
      </c>
      <c r="G102" s="18"/>
      <c r="H102" s="18"/>
      <c r="I102" s="18">
        <v>14885</v>
      </c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17616.810000000001</v>
      </c>
      <c r="G103" s="41">
        <f>SUM(G88:G102)</f>
        <v>69713.25</v>
      </c>
      <c r="H103" s="41">
        <f>SUM(H88:H102)</f>
        <v>0</v>
      </c>
      <c r="I103" s="41">
        <f>SUM(I88:I102)</f>
        <v>16523.62</v>
      </c>
      <c r="J103" s="41">
        <f>SUM(J88:J102)</f>
        <v>32504.22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4900590.25</v>
      </c>
      <c r="G104" s="41">
        <f>G52+G103</f>
        <v>69713.25</v>
      </c>
      <c r="H104" s="41">
        <f>H52+H71+H86+H103</f>
        <v>0</v>
      </c>
      <c r="I104" s="41">
        <f>I52+I103</f>
        <v>16523.62</v>
      </c>
      <c r="J104" s="41">
        <f>J52+J103</f>
        <v>32504.22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1183667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1183667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112031.08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798.22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112031.08</v>
      </c>
      <c r="G128" s="41">
        <f>SUM(G115:G127)</f>
        <v>798.22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1295698.08</v>
      </c>
      <c r="G132" s="41">
        <f>G113+SUM(G128:G129)</f>
        <v>798.22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>
        <v>4053.38</v>
      </c>
      <c r="H138" s="18">
        <v>24004</v>
      </c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4053.38</v>
      </c>
      <c r="H139" s="41">
        <f>SUM(H137:H138)</f>
        <v>24004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11788.69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16110.54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36056.51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18233.18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18233.18</v>
      </c>
      <c r="G154" s="41">
        <f>SUM(G142:G153)</f>
        <v>16110.54</v>
      </c>
      <c r="H154" s="41">
        <f>SUM(H142:H153)</f>
        <v>47845.200000000004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18233.18</v>
      </c>
      <c r="G161" s="41">
        <f>G139+G154+SUM(G155:G160)</f>
        <v>20163.920000000002</v>
      </c>
      <c r="H161" s="41">
        <f>H139+H154+SUM(H155:H160)</f>
        <v>71849.200000000012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41494.1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41494.1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41494.1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6256015.6099999994</v>
      </c>
      <c r="G185" s="47">
        <f>G104+G132+G161+G184</f>
        <v>90675.39</v>
      </c>
      <c r="H185" s="47">
        <f>H104+H132+H161+H184</f>
        <v>71849.200000000012</v>
      </c>
      <c r="I185" s="47">
        <f>I104+I132+I161+I184</f>
        <v>16523.62</v>
      </c>
      <c r="J185" s="47">
        <f>J104+J132+J184</f>
        <v>32504.22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271">
        <v>978467.25</v>
      </c>
      <c r="G189" s="18">
        <v>411855.63</v>
      </c>
      <c r="H189" s="271">
        <v>21825.4</v>
      </c>
      <c r="I189" s="18">
        <v>41530.32</v>
      </c>
      <c r="J189" s="18">
        <v>39475.599999999999</v>
      </c>
      <c r="K189" s="18"/>
      <c r="L189" s="19">
        <f>SUM(F189:K189)</f>
        <v>1493154.2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267455.53999999998</v>
      </c>
      <c r="G190" s="18">
        <v>157249.76999999999</v>
      </c>
      <c r="H190" s="18">
        <v>29090.799999999999</v>
      </c>
      <c r="I190" s="18">
        <v>962.5</v>
      </c>
      <c r="J190" s="18"/>
      <c r="K190" s="18"/>
      <c r="L190" s="19">
        <f>SUM(F190:K190)</f>
        <v>454758.60999999993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36855.5</v>
      </c>
      <c r="G194" s="18">
        <v>75662.039999999994</v>
      </c>
      <c r="H194" s="18">
        <v>85107.31</v>
      </c>
      <c r="I194" s="18">
        <v>1775.65</v>
      </c>
      <c r="J194" s="18"/>
      <c r="K194" s="18"/>
      <c r="L194" s="19">
        <f t="shared" ref="L194:L200" si="0">SUM(F194:K194)</f>
        <v>199400.49999999997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38961</v>
      </c>
      <c r="G195" s="18">
        <v>37329.29</v>
      </c>
      <c r="H195" s="18">
        <v>28428.880000000001</v>
      </c>
      <c r="I195" s="18">
        <v>1208.75</v>
      </c>
      <c r="J195" s="18">
        <v>1573.08</v>
      </c>
      <c r="K195" s="18"/>
      <c r="L195" s="19">
        <f t="shared" si="0"/>
        <v>107501.00000000001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107628.47</v>
      </c>
      <c r="G196" s="18">
        <v>32674.86</v>
      </c>
      <c r="H196" s="18">
        <v>57272.65</v>
      </c>
      <c r="I196" s="18">
        <v>11924.63</v>
      </c>
      <c r="J196" s="18">
        <v>1142.53</v>
      </c>
      <c r="K196" s="18">
        <v>2633.5</v>
      </c>
      <c r="L196" s="19">
        <f t="shared" si="0"/>
        <v>213276.64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118860.61</v>
      </c>
      <c r="G197" s="18">
        <v>39679.08</v>
      </c>
      <c r="H197" s="18">
        <v>22333.03</v>
      </c>
      <c r="I197" s="18">
        <v>6569.68</v>
      </c>
      <c r="J197" s="18"/>
      <c r="K197" s="18">
        <v>455</v>
      </c>
      <c r="L197" s="19">
        <f t="shared" si="0"/>
        <v>187897.4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115064.56</v>
      </c>
      <c r="G199" s="18">
        <v>49896.09</v>
      </c>
      <c r="H199" s="18">
        <v>97316.3</v>
      </c>
      <c r="I199" s="18">
        <v>99073.3</v>
      </c>
      <c r="J199" s="18">
        <v>49651.66</v>
      </c>
      <c r="K199" s="18"/>
      <c r="L199" s="19">
        <f t="shared" si="0"/>
        <v>411001.91000000003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57477.45</v>
      </c>
      <c r="I200" s="18">
        <v>719.7</v>
      </c>
      <c r="J200" s="18"/>
      <c r="K200" s="18"/>
      <c r="L200" s="19">
        <f t="shared" si="0"/>
        <v>58197.149999999994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1663292.9300000002</v>
      </c>
      <c r="G203" s="41">
        <f t="shared" si="1"/>
        <v>804346.76</v>
      </c>
      <c r="H203" s="41">
        <f t="shared" si="1"/>
        <v>398851.82</v>
      </c>
      <c r="I203" s="41">
        <f t="shared" si="1"/>
        <v>163764.53000000003</v>
      </c>
      <c r="J203" s="41">
        <f t="shared" si="1"/>
        <v>91842.87</v>
      </c>
      <c r="K203" s="41">
        <f t="shared" si="1"/>
        <v>3088.5</v>
      </c>
      <c r="L203" s="41">
        <f t="shared" si="1"/>
        <v>3125187.4099999997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1070042.74</v>
      </c>
      <c r="I207" s="18"/>
      <c r="J207" s="18"/>
      <c r="K207" s="18"/>
      <c r="L207" s="19">
        <f>SUM(F207:K207)</f>
        <v>1070042.74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16430.650000000001</v>
      </c>
      <c r="I218" s="18"/>
      <c r="J218" s="18"/>
      <c r="K218" s="18"/>
      <c r="L218" s="19">
        <f t="shared" si="2"/>
        <v>16430.650000000001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1086473.3899999999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1086473.3899999999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1301764.04</v>
      </c>
      <c r="I225" s="18"/>
      <c r="J225" s="18"/>
      <c r="K225" s="18"/>
      <c r="L225" s="19">
        <f>SUM(F225:K225)</f>
        <v>1301764.04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25726.95</v>
      </c>
      <c r="I236" s="18"/>
      <c r="J236" s="18"/>
      <c r="K236" s="18"/>
      <c r="L236" s="19">
        <f t="shared" si="4"/>
        <v>25726.95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1327490.99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1327490.99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1663292.9300000002</v>
      </c>
      <c r="G249" s="41">
        <f t="shared" si="8"/>
        <v>804346.76</v>
      </c>
      <c r="H249" s="41">
        <f t="shared" si="8"/>
        <v>2812816.2</v>
      </c>
      <c r="I249" s="41">
        <f t="shared" si="8"/>
        <v>163764.53000000003</v>
      </c>
      <c r="J249" s="41">
        <f t="shared" si="8"/>
        <v>91842.87</v>
      </c>
      <c r="K249" s="41">
        <f t="shared" si="8"/>
        <v>3088.5</v>
      </c>
      <c r="L249" s="41">
        <f t="shared" si="8"/>
        <v>5539151.79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352100</v>
      </c>
      <c r="L252" s="19">
        <f>SUM(F252:K252)</f>
        <v>352100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382123</v>
      </c>
      <c r="L253" s="19">
        <f>SUM(F253:K253)</f>
        <v>382123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734223</v>
      </c>
      <c r="L262" s="41">
        <f t="shared" si="9"/>
        <v>734223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1663292.9300000002</v>
      </c>
      <c r="G263" s="42">
        <f t="shared" si="11"/>
        <v>804346.76</v>
      </c>
      <c r="H263" s="42">
        <f t="shared" si="11"/>
        <v>2812816.2</v>
      </c>
      <c r="I263" s="42">
        <f t="shared" si="11"/>
        <v>163764.53000000003</v>
      </c>
      <c r="J263" s="42">
        <f t="shared" si="11"/>
        <v>91842.87</v>
      </c>
      <c r="K263" s="42">
        <f t="shared" si="11"/>
        <v>737311.5</v>
      </c>
      <c r="L263" s="42">
        <f t="shared" si="11"/>
        <v>6273374.79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750</v>
      </c>
      <c r="G268" s="18">
        <v>113.58</v>
      </c>
      <c r="H268" s="18">
        <v>10925.11</v>
      </c>
      <c r="I268" s="18"/>
      <c r="J268" s="18"/>
      <c r="K268" s="18"/>
      <c r="L268" s="19">
        <f>SUM(F268:K268)</f>
        <v>11788.69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10453.700000000001</v>
      </c>
      <c r="G269" s="18">
        <v>110.38</v>
      </c>
      <c r="H269" s="18">
        <v>5344.54</v>
      </c>
      <c r="I269" s="18">
        <v>2004.85</v>
      </c>
      <c r="J269" s="18">
        <v>1868</v>
      </c>
      <c r="K269" s="18"/>
      <c r="L269" s="19">
        <f>SUM(F269:K269)</f>
        <v>19781.469999999998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15970.27</v>
      </c>
      <c r="I273" s="18">
        <v>304.77</v>
      </c>
      <c r="J273" s="18">
        <v>24004</v>
      </c>
      <c r="K273" s="18"/>
      <c r="L273" s="19">
        <f t="shared" ref="L273:L279" si="12">SUM(F273:K273)</f>
        <v>40279.040000000001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11203.7</v>
      </c>
      <c r="G282" s="42">
        <f t="shared" si="13"/>
        <v>223.95999999999998</v>
      </c>
      <c r="H282" s="42">
        <f t="shared" si="13"/>
        <v>32239.920000000002</v>
      </c>
      <c r="I282" s="42">
        <f t="shared" si="13"/>
        <v>2309.62</v>
      </c>
      <c r="J282" s="42">
        <f t="shared" si="13"/>
        <v>25872</v>
      </c>
      <c r="K282" s="42">
        <f t="shared" si="13"/>
        <v>0</v>
      </c>
      <c r="L282" s="41">
        <f t="shared" si="13"/>
        <v>71849.2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11203.7</v>
      </c>
      <c r="G330" s="41">
        <f t="shared" si="20"/>
        <v>223.95999999999998</v>
      </c>
      <c r="H330" s="41">
        <f t="shared" si="20"/>
        <v>32239.920000000002</v>
      </c>
      <c r="I330" s="41">
        <f t="shared" si="20"/>
        <v>2309.62</v>
      </c>
      <c r="J330" s="41">
        <f t="shared" si="20"/>
        <v>25872</v>
      </c>
      <c r="K330" s="41">
        <f t="shared" si="20"/>
        <v>0</v>
      </c>
      <c r="L330" s="41">
        <f t="shared" si="20"/>
        <v>71849.2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11203.7</v>
      </c>
      <c r="G344" s="41">
        <f>G330</f>
        <v>223.95999999999998</v>
      </c>
      <c r="H344" s="41">
        <f>H330</f>
        <v>32239.920000000002</v>
      </c>
      <c r="I344" s="41">
        <f>I330</f>
        <v>2309.62</v>
      </c>
      <c r="J344" s="41">
        <f>J330</f>
        <v>25872</v>
      </c>
      <c r="K344" s="47">
        <f>K330+K343</f>
        <v>0</v>
      </c>
      <c r="L344" s="41">
        <f>L330+L343</f>
        <v>71849.2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31744.89</v>
      </c>
      <c r="G350" s="18">
        <v>23120.75</v>
      </c>
      <c r="H350" s="18"/>
      <c r="I350" s="18">
        <v>33689.82</v>
      </c>
      <c r="J350" s="18">
        <v>0</v>
      </c>
      <c r="K350" s="18"/>
      <c r="L350" s="13">
        <f>SUM(F350:K350)</f>
        <v>88555.459999999992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31744.89</v>
      </c>
      <c r="G354" s="47">
        <f t="shared" si="22"/>
        <v>23120.75</v>
      </c>
      <c r="H354" s="47">
        <f t="shared" si="22"/>
        <v>0</v>
      </c>
      <c r="I354" s="47">
        <f t="shared" si="22"/>
        <v>33689.82</v>
      </c>
      <c r="J354" s="47">
        <f t="shared" si="22"/>
        <v>0</v>
      </c>
      <c r="K354" s="47">
        <f t="shared" si="22"/>
        <v>0</v>
      </c>
      <c r="L354" s="47">
        <f t="shared" si="22"/>
        <v>88555.459999999992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32983.01</v>
      </c>
      <c r="G359" s="18"/>
      <c r="H359" s="18"/>
      <c r="I359" s="56">
        <f>SUM(F359:H359)</f>
        <v>32983.01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706.81</v>
      </c>
      <c r="G360" s="63"/>
      <c r="H360" s="63"/>
      <c r="I360" s="56">
        <f>SUM(F360:H360)</f>
        <v>706.81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33689.82</v>
      </c>
      <c r="G361" s="47">
        <f>SUM(G359:G360)</f>
        <v>0</v>
      </c>
      <c r="H361" s="47">
        <f>SUM(H359:H360)</f>
        <v>0</v>
      </c>
      <c r="I361" s="47">
        <f>SUM(I359:I360)</f>
        <v>33689.82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34055.67</v>
      </c>
      <c r="I371" s="18">
        <v>0</v>
      </c>
      <c r="J371" s="18">
        <v>1771840.42</v>
      </c>
      <c r="K371" s="18"/>
      <c r="L371" s="13">
        <f t="shared" si="23"/>
        <v>1805896.0899999999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41494.1</v>
      </c>
      <c r="L373" s="13">
        <f t="shared" si="23"/>
        <v>41494.1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34055.67</v>
      </c>
      <c r="I374" s="41">
        <f t="shared" si="24"/>
        <v>0</v>
      </c>
      <c r="J374" s="47">
        <f t="shared" si="24"/>
        <v>1771840.42</v>
      </c>
      <c r="K374" s="47">
        <f t="shared" si="24"/>
        <v>41494.1</v>
      </c>
      <c r="L374" s="47">
        <f t="shared" si="24"/>
        <v>1847390.19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180.73</v>
      </c>
      <c r="I380" s="18">
        <v>30641</v>
      </c>
      <c r="J380" s="24" t="s">
        <v>312</v>
      </c>
      <c r="K380" s="24" t="s">
        <v>312</v>
      </c>
      <c r="L380" s="56">
        <f t="shared" si="25"/>
        <v>30821.73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180.73</v>
      </c>
      <c r="I385" s="65">
        <f>SUM(I379:I384)</f>
        <v>30641</v>
      </c>
      <c r="J385" s="45" t="s">
        <v>312</v>
      </c>
      <c r="K385" s="45" t="s">
        <v>312</v>
      </c>
      <c r="L385" s="47">
        <f>SUM(L379:L384)</f>
        <v>30821.73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78.16</v>
      </c>
      <c r="I388" s="18"/>
      <c r="J388" s="24" t="s">
        <v>312</v>
      </c>
      <c r="K388" s="24" t="s">
        <v>312</v>
      </c>
      <c r="L388" s="56">
        <f t="shared" si="26"/>
        <v>78.16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186.88</v>
      </c>
      <c r="I389" s="18"/>
      <c r="J389" s="24" t="s">
        <v>312</v>
      </c>
      <c r="K389" s="24" t="s">
        <v>312</v>
      </c>
      <c r="L389" s="56">
        <f t="shared" si="26"/>
        <v>186.88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1417.45</v>
      </c>
      <c r="I390" s="18"/>
      <c r="J390" s="24" t="s">
        <v>312</v>
      </c>
      <c r="K390" s="24" t="s">
        <v>312</v>
      </c>
      <c r="L390" s="56">
        <f t="shared" si="26"/>
        <v>1417.45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1682.49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1682.49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1863.22</v>
      </c>
      <c r="I400" s="47">
        <f>I385+I393+I399</f>
        <v>30641</v>
      </c>
      <c r="J400" s="24" t="s">
        <v>312</v>
      </c>
      <c r="K400" s="24" t="s">
        <v>312</v>
      </c>
      <c r="L400" s="47">
        <f>L385+L393+L399</f>
        <v>32504.22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91133.54</v>
      </c>
      <c r="G432" s="18">
        <v>205253.03</v>
      </c>
      <c r="H432" s="18"/>
      <c r="I432" s="56">
        <f t="shared" si="33"/>
        <v>296386.57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91133.54</v>
      </c>
      <c r="G438" s="13">
        <f>SUM(G431:G437)</f>
        <v>205253.03</v>
      </c>
      <c r="H438" s="13">
        <f>SUM(H431:H437)</f>
        <v>0</v>
      </c>
      <c r="I438" s="13">
        <f>SUM(I431:I437)</f>
        <v>296386.57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91133.54</v>
      </c>
      <c r="G449" s="18">
        <v>205253.03</v>
      </c>
      <c r="H449" s="18"/>
      <c r="I449" s="56">
        <f>SUM(F449:H449)</f>
        <v>296386.57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91133.54</v>
      </c>
      <c r="G450" s="83">
        <f>SUM(G446:G449)</f>
        <v>205253.03</v>
      </c>
      <c r="H450" s="83">
        <f>SUM(H446:H449)</f>
        <v>0</v>
      </c>
      <c r="I450" s="83">
        <f>SUM(I446:I449)</f>
        <v>296386.57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91133.54</v>
      </c>
      <c r="G451" s="42">
        <f>G444+G450</f>
        <v>205253.03</v>
      </c>
      <c r="H451" s="42">
        <f>H444+H450</f>
        <v>0</v>
      </c>
      <c r="I451" s="42">
        <f>I444+I450</f>
        <v>296386.57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248328.83</v>
      </c>
      <c r="G455" s="18"/>
      <c r="H455" s="18">
        <v>500</v>
      </c>
      <c r="I455" s="18">
        <v>1973663.11</v>
      </c>
      <c r="J455" s="18">
        <v>263882.34999999998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6256015.6100000003</v>
      </c>
      <c r="G458" s="18">
        <v>90675.39</v>
      </c>
      <c r="H458" s="18">
        <v>71849.2</v>
      </c>
      <c r="I458" s="18">
        <v>16523.62</v>
      </c>
      <c r="J458" s="18">
        <v>32504.22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6256015.6100000003</v>
      </c>
      <c r="G460" s="53">
        <f>SUM(G458:G459)</f>
        <v>90675.39</v>
      </c>
      <c r="H460" s="53">
        <f>SUM(H458:H459)</f>
        <v>71849.2</v>
      </c>
      <c r="I460" s="53">
        <f>SUM(I458:I459)</f>
        <v>16523.62</v>
      </c>
      <c r="J460" s="53">
        <f>SUM(J458:J459)</f>
        <v>32504.22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6273374.79</v>
      </c>
      <c r="G462" s="18">
        <v>88555.46</v>
      </c>
      <c r="H462" s="18">
        <v>71849.2</v>
      </c>
      <c r="I462" s="18">
        <v>1847390.19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6273374.79</v>
      </c>
      <c r="G464" s="53">
        <f>SUM(G462:G463)</f>
        <v>88555.46</v>
      </c>
      <c r="H464" s="53">
        <f>SUM(H462:H463)</f>
        <v>71849.2</v>
      </c>
      <c r="I464" s="53">
        <f>SUM(I462:I463)</f>
        <v>1847390.19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230969.65000000037</v>
      </c>
      <c r="G466" s="53">
        <f>(G455+G460)- G464</f>
        <v>2119.929999999993</v>
      </c>
      <c r="H466" s="53">
        <f>(H455+H460)- H464</f>
        <v>500</v>
      </c>
      <c r="I466" s="53">
        <f>(I455+I460)- I464</f>
        <v>142796.54000000027</v>
      </c>
      <c r="J466" s="53">
        <f>(J455+J460)- J464</f>
        <v>296386.56999999995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7150000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5.0999999999999996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0</v>
      </c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7150000</v>
      </c>
      <c r="G486" s="18"/>
      <c r="H486" s="18"/>
      <c r="I486" s="18"/>
      <c r="J486" s="18"/>
      <c r="K486" s="53">
        <f t="shared" ref="K486:K493" si="34">SUM(F486:J486)</f>
        <v>7150000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7150000</v>
      </c>
      <c r="G488" s="205"/>
      <c r="H488" s="205"/>
      <c r="I488" s="205"/>
      <c r="J488" s="205"/>
      <c r="K488" s="206">
        <f t="shared" si="34"/>
        <v>7150000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3939410</v>
      </c>
      <c r="G489" s="18"/>
      <c r="H489" s="18"/>
      <c r="I489" s="18"/>
      <c r="J489" s="18"/>
      <c r="K489" s="53">
        <f t="shared" si="34"/>
        <v>3939410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11089410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11089410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352100</v>
      </c>
      <c r="G491" s="205"/>
      <c r="H491" s="205"/>
      <c r="I491" s="205"/>
      <c r="J491" s="205"/>
      <c r="K491" s="206">
        <f t="shared" si="34"/>
        <v>352100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382123</v>
      </c>
      <c r="G492" s="18"/>
      <c r="H492" s="18"/>
      <c r="I492" s="18"/>
      <c r="J492" s="18"/>
      <c r="K492" s="53">
        <f t="shared" si="34"/>
        <v>382123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734223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734223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232157.46</v>
      </c>
      <c r="G511" s="18">
        <v>154459.47</v>
      </c>
      <c r="H511" s="18">
        <v>29090.799999999999</v>
      </c>
      <c r="I511" s="18">
        <v>962.5</v>
      </c>
      <c r="J511" s="18">
        <v>0</v>
      </c>
      <c r="K511" s="18"/>
      <c r="L511" s="88">
        <f>SUM(F511:K511)</f>
        <v>416670.23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232157.46</v>
      </c>
      <c r="G514" s="108">
        <f t="shared" ref="G514:L514" si="35">SUM(G511:G513)</f>
        <v>154459.47</v>
      </c>
      <c r="H514" s="108">
        <f t="shared" si="35"/>
        <v>29090.799999999999</v>
      </c>
      <c r="I514" s="108">
        <f t="shared" si="35"/>
        <v>962.5</v>
      </c>
      <c r="J514" s="108">
        <f t="shared" si="35"/>
        <v>0</v>
      </c>
      <c r="K514" s="108">
        <f t="shared" si="35"/>
        <v>0</v>
      </c>
      <c r="L514" s="89">
        <f t="shared" si="35"/>
        <v>416670.23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36786.160000000003</v>
      </c>
      <c r="G521" s="18">
        <v>2814.14</v>
      </c>
      <c r="H521" s="18"/>
      <c r="I521" s="18"/>
      <c r="J521" s="18"/>
      <c r="K521" s="18"/>
      <c r="L521" s="88">
        <f>SUM(F521:K521)</f>
        <v>39600.300000000003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36786.160000000003</v>
      </c>
      <c r="G524" s="89">
        <f t="shared" ref="G524:L524" si="37">SUM(G521:G523)</f>
        <v>2814.14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39600.300000000003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268943.62</v>
      </c>
      <c r="G535" s="89">
        <f t="shared" ref="G535:L535" si="40">G514+G519+G524+G529+G534</f>
        <v>157273.61000000002</v>
      </c>
      <c r="H535" s="89">
        <f t="shared" si="40"/>
        <v>29090.799999999999</v>
      </c>
      <c r="I535" s="89">
        <f t="shared" si="40"/>
        <v>962.5</v>
      </c>
      <c r="J535" s="89">
        <f t="shared" si="40"/>
        <v>0</v>
      </c>
      <c r="K535" s="89">
        <f t="shared" si="40"/>
        <v>0</v>
      </c>
      <c r="L535" s="89">
        <f t="shared" si="40"/>
        <v>456270.52999999997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416670.23</v>
      </c>
      <c r="G539" s="87">
        <f>L516</f>
        <v>0</v>
      </c>
      <c r="H539" s="87">
        <f>L521</f>
        <v>39600.300000000003</v>
      </c>
      <c r="I539" s="87">
        <f>L526</f>
        <v>0</v>
      </c>
      <c r="J539" s="87">
        <f>L531</f>
        <v>0</v>
      </c>
      <c r="K539" s="87">
        <f>SUM(F539:J539)</f>
        <v>456270.52999999997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416670.23</v>
      </c>
      <c r="G542" s="89">
        <f t="shared" si="41"/>
        <v>0</v>
      </c>
      <c r="H542" s="89">
        <f t="shared" si="41"/>
        <v>39600.300000000003</v>
      </c>
      <c r="I542" s="89">
        <f t="shared" si="41"/>
        <v>0</v>
      </c>
      <c r="J542" s="89">
        <f t="shared" si="41"/>
        <v>0</v>
      </c>
      <c r="K542" s="89">
        <f t="shared" si="41"/>
        <v>456270.52999999997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1070042.74</v>
      </c>
      <c r="H565" s="18">
        <v>1301764.04</v>
      </c>
      <c r="I565" s="87">
        <f>SUM(F565:H565)</f>
        <v>2371806.7800000003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54264.4</v>
      </c>
      <c r="I581" s="18">
        <v>16430.650000000001</v>
      </c>
      <c r="J581" s="18">
        <v>25726.95</v>
      </c>
      <c r="K581" s="104">
        <f t="shared" ref="K581:K587" si="47">SUM(H581:J581)</f>
        <v>96422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3932.75</v>
      </c>
      <c r="I585" s="18"/>
      <c r="J585" s="18"/>
      <c r="K585" s="104">
        <f t="shared" si="47"/>
        <v>3932.75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58197.15</v>
      </c>
      <c r="I588" s="108">
        <f>SUM(I581:I587)</f>
        <v>16430.650000000001</v>
      </c>
      <c r="J588" s="108">
        <f>SUM(J581:J587)</f>
        <v>25726.95</v>
      </c>
      <c r="K588" s="108">
        <f>SUM(K581:K587)</f>
        <v>100354.75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117714.87</v>
      </c>
      <c r="I594" s="18"/>
      <c r="J594" s="18"/>
      <c r="K594" s="104">
        <f>SUM(H594:J594)</f>
        <v>117714.87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117714.87</v>
      </c>
      <c r="I595" s="108">
        <f>SUM(I592:I594)</f>
        <v>0</v>
      </c>
      <c r="J595" s="108">
        <f>SUM(J592:J594)</f>
        <v>0</v>
      </c>
      <c r="K595" s="108">
        <f>SUM(K592:K594)</f>
        <v>117714.87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239124.85</v>
      </c>
      <c r="H607" s="109">
        <f>SUM(F44)</f>
        <v>239124.25</v>
      </c>
      <c r="I607" s="121" t="s">
        <v>100</v>
      </c>
      <c r="J607" s="109">
        <f>G607-H607</f>
        <v>0.60000000000582077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3056.97</v>
      </c>
      <c r="H608" s="109">
        <f>SUM(G44)</f>
        <v>3056.97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24044.55</v>
      </c>
      <c r="H609" s="109">
        <f>SUM(H44)</f>
        <v>24044.550000000003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219479.51</v>
      </c>
      <c r="H610" s="109">
        <f>SUM(I44)</f>
        <v>219479.50999999998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296386.57</v>
      </c>
      <c r="H611" s="109">
        <f>SUM(J44)</f>
        <v>296386.57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230969.05</v>
      </c>
      <c r="H612" s="109">
        <f>F466</f>
        <v>230969.65000000037</v>
      </c>
      <c r="I612" s="121" t="s">
        <v>106</v>
      </c>
      <c r="J612" s="109">
        <f t="shared" ref="J612:J645" si="49">G612-H612</f>
        <v>-0.60000000038417056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2119.9299999999998</v>
      </c>
      <c r="H613" s="109">
        <f>G466</f>
        <v>2119.929999999993</v>
      </c>
      <c r="I613" s="121" t="s">
        <v>108</v>
      </c>
      <c r="J613" s="109">
        <f t="shared" si="49"/>
        <v>6.8212102632969618E-12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500</v>
      </c>
      <c r="H614" s="109">
        <f>H466</f>
        <v>500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142796.53999999998</v>
      </c>
      <c r="H615" s="109">
        <f>I466</f>
        <v>142796.54000000027</v>
      </c>
      <c r="I615" s="121" t="s">
        <v>112</v>
      </c>
      <c r="J615" s="109">
        <f t="shared" si="49"/>
        <v>-2.9103830456733704E-10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296386.57</v>
      </c>
      <c r="H616" s="109">
        <f>J466</f>
        <v>296386.56999999995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6256015.6099999994</v>
      </c>
      <c r="H617" s="104">
        <f>SUM(F458)</f>
        <v>6256015.6100000003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90675.39</v>
      </c>
      <c r="H618" s="104">
        <f>SUM(G458)</f>
        <v>90675.39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71849.200000000012</v>
      </c>
      <c r="H619" s="104">
        <f>SUM(H458)</f>
        <v>71849.2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16523.62</v>
      </c>
      <c r="H620" s="104">
        <f>SUM(I458)</f>
        <v>16523.62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32504.22</v>
      </c>
      <c r="H621" s="104">
        <f>SUM(J458)</f>
        <v>32504.22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6273374.79</v>
      </c>
      <c r="H622" s="104">
        <f>SUM(F462)</f>
        <v>6273374.79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71849.2</v>
      </c>
      <c r="H623" s="104">
        <f>SUM(H462)</f>
        <v>71849.2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33689.82</v>
      </c>
      <c r="H624" s="104">
        <f>I361</f>
        <v>33689.82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88555.459999999992</v>
      </c>
      <c r="H625" s="104">
        <f>SUM(G462)</f>
        <v>88555.46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1847390.19</v>
      </c>
      <c r="H626" s="104">
        <f>SUM(I462)</f>
        <v>1847390.19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32504.22</v>
      </c>
      <c r="H627" s="164">
        <f>SUM(J458)</f>
        <v>32504.22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91133.54</v>
      </c>
      <c r="H629" s="104">
        <f>SUM(F451)</f>
        <v>91133.54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205253.03</v>
      </c>
      <c r="H630" s="104">
        <f>SUM(G451)</f>
        <v>205253.03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296386.57</v>
      </c>
      <c r="H632" s="104">
        <f>SUM(I451)</f>
        <v>296386.57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1863.22</v>
      </c>
      <c r="H634" s="104">
        <f>H400</f>
        <v>1863.22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32504.22</v>
      </c>
      <c r="H636" s="104">
        <f>L400</f>
        <v>32504.22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100354.75</v>
      </c>
      <c r="H637" s="104">
        <f>L200+L218+L236</f>
        <v>100354.74999999999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117714.87</v>
      </c>
      <c r="H638" s="104">
        <f>(J249+J330)-(J247+J328)</f>
        <v>117714.87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58197.149999999994</v>
      </c>
      <c r="H639" s="104">
        <f>H588</f>
        <v>58197.15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16430.650000000001</v>
      </c>
      <c r="H640" s="104">
        <f>I588</f>
        <v>16430.650000000001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25726.95</v>
      </c>
      <c r="H641" s="104">
        <f>J588</f>
        <v>25726.95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3285592.07</v>
      </c>
      <c r="G650" s="19">
        <f>(L221+L301+L351)</f>
        <v>1086473.3899999999</v>
      </c>
      <c r="H650" s="19">
        <f>(L239+L320+L352)</f>
        <v>1327490.99</v>
      </c>
      <c r="I650" s="19">
        <f>SUM(F650:H650)</f>
        <v>5699556.4500000002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69713.25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69713.25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58197.149999999994</v>
      </c>
      <c r="G652" s="19">
        <f>(L218+L298)-(J218+J298)</f>
        <v>16430.650000000001</v>
      </c>
      <c r="H652" s="19">
        <f>(L236+L317)-(J236+J317)</f>
        <v>25726.95</v>
      </c>
      <c r="I652" s="19">
        <f>SUM(F652:H652)</f>
        <v>100354.74999999999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117714.87</v>
      </c>
      <c r="G653" s="200">
        <f>SUM(G565:G577)+SUM(I592:I594)+L602</f>
        <v>1070042.74</v>
      </c>
      <c r="H653" s="200">
        <f>SUM(H565:H577)+SUM(J592:J594)+L603</f>
        <v>1301764.04</v>
      </c>
      <c r="I653" s="19">
        <f>SUM(F653:H653)</f>
        <v>2489521.65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3039966.8</v>
      </c>
      <c r="G654" s="19">
        <f>G650-SUM(G651:G653)</f>
        <v>0</v>
      </c>
      <c r="H654" s="19">
        <f>H650-SUM(H651:H653)</f>
        <v>0</v>
      </c>
      <c r="I654" s="19">
        <f>I650-SUM(I651:I653)</f>
        <v>3039966.8000000003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237.11</v>
      </c>
      <c r="G655" s="249"/>
      <c r="H655" s="249"/>
      <c r="I655" s="19">
        <f>SUM(F655:H655)</f>
        <v>237.11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12820.91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12820.91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12820.91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12820.91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12DEC-6C2D-439D-A1F1-B07037006DA2}">
  <sheetPr>
    <tabColor indexed="20"/>
  </sheetPr>
  <dimension ref="A1:C52"/>
  <sheetViews>
    <sheetView topLeftCell="A25" workbookViewId="0">
      <selection activeCell="B51" sqref="B5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Grantham</v>
      </c>
      <c r="C1" s="239" t="s">
        <v>873</v>
      </c>
    </row>
    <row r="2" spans="1:3" x14ac:dyDescent="0.2">
      <c r="A2" s="234"/>
      <c r="B2" s="233"/>
    </row>
    <row r="3" spans="1:3" x14ac:dyDescent="0.2">
      <c r="A3" s="272" t="s">
        <v>818</v>
      </c>
      <c r="B3" s="272"/>
      <c r="C3" s="272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4" t="s">
        <v>816</v>
      </c>
      <c r="C7" s="275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979217.25</v>
      </c>
      <c r="C9" s="230">
        <f>'DOE25'!G189+'DOE25'!G207+'DOE25'!G225+'DOE25'!G268+'DOE25'!G287+'DOE25'!G306</f>
        <v>411969.21</v>
      </c>
    </row>
    <row r="10" spans="1:3" x14ac:dyDescent="0.2">
      <c r="A10" t="s">
        <v>813</v>
      </c>
      <c r="B10" s="241">
        <f>934766.23+31745+11956.02+750</f>
        <v>979217.25</v>
      </c>
      <c r="C10" s="241">
        <v>411969.21</v>
      </c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979217.25</v>
      </c>
      <c r="C13" s="232">
        <f>SUM(C10:C12)</f>
        <v>411969.21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4" t="s">
        <v>738</v>
      </c>
      <c r="C16" s="275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277909.24</v>
      </c>
      <c r="C18" s="230">
        <f>'DOE25'!G190+'DOE25'!G208+'DOE25'!G226+'DOE25'!G269+'DOE25'!G288+'DOE25'!G307</f>
        <v>157360.15</v>
      </c>
    </row>
    <row r="19" spans="1:3" x14ac:dyDescent="0.2">
      <c r="A19" t="s">
        <v>813</v>
      </c>
      <c r="B19" s="241">
        <f>83510.25+35298.08+7571.25</f>
        <v>126379.58</v>
      </c>
      <c r="C19" s="241">
        <f>67731.88+6644.48</f>
        <v>74376.36</v>
      </c>
    </row>
    <row r="20" spans="1:3" x14ac:dyDescent="0.2">
      <c r="A20" t="s">
        <v>814</v>
      </c>
      <c r="B20" s="241">
        <f>141075.96+10453.7</f>
        <v>151529.66</v>
      </c>
      <c r="C20" s="241">
        <v>82983.789999999994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277909.24</v>
      </c>
      <c r="C22" s="232">
        <f>SUM(C19:C21)</f>
        <v>157360.15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4" t="s">
        <v>739</v>
      </c>
      <c r="C25" s="275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4" t="s">
        <v>740</v>
      </c>
      <c r="C34" s="275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EE9F-3221-4C74-8800-C445EDA32363}">
  <sheetPr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Grantham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4319719.59</v>
      </c>
      <c r="D5" s="20">
        <f>SUM('DOE25'!L189:L192)+SUM('DOE25'!L207:L210)+SUM('DOE25'!L225:L228)-F5-G5</f>
        <v>4280243.99</v>
      </c>
      <c r="E5" s="244"/>
      <c r="F5" s="256">
        <f>SUM('DOE25'!J189:J192)+SUM('DOE25'!J207:J210)+SUM('DOE25'!J225:J228)</f>
        <v>39475.599999999999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199400.49999999997</v>
      </c>
      <c r="D6" s="20">
        <f>'DOE25'!L194+'DOE25'!L212+'DOE25'!L230-F6-G6</f>
        <v>199400.49999999997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107501.00000000001</v>
      </c>
      <c r="D7" s="20">
        <f>'DOE25'!L195+'DOE25'!L213+'DOE25'!L231-F7-G7</f>
        <v>105927.92000000001</v>
      </c>
      <c r="E7" s="244"/>
      <c r="F7" s="256">
        <f>'DOE25'!J195+'DOE25'!J213+'DOE25'!J231</f>
        <v>1573.08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96305.85</v>
      </c>
      <c r="D8" s="244"/>
      <c r="E8" s="20">
        <f>'DOE25'!L196+'DOE25'!L214+'DOE25'!L232-F8-G8-D9-D11</f>
        <v>92529.82</v>
      </c>
      <c r="F8" s="256">
        <f>'DOE25'!J196+'DOE25'!J214+'DOE25'!J232</f>
        <v>1142.53</v>
      </c>
      <c r="G8" s="53">
        <f>'DOE25'!K196+'DOE25'!K214+'DOE25'!K232</f>
        <v>2633.5</v>
      </c>
      <c r="H8" s="260"/>
    </row>
    <row r="9" spans="1:9" x14ac:dyDescent="0.2">
      <c r="A9" s="32">
        <v>2310</v>
      </c>
      <c r="B9" t="s">
        <v>852</v>
      </c>
      <c r="C9" s="246">
        <f t="shared" si="0"/>
        <v>27818.79</v>
      </c>
      <c r="D9" s="245">
        <v>27818.79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11000</v>
      </c>
      <c r="D10" s="244"/>
      <c r="E10" s="245">
        <v>11000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89152</v>
      </c>
      <c r="D11" s="245">
        <v>89152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187897.4</v>
      </c>
      <c r="D12" s="20">
        <f>'DOE25'!L197+'DOE25'!L215+'DOE25'!L233-F12-G12</f>
        <v>187442.4</v>
      </c>
      <c r="E12" s="244"/>
      <c r="F12" s="256">
        <f>'DOE25'!J197+'DOE25'!J215+'DOE25'!J233</f>
        <v>0</v>
      </c>
      <c r="G12" s="53">
        <f>'DOE25'!K197+'DOE25'!K215+'DOE25'!K233</f>
        <v>455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411001.91000000003</v>
      </c>
      <c r="D14" s="20">
        <f>'DOE25'!L199+'DOE25'!L217+'DOE25'!L235-F14-G14</f>
        <v>361350.25</v>
      </c>
      <c r="E14" s="244"/>
      <c r="F14" s="256">
        <f>'DOE25'!J199+'DOE25'!J217+'DOE25'!J235</f>
        <v>49651.66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100354.74999999999</v>
      </c>
      <c r="D15" s="20">
        <f>'DOE25'!L200+'DOE25'!L218+'DOE25'!L236-F15-G15</f>
        <v>100354.74999999999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734223</v>
      </c>
      <c r="D25" s="244"/>
      <c r="E25" s="244"/>
      <c r="F25" s="259"/>
      <c r="G25" s="257"/>
      <c r="H25" s="258">
        <f>'DOE25'!L252+'DOE25'!L253+'DOE25'!L333+'DOE25'!L334</f>
        <v>734223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55572.44999999999</v>
      </c>
      <c r="D29" s="20">
        <f>'DOE25'!L350+'DOE25'!L351+'DOE25'!L352-'DOE25'!I359-F29-G29</f>
        <v>55572.44999999999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71849.2</v>
      </c>
      <c r="D31" s="20">
        <f>'DOE25'!L282+'DOE25'!L301+'DOE25'!L320+'DOE25'!L325+'DOE25'!L326+'DOE25'!L327-F31-G31</f>
        <v>45977.2</v>
      </c>
      <c r="E31" s="244"/>
      <c r="F31" s="256">
        <f>'DOE25'!J282+'DOE25'!J301+'DOE25'!J320+'DOE25'!J325+'DOE25'!J326+'DOE25'!J327</f>
        <v>25872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5453240.2500000009</v>
      </c>
      <c r="E33" s="247">
        <f>SUM(E5:E31)</f>
        <v>103529.82</v>
      </c>
      <c r="F33" s="247">
        <f>SUM(F5:F31)</f>
        <v>117714.87</v>
      </c>
      <c r="G33" s="247">
        <f>SUM(G5:G31)</f>
        <v>3088.5</v>
      </c>
      <c r="H33" s="247">
        <f>SUM(H5:H31)</f>
        <v>734223</v>
      </c>
    </row>
    <row r="35" spans="2:8" ht="12" thickBot="1" x14ac:dyDescent="0.25">
      <c r="B35" s="254" t="s">
        <v>881</v>
      </c>
      <c r="D35" s="255">
        <f>E33</f>
        <v>103529.82</v>
      </c>
      <c r="E35" s="250"/>
    </row>
    <row r="36" spans="2:8" ht="12" thickTop="1" x14ac:dyDescent="0.2">
      <c r="B36" t="s">
        <v>849</v>
      </c>
      <c r="D36" s="20">
        <f>D33</f>
        <v>5453240.2500000009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E342-94EB-4D13-9782-C42D602AACAA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Grantham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149965.42000000001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219479.51</v>
      </c>
      <c r="G10" s="95">
        <f>'DOE25'!J10</f>
        <v>296386.57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89159.43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3056.97</v>
      </c>
      <c r="E13" s="95">
        <f>'DOE25'!H13</f>
        <v>24044.55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239124.85</v>
      </c>
      <c r="D19" s="41">
        <f>SUM(D9:D18)</f>
        <v>3056.97</v>
      </c>
      <c r="E19" s="41">
        <f>SUM(E9:E18)</f>
        <v>24044.55</v>
      </c>
      <c r="F19" s="41">
        <f>SUM(F9:F18)</f>
        <v>219479.51</v>
      </c>
      <c r="G19" s="41">
        <f>SUM(G9:G18)</f>
        <v>296386.57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14911.2</v>
      </c>
      <c r="F22" s="95">
        <f>'DOE25'!I23</f>
        <v>73311.19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462</v>
      </c>
      <c r="D23" s="95">
        <f>'DOE25'!G24</f>
        <v>937.04</v>
      </c>
      <c r="E23" s="95">
        <f>'DOE25'!H24</f>
        <v>6693.49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5562.38</v>
      </c>
      <c r="D28" s="95">
        <f>'DOE25'!G29</f>
        <v>0</v>
      </c>
      <c r="E28" s="95">
        <f>'DOE25'!H29</f>
        <v>0</v>
      </c>
      <c r="F28" s="95">
        <f>'DOE25'!I29</f>
        <v>3371.78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2130.8200000000002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1939.86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8155.2000000000007</v>
      </c>
      <c r="D32" s="41">
        <f>SUM(D22:D31)</f>
        <v>937.04</v>
      </c>
      <c r="E32" s="41">
        <f>SUM(E22:E31)</f>
        <v>23544.550000000003</v>
      </c>
      <c r="F32" s="41">
        <f>SUM(F22:F31)</f>
        <v>76682.97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39396.9</v>
      </c>
      <c r="D36" s="95">
        <f>'DOE25'!G37</f>
        <v>0</v>
      </c>
      <c r="E36" s="95">
        <f>'DOE25'!H37</f>
        <v>370.04</v>
      </c>
      <c r="F36" s="95">
        <f>'DOE25'!I37</f>
        <v>15060.75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67000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2119.9299999999998</v>
      </c>
      <c r="E40" s="95">
        <f>'DOE25'!H41</f>
        <v>129.96</v>
      </c>
      <c r="F40" s="95">
        <f>'DOE25'!I41</f>
        <v>127735.79</v>
      </c>
      <c r="G40" s="95">
        <f>'DOE25'!J41</f>
        <v>296386.57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124572.15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230969.05</v>
      </c>
      <c r="D42" s="41">
        <f>SUM(D34:D41)</f>
        <v>2119.9299999999998</v>
      </c>
      <c r="E42" s="41">
        <f>SUM(E34:E41)</f>
        <v>500</v>
      </c>
      <c r="F42" s="41">
        <f>SUM(F34:F41)</f>
        <v>142796.53999999998</v>
      </c>
      <c r="G42" s="41">
        <f>SUM(G34:G41)</f>
        <v>296386.57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239124.25</v>
      </c>
      <c r="D43" s="41">
        <f>D42+D32</f>
        <v>3056.97</v>
      </c>
      <c r="E43" s="41">
        <f>E42+E32</f>
        <v>24044.550000000003</v>
      </c>
      <c r="F43" s="41">
        <f>F42+F32</f>
        <v>219479.50999999998</v>
      </c>
      <c r="G43" s="41">
        <f>G42+G32</f>
        <v>296386.57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4876748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6225.44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1112</v>
      </c>
      <c r="D51" s="95">
        <f>'DOE25'!G88</f>
        <v>0</v>
      </c>
      <c r="E51" s="95">
        <f>'DOE25'!H88</f>
        <v>0</v>
      </c>
      <c r="F51" s="95">
        <f>'DOE25'!I88</f>
        <v>1638.62</v>
      </c>
      <c r="G51" s="95">
        <f>'DOE25'!J88</f>
        <v>1863.22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69713.25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16504.810000000001</v>
      </c>
      <c r="D53" s="95">
        <f>SUM('DOE25'!G90:G102)</f>
        <v>0</v>
      </c>
      <c r="E53" s="95">
        <f>SUM('DOE25'!H90:H102)</f>
        <v>0</v>
      </c>
      <c r="F53" s="95">
        <f>SUM('DOE25'!I90:I102)</f>
        <v>14885</v>
      </c>
      <c r="G53" s="95">
        <f>SUM('DOE25'!J90:J102)</f>
        <v>30641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23842.25</v>
      </c>
      <c r="D54" s="130">
        <f>SUM(D49:D53)</f>
        <v>69713.25</v>
      </c>
      <c r="E54" s="130">
        <f>SUM(E49:E53)</f>
        <v>0</v>
      </c>
      <c r="F54" s="130">
        <f>SUM(F49:F53)</f>
        <v>16523.62</v>
      </c>
      <c r="G54" s="130">
        <f>SUM(G49:G53)</f>
        <v>32504.22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4900590.25</v>
      </c>
      <c r="D55" s="22">
        <f>D48+D54</f>
        <v>69713.25</v>
      </c>
      <c r="E55" s="22">
        <f>E48+E54</f>
        <v>0</v>
      </c>
      <c r="F55" s="22">
        <f>F48+F54</f>
        <v>16523.62</v>
      </c>
      <c r="G55" s="22">
        <f>G48+G54</f>
        <v>32504.22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1183667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1183667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112031.08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798.22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112031.08</v>
      </c>
      <c r="D70" s="130">
        <f>SUM(D64:D69)</f>
        <v>798.22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1295698.08</v>
      </c>
      <c r="D73" s="130">
        <f>SUM(D71:D72)+D70+D62</f>
        <v>798.22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4053.38</v>
      </c>
      <c r="E77" s="95">
        <f>'DOE25'!H139</f>
        <v>24004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18233.18</v>
      </c>
      <c r="D80" s="95">
        <f>SUM('DOE25'!G145:G153)</f>
        <v>16110.54</v>
      </c>
      <c r="E80" s="95">
        <f>SUM('DOE25'!H145:H153)</f>
        <v>47845.200000000004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18233.18</v>
      </c>
      <c r="D83" s="131">
        <f>SUM(D77:D82)</f>
        <v>20163.920000000002</v>
      </c>
      <c r="E83" s="131">
        <f>SUM(E77:E82)</f>
        <v>71849.200000000012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41494.1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41494.1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6256015.6099999994</v>
      </c>
      <c r="D96" s="86">
        <f>D55+D73+D83+D95</f>
        <v>90675.39</v>
      </c>
      <c r="E96" s="86">
        <f>E55+E73+E83+E95</f>
        <v>71849.200000000012</v>
      </c>
      <c r="F96" s="86">
        <f>F55+F73+F83+F95</f>
        <v>16523.62</v>
      </c>
      <c r="G96" s="86">
        <f>G55+G73+G95</f>
        <v>32504.22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3864960.98</v>
      </c>
      <c r="D101" s="24" t="s">
        <v>312</v>
      </c>
      <c r="E101" s="95">
        <f>('DOE25'!L268)+('DOE25'!L287)+('DOE25'!L306)</f>
        <v>11788.69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454758.60999999993</v>
      </c>
      <c r="D102" s="24" t="s">
        <v>312</v>
      </c>
      <c r="E102" s="95">
        <f>('DOE25'!L269)+('DOE25'!L288)+('DOE25'!L307)</f>
        <v>19781.469999999998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4319719.59</v>
      </c>
      <c r="D107" s="86">
        <f>SUM(D101:D106)</f>
        <v>0</v>
      </c>
      <c r="E107" s="86">
        <f>SUM(E101:E106)</f>
        <v>31570.159999999996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199400.49999999997</v>
      </c>
      <c r="D110" s="24" t="s">
        <v>312</v>
      </c>
      <c r="E110" s="95">
        <f>+('DOE25'!L273)+('DOE25'!L292)+('DOE25'!L311)</f>
        <v>40279.040000000001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107501.00000000001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213276.64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187897.4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411001.91000000003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100354.74999999999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88555.459999999992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1219432.2000000002</v>
      </c>
      <c r="D120" s="86">
        <f>SUM(D110:D119)</f>
        <v>88555.459999999992</v>
      </c>
      <c r="E120" s="86">
        <f>SUM(E110:E119)</f>
        <v>40279.040000000001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1805896.0899999999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352100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382123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41494.1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30821.73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1682.49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-32504.22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734223</v>
      </c>
      <c r="D136" s="141">
        <f>SUM(D122:D135)</f>
        <v>0</v>
      </c>
      <c r="E136" s="141">
        <f>SUM(E122:E135)</f>
        <v>0</v>
      </c>
      <c r="F136" s="141">
        <f>SUM(F122:F135)</f>
        <v>1847390.19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6273374.79</v>
      </c>
      <c r="D137" s="86">
        <f>(D107+D120+D136)</f>
        <v>88555.459999999992</v>
      </c>
      <c r="E137" s="86">
        <f>(E107+E120+E136)</f>
        <v>71849.2</v>
      </c>
      <c r="F137" s="86">
        <f>(F107+F120+F136)</f>
        <v>1847390.19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7150000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5.0999999999999996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7150000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7150000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7150000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7150000</v>
      </c>
    </row>
    <row r="152" spans="1:7" x14ac:dyDescent="0.2">
      <c r="A152" s="22" t="s">
        <v>36</v>
      </c>
      <c r="B152" s="137">
        <f>'DOE25'!F489</f>
        <v>3939410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3939410</v>
      </c>
    </row>
    <row r="153" spans="1:7" x14ac:dyDescent="0.2">
      <c r="A153" s="22" t="s">
        <v>37</v>
      </c>
      <c r="B153" s="137">
        <f>'DOE25'!F490</f>
        <v>11089410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11089410</v>
      </c>
    </row>
    <row r="154" spans="1:7" x14ac:dyDescent="0.2">
      <c r="A154" s="22" t="s">
        <v>38</v>
      </c>
      <c r="B154" s="137">
        <f>'DOE25'!F491</f>
        <v>352100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352100</v>
      </c>
    </row>
    <row r="155" spans="1:7" x14ac:dyDescent="0.2">
      <c r="A155" s="22" t="s">
        <v>39</v>
      </c>
      <c r="B155" s="137">
        <f>'DOE25'!F492</f>
        <v>382123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382123</v>
      </c>
    </row>
    <row r="156" spans="1:7" x14ac:dyDescent="0.2">
      <c r="A156" s="22" t="s">
        <v>269</v>
      </c>
      <c r="B156" s="137">
        <f>'DOE25'!F493</f>
        <v>734223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734223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AC88-0541-4DCB-9DE8-FBDAAD7ADB83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Grantham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12821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12821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3876750</v>
      </c>
      <c r="D10" s="182">
        <f>ROUND((C10/$C$28)*100,1)</f>
        <v>64.5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474540</v>
      </c>
      <c r="D11" s="182">
        <f>ROUND((C11/$C$28)*100,1)</f>
        <v>7.9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239680</v>
      </c>
      <c r="D15" s="182">
        <f t="shared" ref="D15:D27" si="0">ROUND((C15/$C$28)*100,1)</f>
        <v>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107501</v>
      </c>
      <c r="D16" s="182">
        <f t="shared" si="0"/>
        <v>1.8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213277</v>
      </c>
      <c r="D17" s="182">
        <f t="shared" si="0"/>
        <v>3.5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187897</v>
      </c>
      <c r="D18" s="182">
        <f t="shared" si="0"/>
        <v>3.1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411002</v>
      </c>
      <c r="D20" s="182">
        <f t="shared" si="0"/>
        <v>6.8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100355</v>
      </c>
      <c r="D21" s="182">
        <f t="shared" si="0"/>
        <v>1.7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382123</v>
      </c>
      <c r="D25" s="182">
        <f t="shared" si="0"/>
        <v>6.4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18841.75</v>
      </c>
      <c r="D27" s="182">
        <f t="shared" si="0"/>
        <v>0.3</v>
      </c>
    </row>
    <row r="28" spans="1:4" x14ac:dyDescent="0.2">
      <c r="B28" s="187" t="s">
        <v>754</v>
      </c>
      <c r="C28" s="180">
        <f>SUM(C10:C27)</f>
        <v>6011966.75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1805896</v>
      </c>
    </row>
    <row r="30" spans="1:4" x14ac:dyDescent="0.2">
      <c r="B30" s="187" t="s">
        <v>760</v>
      </c>
      <c r="C30" s="180">
        <f>SUM(C28:C29)</f>
        <v>7817862.75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352100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4876748</v>
      </c>
      <c r="D35" s="182">
        <f t="shared" ref="D35:D40" si="1">ROUND((C35/$C$41)*100,1)</f>
        <v>76.7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72870.089999999851</v>
      </c>
      <c r="D36" s="182">
        <f t="shared" si="1"/>
        <v>1.1000000000000001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1183667</v>
      </c>
      <c r="D37" s="182">
        <f t="shared" si="1"/>
        <v>18.600000000000001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112829</v>
      </c>
      <c r="D38" s="182">
        <f t="shared" si="1"/>
        <v>1.8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110246</v>
      </c>
      <c r="D39" s="182">
        <f t="shared" si="1"/>
        <v>1.7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6356360.0899999999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33A4D-DBC8-4399-A0A3-EEE6A6B3D982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Grantham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8" t="s">
        <v>893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2"/>
      <c r="B74" s="212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2"/>
      <c r="B75" s="212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2"/>
      <c r="B76" s="212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2"/>
      <c r="B77" s="212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2"/>
      <c r="B78" s="212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2"/>
      <c r="B79" s="212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2"/>
      <c r="B80" s="212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2"/>
      <c r="B81" s="212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2"/>
      <c r="B82" s="212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2"/>
      <c r="B83" s="212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2"/>
      <c r="B84" s="212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2"/>
      <c r="B85" s="212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2"/>
      <c r="B86" s="212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2"/>
      <c r="B87" s="212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2"/>
      <c r="B88" s="212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2"/>
      <c r="B89" s="212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2"/>
      <c r="B90" s="212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70A" sheet="1" objects="1" scenarios="1"/>
  <mergeCells count="223">
    <mergeCell ref="C88:M88"/>
    <mergeCell ref="C74:M74"/>
    <mergeCell ref="C75:M75"/>
    <mergeCell ref="C70:M70"/>
    <mergeCell ref="A72:E72"/>
    <mergeCell ref="C76:M76"/>
    <mergeCell ref="C77:M77"/>
    <mergeCell ref="C29:M29"/>
    <mergeCell ref="C25:M25"/>
    <mergeCell ref="C26:M26"/>
    <mergeCell ref="C27:M27"/>
    <mergeCell ref="C89:M89"/>
    <mergeCell ref="C90:M90"/>
    <mergeCell ref="C80:M80"/>
    <mergeCell ref="C81:M81"/>
    <mergeCell ref="C87:M87"/>
    <mergeCell ref="C78:M78"/>
    <mergeCell ref="C67:M67"/>
    <mergeCell ref="C68:M68"/>
    <mergeCell ref="C69:M69"/>
    <mergeCell ref="C86:M86"/>
    <mergeCell ref="C82:M82"/>
    <mergeCell ref="C83:M83"/>
    <mergeCell ref="C84:M84"/>
    <mergeCell ref="C85:M85"/>
    <mergeCell ref="C73:M73"/>
    <mergeCell ref="C79:M79"/>
    <mergeCell ref="C64:M64"/>
    <mergeCell ref="C49:M49"/>
    <mergeCell ref="C58:M58"/>
    <mergeCell ref="C61:M61"/>
    <mergeCell ref="C53:M53"/>
    <mergeCell ref="C54:M54"/>
    <mergeCell ref="C55:M55"/>
    <mergeCell ref="C52:M52"/>
    <mergeCell ref="C57:M57"/>
    <mergeCell ref="C59:M59"/>
    <mergeCell ref="C19:M19"/>
    <mergeCell ref="C62:M62"/>
    <mergeCell ref="C63:M63"/>
    <mergeCell ref="C37:M37"/>
    <mergeCell ref="C38:M38"/>
    <mergeCell ref="C39:M39"/>
    <mergeCell ref="C40:M40"/>
    <mergeCell ref="C24:M24"/>
    <mergeCell ref="C56:M56"/>
    <mergeCell ref="C20:M20"/>
    <mergeCell ref="C65:M65"/>
    <mergeCell ref="C66:M66"/>
    <mergeCell ref="C28:M28"/>
    <mergeCell ref="C21:M21"/>
    <mergeCell ref="C22:M22"/>
    <mergeCell ref="C35:M35"/>
    <mergeCell ref="C36:M36"/>
    <mergeCell ref="C34:M34"/>
    <mergeCell ref="C43:M43"/>
    <mergeCell ref="C48:M48"/>
    <mergeCell ref="C33:M33"/>
    <mergeCell ref="C23:M23"/>
    <mergeCell ref="C5:M5"/>
    <mergeCell ref="C12:M12"/>
    <mergeCell ref="C13:M13"/>
    <mergeCell ref="C32:M32"/>
    <mergeCell ref="C14:M14"/>
    <mergeCell ref="C15:M15"/>
    <mergeCell ref="C16:M16"/>
    <mergeCell ref="C17:M17"/>
    <mergeCell ref="A2:E2"/>
    <mergeCell ref="A1:I1"/>
    <mergeCell ref="C3:M3"/>
    <mergeCell ref="C4:M4"/>
    <mergeCell ref="F2:I2"/>
    <mergeCell ref="C18:M18"/>
    <mergeCell ref="AC31:AM31"/>
    <mergeCell ref="AP31:AZ31"/>
    <mergeCell ref="C6:M6"/>
    <mergeCell ref="C7:M7"/>
    <mergeCell ref="C8:M8"/>
    <mergeCell ref="C9:M9"/>
    <mergeCell ref="C10:M10"/>
    <mergeCell ref="C11:M11"/>
    <mergeCell ref="C30:M30"/>
    <mergeCell ref="C31:M31"/>
    <mergeCell ref="P31:Z31"/>
    <mergeCell ref="HC29:HM29"/>
    <mergeCell ref="P29:Z29"/>
    <mergeCell ref="AC29:AM29"/>
    <mergeCell ref="AP29:A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P30:Z30"/>
    <mergeCell ref="AC30:AM30"/>
    <mergeCell ref="AP30:AZ30"/>
    <mergeCell ref="DC30:DM30"/>
    <mergeCell ref="DP30:DZ30"/>
    <mergeCell ref="BC30:BM30"/>
    <mergeCell ref="BP30:BZ30"/>
    <mergeCell ref="IP30:IV30"/>
    <mergeCell ref="FC30:FM30"/>
    <mergeCell ref="FP30:FZ30"/>
    <mergeCell ref="GC30:GM30"/>
    <mergeCell ref="GP30:GZ30"/>
    <mergeCell ref="HP30:HZ30"/>
    <mergeCell ref="IC30:IM30"/>
    <mergeCell ref="HC30:HM30"/>
    <mergeCell ref="HP29:HZ29"/>
    <mergeCell ref="IC29:IM29"/>
    <mergeCell ref="IP29:IV29"/>
    <mergeCell ref="FC29:FM29"/>
    <mergeCell ref="FP29:FZ29"/>
    <mergeCell ref="GC29:GM29"/>
    <mergeCell ref="GP29:GZ29"/>
    <mergeCell ref="IC31:IM31"/>
    <mergeCell ref="IC38:IM38"/>
    <mergeCell ref="EP38:EZ38"/>
    <mergeCell ref="FC38:FM38"/>
    <mergeCell ref="FP38:FZ38"/>
    <mergeCell ref="GC38:GM38"/>
    <mergeCell ref="HP31:HZ31"/>
    <mergeCell ref="HC31:HM31"/>
    <mergeCell ref="BC38:BM38"/>
    <mergeCell ref="CC30:CM30"/>
    <mergeCell ref="CP30:CZ30"/>
    <mergeCell ref="BC31:BM31"/>
    <mergeCell ref="BC32:BM32"/>
    <mergeCell ref="CP38:CZ38"/>
    <mergeCell ref="BP38:BZ38"/>
    <mergeCell ref="CC38:CM38"/>
    <mergeCell ref="CC32:CM32"/>
    <mergeCell ref="BP31:BZ31"/>
    <mergeCell ref="FP31:FZ31"/>
    <mergeCell ref="GP32:GZ32"/>
    <mergeCell ref="EC31:EM31"/>
    <mergeCell ref="EP31:EZ31"/>
    <mergeCell ref="FC31:FM31"/>
    <mergeCell ref="EC30:EM30"/>
    <mergeCell ref="EP30:EZ30"/>
    <mergeCell ref="AC38:AM38"/>
    <mergeCell ref="AP38:AZ38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CC31:CM31"/>
    <mergeCell ref="CP31:CZ31"/>
    <mergeCell ref="BP32:BZ32"/>
    <mergeCell ref="C47:M47"/>
    <mergeCell ref="C42:M42"/>
    <mergeCell ref="BC39:BM39"/>
    <mergeCell ref="P32:Z32"/>
    <mergeCell ref="AC32:AM32"/>
    <mergeCell ref="AP32:AZ32"/>
    <mergeCell ref="P38:Z38"/>
    <mergeCell ref="AP40:AZ40"/>
    <mergeCell ref="DP31:DZ31"/>
    <mergeCell ref="HC32:HM32"/>
    <mergeCell ref="DC32:DM32"/>
    <mergeCell ref="DP32:DZ32"/>
    <mergeCell ref="EC32:EM32"/>
    <mergeCell ref="EP32:EZ32"/>
    <mergeCell ref="DC31:DM31"/>
    <mergeCell ref="GC31:GM31"/>
    <mergeCell ref="GP31:GZ31"/>
    <mergeCell ref="DC39:DM39"/>
    <mergeCell ref="IC40:IM40"/>
    <mergeCell ref="CC40:CM40"/>
    <mergeCell ref="CP40:CZ40"/>
    <mergeCell ref="C44:M44"/>
    <mergeCell ref="EC40:EM40"/>
    <mergeCell ref="EP40:EZ40"/>
    <mergeCell ref="P40:Z40"/>
    <mergeCell ref="AC40:AM40"/>
    <mergeCell ref="C41:M41"/>
    <mergeCell ref="C45:M45"/>
    <mergeCell ref="C46:M46"/>
    <mergeCell ref="C50:M50"/>
    <mergeCell ref="GP39:GZ39"/>
    <mergeCell ref="FP40:FZ40"/>
    <mergeCell ref="BP40:BZ40"/>
    <mergeCell ref="FC40:FM40"/>
    <mergeCell ref="FP39:FZ39"/>
    <mergeCell ref="GC39:GM39"/>
    <mergeCell ref="EC39:EM39"/>
    <mergeCell ref="IP40:IV40"/>
    <mergeCell ref="GC40:GM40"/>
    <mergeCell ref="GP40:GZ40"/>
    <mergeCell ref="HC40:HM40"/>
    <mergeCell ref="HP40:HZ40"/>
    <mergeCell ref="DC38:DM38"/>
    <mergeCell ref="DP38:DZ38"/>
    <mergeCell ref="EC38:EM38"/>
    <mergeCell ref="EP39:EZ39"/>
    <mergeCell ref="FC39:FM39"/>
    <mergeCell ref="HP39:HZ39"/>
    <mergeCell ref="IC39:IM39"/>
    <mergeCell ref="IP38:IV38"/>
    <mergeCell ref="CC39:CM39"/>
    <mergeCell ref="CP39:CZ39"/>
    <mergeCell ref="IP39:IV39"/>
    <mergeCell ref="GP38:GZ38"/>
    <mergeCell ref="HC38:HM38"/>
    <mergeCell ref="HP38:HZ38"/>
    <mergeCell ref="HC39:HM39"/>
    <mergeCell ref="C60:M60"/>
    <mergeCell ref="DP39:DZ39"/>
    <mergeCell ref="BP39:BZ39"/>
    <mergeCell ref="BC40:BM40"/>
    <mergeCell ref="DC40:DM40"/>
    <mergeCell ref="DP40:DZ40"/>
    <mergeCell ref="C51:M51"/>
    <mergeCell ref="P39:Z39"/>
    <mergeCell ref="AC39:AM39"/>
    <mergeCell ref="AP39:AZ3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2010-11-16T13:14:28Z</cp:lastPrinted>
  <dcterms:created xsi:type="dcterms:W3CDTF">1997-12-04T19:04:30Z</dcterms:created>
  <dcterms:modified xsi:type="dcterms:W3CDTF">2025-01-09T20:02:29Z</dcterms:modified>
</cp:coreProperties>
</file>