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B50EC4B3-9E8E-49D0-B860-7BCDABE107FC}" xr6:coauthVersionLast="47" xr6:coauthVersionMax="47" xr10:uidLastSave="{00000000-0000-0000-0000-000000000000}"/>
  <workbookProtection workbookPassword="B70A" lockStructure="1"/>
  <bookViews>
    <workbookView xWindow="3840" yWindow="3840" windowWidth="21600" windowHeight="11505" tabRatio="622" xr2:uid="{CC87303C-B33C-4CF5-B3E1-17CCD4D5DEA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5" i="1" l="1"/>
  <c r="I189" i="1"/>
  <c r="C10" i="12"/>
  <c r="C11" i="12"/>
  <c r="C12" i="12"/>
  <c r="C19" i="12"/>
  <c r="C20" i="12"/>
  <c r="C21" i="12"/>
  <c r="C37" i="12"/>
  <c r="C39" i="12"/>
  <c r="C40" i="12" s="1"/>
  <c r="A40" i="12" s="1"/>
  <c r="G213" i="1"/>
  <c r="G207" i="1"/>
  <c r="G221" i="1" s="1"/>
  <c r="G189" i="1"/>
  <c r="G195" i="1"/>
  <c r="K219" i="1"/>
  <c r="L219" i="1" s="1"/>
  <c r="K201" i="1"/>
  <c r="L201" i="1" s="1"/>
  <c r="F196" i="1"/>
  <c r="F214" i="1"/>
  <c r="G492" i="1"/>
  <c r="F492" i="1"/>
  <c r="G516" i="1"/>
  <c r="G517" i="1"/>
  <c r="G519" i="1" s="1"/>
  <c r="G535" i="1" s="1"/>
  <c r="F516" i="1"/>
  <c r="F519" i="1" s="1"/>
  <c r="F517" i="1"/>
  <c r="L517" i="1" s="1"/>
  <c r="G540" i="1" s="1"/>
  <c r="F512" i="1"/>
  <c r="F511" i="1"/>
  <c r="I512" i="1"/>
  <c r="I511" i="1"/>
  <c r="H512" i="1"/>
  <c r="H511" i="1"/>
  <c r="F522" i="1"/>
  <c r="F521" i="1"/>
  <c r="G572" i="1"/>
  <c r="G573" i="1"/>
  <c r="F572" i="1"/>
  <c r="F653" i="1" s="1"/>
  <c r="B10" i="12"/>
  <c r="B13" i="12" s="1"/>
  <c r="B11" i="12"/>
  <c r="B12" i="12"/>
  <c r="B21" i="12"/>
  <c r="B20" i="12"/>
  <c r="B19" i="12"/>
  <c r="B37" i="12"/>
  <c r="B39" i="12"/>
  <c r="I594" i="1"/>
  <c r="H200" i="1"/>
  <c r="H594" i="1"/>
  <c r="K594" i="1" s="1"/>
  <c r="K595" i="1" s="1"/>
  <c r="G638" i="1" s="1"/>
  <c r="F217" i="1"/>
  <c r="F221" i="1" s="1"/>
  <c r="H217" i="1"/>
  <c r="H221" i="1" s="1"/>
  <c r="H249" i="1" s="1"/>
  <c r="H263" i="1" s="1"/>
  <c r="I207" i="1"/>
  <c r="H189" i="1"/>
  <c r="F212" i="1"/>
  <c r="L212" i="1" s="1"/>
  <c r="H213" i="1"/>
  <c r="H195" i="1"/>
  <c r="F194" i="1"/>
  <c r="I217" i="1"/>
  <c r="H199" i="1"/>
  <c r="H218" i="1"/>
  <c r="J213" i="1"/>
  <c r="J221" i="1" s="1"/>
  <c r="J195" i="1"/>
  <c r="L195" i="1" s="1"/>
  <c r="I213" i="1"/>
  <c r="I221" i="1" s="1"/>
  <c r="I195" i="1"/>
  <c r="F213" i="1"/>
  <c r="F195" i="1"/>
  <c r="I208" i="1"/>
  <c r="H208" i="1"/>
  <c r="L208" i="1" s="1"/>
  <c r="F208" i="1"/>
  <c r="I190" i="1"/>
  <c r="H190" i="1"/>
  <c r="F190" i="1"/>
  <c r="I194" i="1"/>
  <c r="L194" i="1" s="1"/>
  <c r="I192" i="1"/>
  <c r="L192" i="1" s="1"/>
  <c r="F199" i="1"/>
  <c r="F203" i="1" s="1"/>
  <c r="F249" i="1" s="1"/>
  <c r="F263" i="1" s="1"/>
  <c r="F192" i="1"/>
  <c r="I212" i="1"/>
  <c r="I210" i="1"/>
  <c r="F210" i="1"/>
  <c r="L210" i="1" s="1"/>
  <c r="I601" i="1"/>
  <c r="F601" i="1"/>
  <c r="H587" i="1"/>
  <c r="H585" i="1"/>
  <c r="H532" i="1"/>
  <c r="H531" i="1"/>
  <c r="H534" i="1" s="1"/>
  <c r="H527" i="1"/>
  <c r="L527" i="1" s="1"/>
  <c r="I540" i="1" s="1"/>
  <c r="H526" i="1"/>
  <c r="H529" i="1" s="1"/>
  <c r="H287" i="1"/>
  <c r="K294" i="1"/>
  <c r="L294" i="1" s="1"/>
  <c r="K275" i="1"/>
  <c r="L275" i="1" s="1"/>
  <c r="H268" i="1"/>
  <c r="I268" i="1"/>
  <c r="G268" i="1"/>
  <c r="F268" i="1"/>
  <c r="I269" i="1"/>
  <c r="H269" i="1"/>
  <c r="F269" i="1"/>
  <c r="L269" i="1" s="1"/>
  <c r="G269" i="1"/>
  <c r="C18" i="12" s="1"/>
  <c r="G288" i="1"/>
  <c r="L288" i="1" s="1"/>
  <c r="L301" i="1" s="1"/>
  <c r="J288" i="1"/>
  <c r="I288" i="1"/>
  <c r="H288" i="1"/>
  <c r="J269" i="1"/>
  <c r="F288" i="1"/>
  <c r="H151" i="1"/>
  <c r="H147" i="1"/>
  <c r="H146" i="1"/>
  <c r="I242" i="1"/>
  <c r="F138" i="1"/>
  <c r="F139" i="1" s="1"/>
  <c r="G360" i="1"/>
  <c r="G361" i="1" s="1"/>
  <c r="F360" i="1"/>
  <c r="I360" i="1" s="1"/>
  <c r="I361" i="1" s="1"/>
  <c r="H624" i="1" s="1"/>
  <c r="G359" i="1"/>
  <c r="F359" i="1"/>
  <c r="K351" i="1"/>
  <c r="J351" i="1"/>
  <c r="F29" i="13" s="1"/>
  <c r="K350" i="1"/>
  <c r="J350" i="1"/>
  <c r="I351" i="1"/>
  <c r="I350" i="1"/>
  <c r="H351" i="1"/>
  <c r="H350" i="1"/>
  <c r="F351" i="1"/>
  <c r="F350" i="1"/>
  <c r="F354" i="1" s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37" i="1"/>
  <c r="F5" i="13"/>
  <c r="G5" i="13"/>
  <c r="L189" i="1"/>
  <c r="L190" i="1"/>
  <c r="L191" i="1"/>
  <c r="L209" i="1"/>
  <c r="L225" i="1"/>
  <c r="L239" i="1" s="1"/>
  <c r="L226" i="1"/>
  <c r="L227" i="1"/>
  <c r="C103" i="2" s="1"/>
  <c r="L228" i="1"/>
  <c r="F6" i="13"/>
  <c r="G6" i="13"/>
  <c r="L230" i="1"/>
  <c r="G7" i="13"/>
  <c r="L231" i="1"/>
  <c r="F12" i="13"/>
  <c r="G12" i="13"/>
  <c r="L197" i="1"/>
  <c r="D12" i="13" s="1"/>
  <c r="C12" i="13" s="1"/>
  <c r="L215" i="1"/>
  <c r="L233" i="1"/>
  <c r="F14" i="13"/>
  <c r="G14" i="13"/>
  <c r="L217" i="1"/>
  <c r="L235" i="1"/>
  <c r="F15" i="13"/>
  <c r="G15" i="13"/>
  <c r="L200" i="1"/>
  <c r="D15" i="13" s="1"/>
  <c r="C15" i="13" s="1"/>
  <c r="L218" i="1"/>
  <c r="L236" i="1"/>
  <c r="F17" i="13"/>
  <c r="G17" i="13"/>
  <c r="L243" i="1"/>
  <c r="C24" i="10" s="1"/>
  <c r="D17" i="13"/>
  <c r="C17" i="13" s="1"/>
  <c r="F18" i="13"/>
  <c r="G18" i="13"/>
  <c r="D18" i="13" s="1"/>
  <c r="C18" i="13" s="1"/>
  <c r="L244" i="1"/>
  <c r="F19" i="13"/>
  <c r="D19" i="13" s="1"/>
  <c r="C19" i="13" s="1"/>
  <c r="G19" i="13"/>
  <c r="L245" i="1"/>
  <c r="G29" i="13"/>
  <c r="L351" i="1"/>
  <c r="L352" i="1"/>
  <c r="I359" i="1"/>
  <c r="J282" i="1"/>
  <c r="F31" i="13" s="1"/>
  <c r="J301" i="1"/>
  <c r="J320" i="1"/>
  <c r="K320" i="1"/>
  <c r="L268" i="1"/>
  <c r="E101" i="2" s="1"/>
  <c r="L270" i="1"/>
  <c r="L271" i="1"/>
  <c r="L273" i="1"/>
  <c r="L274" i="1"/>
  <c r="L276" i="1"/>
  <c r="L277" i="1"/>
  <c r="L278" i="1"/>
  <c r="L279" i="1"/>
  <c r="C21" i="10" s="1"/>
  <c r="L280" i="1"/>
  <c r="E117" i="2" s="1"/>
  <c r="L287" i="1"/>
  <c r="L289" i="1"/>
  <c r="L290" i="1"/>
  <c r="L292" i="1"/>
  <c r="L293" i="1"/>
  <c r="L295" i="1"/>
  <c r="L296" i="1"/>
  <c r="L297" i="1"/>
  <c r="E115" i="2" s="1"/>
  <c r="L298" i="1"/>
  <c r="G652" i="1" s="1"/>
  <c r="L299" i="1"/>
  <c r="L306" i="1"/>
  <c r="L307" i="1"/>
  <c r="L308" i="1"/>
  <c r="L309" i="1"/>
  <c r="L311" i="1"/>
  <c r="L312" i="1"/>
  <c r="L313" i="1"/>
  <c r="L314" i="1"/>
  <c r="L315" i="1"/>
  <c r="L320" i="1" s="1"/>
  <c r="L316" i="1"/>
  <c r="L317" i="1"/>
  <c r="H652" i="1" s="1"/>
  <c r="L318" i="1"/>
  <c r="L325" i="1"/>
  <c r="L326" i="1"/>
  <c r="L327" i="1"/>
  <c r="L252" i="1"/>
  <c r="H25" i="13" s="1"/>
  <c r="L253" i="1"/>
  <c r="C124" i="2" s="1"/>
  <c r="L333" i="1"/>
  <c r="E123" i="2" s="1"/>
  <c r="L334" i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B27" i="12"/>
  <c r="A31" i="12" s="1"/>
  <c r="C27" i="12"/>
  <c r="B31" i="12"/>
  <c r="C31" i="12"/>
  <c r="B9" i="12"/>
  <c r="C13" i="12"/>
  <c r="B22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 s="1"/>
  <c r="G51" i="2"/>
  <c r="G54" i="2" s="1"/>
  <c r="G53" i="2"/>
  <c r="F2" i="11"/>
  <c r="L603" i="1"/>
  <c r="H653" i="1"/>
  <c r="L602" i="1"/>
  <c r="G653" i="1" s="1"/>
  <c r="L601" i="1"/>
  <c r="C40" i="10"/>
  <c r="F52" i="1"/>
  <c r="F104" i="1" s="1"/>
  <c r="G52" i="1"/>
  <c r="H52" i="1"/>
  <c r="I52" i="1"/>
  <c r="I104" i="1" s="1"/>
  <c r="F71" i="1"/>
  <c r="C49" i="2" s="1"/>
  <c r="C54" i="2" s="1"/>
  <c r="F86" i="1"/>
  <c r="C50" i="2" s="1"/>
  <c r="F103" i="1"/>
  <c r="G103" i="1"/>
  <c r="G104" i="1" s="1"/>
  <c r="G185" i="1" s="1"/>
  <c r="G618" i="1" s="1"/>
  <c r="J618" i="1" s="1"/>
  <c r="H71" i="1"/>
  <c r="H104" i="1" s="1"/>
  <c r="H86" i="1"/>
  <c r="E50" i="2" s="1"/>
  <c r="H103" i="1"/>
  <c r="I103" i="1"/>
  <c r="J103" i="1"/>
  <c r="J104" i="1"/>
  <c r="J185" i="1" s="1"/>
  <c r="C37" i="10"/>
  <c r="F113" i="1"/>
  <c r="F132" i="1" s="1"/>
  <c r="F128" i="1"/>
  <c r="G113" i="1"/>
  <c r="G132" i="1" s="1"/>
  <c r="G128" i="1"/>
  <c r="H113" i="1"/>
  <c r="H128" i="1"/>
  <c r="H132" i="1"/>
  <c r="I113" i="1"/>
  <c r="I132" i="1" s="1"/>
  <c r="I128" i="1"/>
  <c r="J113" i="1"/>
  <c r="J132" i="1" s="1"/>
  <c r="J128" i="1"/>
  <c r="F154" i="1"/>
  <c r="G139" i="1"/>
  <c r="G154" i="1"/>
  <c r="G161" i="1"/>
  <c r="H139" i="1"/>
  <c r="H161" i="1" s="1"/>
  <c r="H154" i="1"/>
  <c r="I139" i="1"/>
  <c r="I154" i="1"/>
  <c r="I161" i="1"/>
  <c r="C18" i="10"/>
  <c r="L242" i="1"/>
  <c r="C23" i="10" s="1"/>
  <c r="L324" i="1"/>
  <c r="L246" i="1"/>
  <c r="C116" i="2" s="1"/>
  <c r="L260" i="1"/>
  <c r="L261" i="1"/>
  <c r="L341" i="1"/>
  <c r="E134" i="2" s="1"/>
  <c r="L342" i="1"/>
  <c r="E135" i="2" s="1"/>
  <c r="C26" i="10"/>
  <c r="I655" i="1"/>
  <c r="I660" i="1"/>
  <c r="I659" i="1"/>
  <c r="C6" i="10"/>
  <c r="C42" i="10"/>
  <c r="L366" i="1"/>
  <c r="L367" i="1"/>
  <c r="L368" i="1"/>
  <c r="C29" i="10" s="1"/>
  <c r="L369" i="1"/>
  <c r="L370" i="1"/>
  <c r="L374" i="1" s="1"/>
  <c r="G626" i="1" s="1"/>
  <c r="J626" i="1" s="1"/>
  <c r="L371" i="1"/>
  <c r="L372" i="1"/>
  <c r="B2" i="10"/>
  <c r="L336" i="1"/>
  <c r="L337" i="1"/>
  <c r="L338" i="1"/>
  <c r="L339" i="1"/>
  <c r="K343" i="1"/>
  <c r="L511" i="1"/>
  <c r="F539" i="1"/>
  <c r="L512" i="1"/>
  <c r="F540" i="1"/>
  <c r="L513" i="1"/>
  <c r="F541" i="1"/>
  <c r="L518" i="1"/>
  <c r="G541" i="1" s="1"/>
  <c r="L521" i="1"/>
  <c r="H539" i="1"/>
  <c r="L522" i="1"/>
  <c r="H540" i="1"/>
  <c r="L523" i="1"/>
  <c r="H541" i="1" s="1"/>
  <c r="H542" i="1" s="1"/>
  <c r="L528" i="1"/>
  <c r="I541" i="1" s="1"/>
  <c r="L532" i="1"/>
  <c r="J540" i="1" s="1"/>
  <c r="L533" i="1"/>
  <c r="J541" i="1"/>
  <c r="E124" i="2"/>
  <c r="K262" i="1"/>
  <c r="J262" i="1"/>
  <c r="I262" i="1"/>
  <c r="H262" i="1"/>
  <c r="G262" i="1"/>
  <c r="F262" i="1"/>
  <c r="L262" i="1" s="1"/>
  <c r="A1" i="2"/>
  <c r="A2" i="2"/>
  <c r="C9" i="2"/>
  <c r="D9" i="2"/>
  <c r="E9" i="2"/>
  <c r="F9" i="2"/>
  <c r="F19" i="2" s="1"/>
  <c r="I431" i="1"/>
  <c r="J9" i="1"/>
  <c r="G9" i="2"/>
  <c r="C10" i="2"/>
  <c r="D10" i="2"/>
  <c r="E10" i="2"/>
  <c r="F10" i="2"/>
  <c r="I432" i="1"/>
  <c r="J10" i="1"/>
  <c r="G10" i="2" s="1"/>
  <c r="C11" i="2"/>
  <c r="C12" i="2"/>
  <c r="D12" i="2"/>
  <c r="E12" i="2"/>
  <c r="E19" i="2" s="1"/>
  <c r="F12" i="2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D19" i="2" s="1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J23" i="1"/>
  <c r="G22" i="2"/>
  <c r="C23" i="2"/>
  <c r="C32" i="2" s="1"/>
  <c r="D23" i="2"/>
  <c r="D32" i="2" s="1"/>
  <c r="E23" i="2"/>
  <c r="E32" i="2" s="1"/>
  <c r="F23" i="2"/>
  <c r="I441" i="1"/>
  <c r="J24" i="1"/>
  <c r="G23" i="2" s="1"/>
  <c r="C24" i="2"/>
  <c r="D24" i="2"/>
  <c r="E24" i="2"/>
  <c r="F24" i="2"/>
  <c r="F32" i="2" s="1"/>
  <c r="I442" i="1"/>
  <c r="I444" i="1" s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C42" i="2" s="1"/>
  <c r="D34" i="2"/>
  <c r="D42" i="2" s="1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 s="1"/>
  <c r="G37" i="2" s="1"/>
  <c r="C38" i="2"/>
  <c r="D38" i="2"/>
  <c r="E38" i="2"/>
  <c r="F38" i="2"/>
  <c r="F42" i="2" s="1"/>
  <c r="F43" i="2" s="1"/>
  <c r="I448" i="1"/>
  <c r="J40" i="1" s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C48" i="2"/>
  <c r="C55" i="2" s="1"/>
  <c r="D48" i="2"/>
  <c r="E48" i="2"/>
  <c r="F48" i="2"/>
  <c r="E49" i="2"/>
  <c r="C51" i="2"/>
  <c r="D51" i="2"/>
  <c r="D54" i="2" s="1"/>
  <c r="D55" i="2" s="1"/>
  <c r="E51" i="2"/>
  <c r="F51" i="2"/>
  <c r="F54" i="2" s="1"/>
  <c r="F55" i="2" s="1"/>
  <c r="F96" i="2" s="1"/>
  <c r="D52" i="2"/>
  <c r="C53" i="2"/>
  <c r="D53" i="2"/>
  <c r="E53" i="2"/>
  <c r="F53" i="2"/>
  <c r="C58" i="2"/>
  <c r="C59" i="2"/>
  <c r="C61" i="2"/>
  <c r="D61" i="2"/>
  <c r="D62" i="2" s="1"/>
  <c r="E61" i="2"/>
  <c r="F61" i="2"/>
  <c r="G61" i="2"/>
  <c r="C62" i="2"/>
  <c r="E62" i="2"/>
  <c r="F62" i="2"/>
  <c r="G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E69" i="2"/>
  <c r="E70" i="2" s="1"/>
  <c r="E73" i="2" s="1"/>
  <c r="F69" i="2"/>
  <c r="G69" i="2"/>
  <c r="G70" i="2" s="1"/>
  <c r="G73" i="2" s="1"/>
  <c r="C71" i="2"/>
  <c r="D71" i="2"/>
  <c r="E71" i="2"/>
  <c r="C72" i="2"/>
  <c r="E72" i="2"/>
  <c r="D77" i="2"/>
  <c r="F77" i="2"/>
  <c r="C79" i="2"/>
  <c r="E79" i="2"/>
  <c r="F79" i="2"/>
  <c r="F83" i="2" s="1"/>
  <c r="C80" i="2"/>
  <c r="D80" i="2"/>
  <c r="E80" i="2"/>
  <c r="F80" i="2"/>
  <c r="C81" i="2"/>
  <c r="D81" i="2"/>
  <c r="E81" i="2"/>
  <c r="F81" i="2"/>
  <c r="C82" i="2"/>
  <c r="D83" i="2"/>
  <c r="C85" i="2"/>
  <c r="F85" i="2"/>
  <c r="F95" i="2" s="1"/>
  <c r="C86" i="2"/>
  <c r="F86" i="2"/>
  <c r="D88" i="2"/>
  <c r="E88" i="2"/>
  <c r="F88" i="2"/>
  <c r="G88" i="2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D95" i="2" s="1"/>
  <c r="E92" i="2"/>
  <c r="F92" i="2"/>
  <c r="C93" i="2"/>
  <c r="D93" i="2"/>
  <c r="E93" i="2"/>
  <c r="F93" i="2"/>
  <c r="C94" i="2"/>
  <c r="D94" i="2"/>
  <c r="E94" i="2"/>
  <c r="F94" i="2"/>
  <c r="C95" i="2"/>
  <c r="G95" i="2"/>
  <c r="E103" i="2"/>
  <c r="E104" i="2"/>
  <c r="C105" i="2"/>
  <c r="E105" i="2"/>
  <c r="E106" i="2"/>
  <c r="D107" i="2"/>
  <c r="F107" i="2"/>
  <c r="G107" i="2"/>
  <c r="E110" i="2"/>
  <c r="E111" i="2"/>
  <c r="C112" i="2"/>
  <c r="C113" i="2"/>
  <c r="E113" i="2"/>
  <c r="E114" i="2"/>
  <c r="F120" i="2"/>
  <c r="G120" i="2"/>
  <c r="C122" i="2"/>
  <c r="E122" i="2"/>
  <c r="D126" i="2"/>
  <c r="E126" i="2"/>
  <c r="F126" i="2"/>
  <c r="K411" i="1"/>
  <c r="K419" i="1"/>
  <c r="K425" i="1"/>
  <c r="K426" i="1" s="1"/>
  <c r="G126" i="2" s="1"/>
  <c r="G136" i="2" s="1"/>
  <c r="L255" i="1"/>
  <c r="C127" i="2"/>
  <c r="E127" i="2"/>
  <c r="L256" i="1"/>
  <c r="C128" i="2"/>
  <c r="L257" i="1"/>
  <c r="C129" i="2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B153" i="2"/>
  <c r="G153" i="2" s="1"/>
  <c r="G490" i="1"/>
  <c r="C153" i="2"/>
  <c r="H490" i="1"/>
  <c r="D153" i="2" s="1"/>
  <c r="I490" i="1"/>
  <c r="E153" i="2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493" i="1"/>
  <c r="K493" i="1" s="1"/>
  <c r="H493" i="1"/>
  <c r="D156" i="2"/>
  <c r="I493" i="1"/>
  <c r="E156" i="2"/>
  <c r="J493" i="1"/>
  <c r="F156" i="2"/>
  <c r="F19" i="1"/>
  <c r="G19" i="1"/>
  <c r="H19" i="1"/>
  <c r="I19" i="1"/>
  <c r="G610" i="1" s="1"/>
  <c r="J610" i="1" s="1"/>
  <c r="F33" i="1"/>
  <c r="G33" i="1"/>
  <c r="H33" i="1"/>
  <c r="I33" i="1"/>
  <c r="I44" i="1" s="1"/>
  <c r="H610" i="1" s="1"/>
  <c r="F43" i="1"/>
  <c r="F44" i="1" s="1"/>
  <c r="H607" i="1" s="1"/>
  <c r="G43" i="1"/>
  <c r="G44" i="1" s="1"/>
  <c r="H608" i="1" s="1"/>
  <c r="J608" i="1" s="1"/>
  <c r="H43" i="1"/>
  <c r="I43" i="1"/>
  <c r="H44" i="1"/>
  <c r="F169" i="1"/>
  <c r="F184" i="1" s="1"/>
  <c r="I169" i="1"/>
  <c r="F175" i="1"/>
  <c r="G175" i="1"/>
  <c r="H175" i="1"/>
  <c r="I175" i="1"/>
  <c r="J175" i="1"/>
  <c r="F180" i="1"/>
  <c r="G180" i="1"/>
  <c r="H180" i="1"/>
  <c r="I180" i="1"/>
  <c r="G184" i="1"/>
  <c r="H184" i="1"/>
  <c r="I184" i="1"/>
  <c r="J184" i="1"/>
  <c r="G203" i="1"/>
  <c r="H203" i="1"/>
  <c r="K203" i="1"/>
  <c r="K249" i="1" s="1"/>
  <c r="K263" i="1" s="1"/>
  <c r="K221" i="1"/>
  <c r="F239" i="1"/>
  <c r="G239" i="1"/>
  <c r="H239" i="1"/>
  <c r="I239" i="1"/>
  <c r="J239" i="1"/>
  <c r="K239" i="1"/>
  <c r="F248" i="1"/>
  <c r="G248" i="1"/>
  <c r="H248" i="1"/>
  <c r="I248" i="1"/>
  <c r="J248" i="1"/>
  <c r="L248" i="1" s="1"/>
  <c r="K248" i="1"/>
  <c r="F282" i="1"/>
  <c r="F330" i="1" s="1"/>
  <c r="F344" i="1" s="1"/>
  <c r="G282" i="1"/>
  <c r="H282" i="1"/>
  <c r="I282" i="1"/>
  <c r="F301" i="1"/>
  <c r="H301" i="1"/>
  <c r="H330" i="1" s="1"/>
  <c r="H344" i="1" s="1"/>
  <c r="I301" i="1"/>
  <c r="F320" i="1"/>
  <c r="G320" i="1"/>
  <c r="H320" i="1"/>
  <c r="I320" i="1"/>
  <c r="I330" i="1" s="1"/>
  <c r="I344" i="1" s="1"/>
  <c r="F329" i="1"/>
  <c r="L329" i="1" s="1"/>
  <c r="G329" i="1"/>
  <c r="H329" i="1"/>
  <c r="I329" i="1"/>
  <c r="J329" i="1"/>
  <c r="K329" i="1"/>
  <c r="J330" i="1"/>
  <c r="J344" i="1" s="1"/>
  <c r="G354" i="1"/>
  <c r="H354" i="1"/>
  <c r="I354" i="1"/>
  <c r="G624" i="1" s="1"/>
  <c r="J354" i="1"/>
  <c r="K354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H393" i="1"/>
  <c r="I393" i="1"/>
  <c r="I400" i="1" s="1"/>
  <c r="F399" i="1"/>
  <c r="G399" i="1"/>
  <c r="H399" i="1"/>
  <c r="I399" i="1"/>
  <c r="H400" i="1"/>
  <c r="H634" i="1" s="1"/>
  <c r="L405" i="1"/>
  <c r="L411" i="1" s="1"/>
  <c r="L406" i="1"/>
  <c r="L407" i="1"/>
  <c r="L408" i="1"/>
  <c r="L409" i="1"/>
  <c r="L410" i="1"/>
  <c r="F411" i="1"/>
  <c r="F426" i="1" s="1"/>
  <c r="G411" i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G426" i="1"/>
  <c r="H426" i="1"/>
  <c r="J426" i="1"/>
  <c r="F438" i="1"/>
  <c r="G629" i="1" s="1"/>
  <c r="J629" i="1" s="1"/>
  <c r="G438" i="1"/>
  <c r="G630" i="1" s="1"/>
  <c r="J630" i="1" s="1"/>
  <c r="H438" i="1"/>
  <c r="F444" i="1"/>
  <c r="G444" i="1"/>
  <c r="G451" i="1" s="1"/>
  <c r="H630" i="1" s="1"/>
  <c r="H444" i="1"/>
  <c r="F450" i="1"/>
  <c r="G450" i="1"/>
  <c r="H450" i="1"/>
  <c r="H451" i="1" s="1"/>
  <c r="H631" i="1" s="1"/>
  <c r="F451" i="1"/>
  <c r="F460" i="1"/>
  <c r="G460" i="1"/>
  <c r="G466" i="1" s="1"/>
  <c r="H613" i="1" s="1"/>
  <c r="H460" i="1"/>
  <c r="H466" i="1" s="1"/>
  <c r="H614" i="1" s="1"/>
  <c r="I460" i="1"/>
  <c r="J460" i="1"/>
  <c r="J466" i="1" s="1"/>
  <c r="H616" i="1" s="1"/>
  <c r="F464" i="1"/>
  <c r="F466" i="1" s="1"/>
  <c r="H612" i="1" s="1"/>
  <c r="G464" i="1"/>
  <c r="H464" i="1"/>
  <c r="I464" i="1"/>
  <c r="I466" i="1" s="1"/>
  <c r="H615" i="1" s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H514" i="1"/>
  <c r="I514" i="1"/>
  <c r="I535" i="1" s="1"/>
  <c r="J514" i="1"/>
  <c r="J535" i="1" s="1"/>
  <c r="K514" i="1"/>
  <c r="L514" i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I529" i="1"/>
  <c r="J529" i="1"/>
  <c r="K529" i="1"/>
  <c r="F534" i="1"/>
  <c r="G534" i="1"/>
  <c r="I534" i="1"/>
  <c r="J534" i="1"/>
  <c r="K534" i="1"/>
  <c r="K535" i="1"/>
  <c r="L547" i="1"/>
  <c r="L548" i="1"/>
  <c r="L549" i="1"/>
  <c r="F550" i="1"/>
  <c r="F561" i="1" s="1"/>
  <c r="G550" i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G561" i="1"/>
  <c r="H561" i="1"/>
  <c r="I561" i="1"/>
  <c r="J561" i="1"/>
  <c r="I565" i="1"/>
  <c r="I566" i="1"/>
  <c r="I567" i="1"/>
  <c r="I568" i="1"/>
  <c r="I569" i="1"/>
  <c r="I570" i="1"/>
  <c r="I571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H639" i="1" s="1"/>
  <c r="I588" i="1"/>
  <c r="H640" i="1" s="1"/>
  <c r="J640" i="1" s="1"/>
  <c r="J588" i="1"/>
  <c r="K592" i="1"/>
  <c r="K593" i="1"/>
  <c r="I595" i="1"/>
  <c r="J595" i="1"/>
  <c r="F604" i="1"/>
  <c r="G604" i="1"/>
  <c r="H604" i="1"/>
  <c r="I604" i="1"/>
  <c r="J604" i="1"/>
  <c r="K604" i="1"/>
  <c r="G607" i="1"/>
  <c r="G608" i="1"/>
  <c r="G609" i="1"/>
  <c r="J609" i="1" s="1"/>
  <c r="H609" i="1"/>
  <c r="G613" i="1"/>
  <c r="J613" i="1" s="1"/>
  <c r="G614" i="1"/>
  <c r="J614" i="1" s="1"/>
  <c r="G615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1" i="1"/>
  <c r="G633" i="1"/>
  <c r="J633" i="1" s="1"/>
  <c r="G634" i="1"/>
  <c r="G635" i="1"/>
  <c r="H637" i="1"/>
  <c r="G639" i="1"/>
  <c r="G640" i="1"/>
  <c r="G641" i="1"/>
  <c r="J641" i="1" s="1"/>
  <c r="H641" i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J631" i="1" l="1"/>
  <c r="E54" i="2"/>
  <c r="E55" i="2" s="1"/>
  <c r="K540" i="1"/>
  <c r="H650" i="1"/>
  <c r="C104" i="2"/>
  <c r="C13" i="10"/>
  <c r="C16" i="10"/>
  <c r="I653" i="1"/>
  <c r="J615" i="1"/>
  <c r="G42" i="2"/>
  <c r="E43" i="2"/>
  <c r="C77" i="2"/>
  <c r="C83" i="2" s="1"/>
  <c r="C96" i="2" s="1"/>
  <c r="F161" i="1"/>
  <c r="C39" i="10" s="1"/>
  <c r="E102" i="2"/>
  <c r="C110" i="2"/>
  <c r="C15" i="10"/>
  <c r="D6" i="13"/>
  <c r="C6" i="13" s="1"/>
  <c r="L561" i="1"/>
  <c r="H535" i="1"/>
  <c r="J43" i="1"/>
  <c r="D43" i="2"/>
  <c r="C38" i="10"/>
  <c r="I185" i="1"/>
  <c r="G620" i="1" s="1"/>
  <c r="J620" i="1" s="1"/>
  <c r="G55" i="2"/>
  <c r="G96" i="2" s="1"/>
  <c r="A13" i="12"/>
  <c r="G137" i="2"/>
  <c r="C43" i="2"/>
  <c r="G636" i="1"/>
  <c r="G621" i="1"/>
  <c r="J621" i="1" s="1"/>
  <c r="G330" i="1"/>
  <c r="G344" i="1" s="1"/>
  <c r="D73" i="2"/>
  <c r="F185" i="1"/>
  <c r="G617" i="1" s="1"/>
  <c r="J617" i="1" s="1"/>
  <c r="G32" i="2"/>
  <c r="E136" i="2"/>
  <c r="D5" i="13"/>
  <c r="C8" i="13"/>
  <c r="C11" i="10"/>
  <c r="C102" i="2"/>
  <c r="J639" i="1"/>
  <c r="E107" i="2"/>
  <c r="C117" i="2"/>
  <c r="E16" i="13"/>
  <c r="C16" i="13" s="1"/>
  <c r="C17" i="10"/>
  <c r="G19" i="2"/>
  <c r="H33" i="13"/>
  <c r="C25" i="13"/>
  <c r="E112" i="2"/>
  <c r="J635" i="1"/>
  <c r="J19" i="1"/>
  <c r="G611" i="1" s="1"/>
  <c r="K541" i="1"/>
  <c r="H185" i="1"/>
  <c r="G619" i="1" s="1"/>
  <c r="J619" i="1" s="1"/>
  <c r="L400" i="1"/>
  <c r="C130" i="2"/>
  <c r="C133" i="2" s="1"/>
  <c r="J634" i="1"/>
  <c r="L426" i="1"/>
  <c r="G628" i="1" s="1"/>
  <c r="J628" i="1" s="1"/>
  <c r="J624" i="1"/>
  <c r="G249" i="1"/>
  <c r="G263" i="1" s="1"/>
  <c r="D96" i="2"/>
  <c r="C19" i="10"/>
  <c r="L516" i="1"/>
  <c r="C35" i="10"/>
  <c r="B18" i="12"/>
  <c r="A22" i="12" s="1"/>
  <c r="K301" i="1"/>
  <c r="F7" i="13"/>
  <c r="F33" i="13" s="1"/>
  <c r="L282" i="1"/>
  <c r="L213" i="1"/>
  <c r="D7" i="13" s="1"/>
  <c r="C7" i="13" s="1"/>
  <c r="J203" i="1"/>
  <c r="J249" i="1" s="1"/>
  <c r="J33" i="1"/>
  <c r="L350" i="1"/>
  <c r="G651" i="1" s="1"/>
  <c r="I572" i="1"/>
  <c r="I203" i="1"/>
  <c r="I249" i="1" s="1"/>
  <c r="I263" i="1" s="1"/>
  <c r="G612" i="1"/>
  <c r="J612" i="1" s="1"/>
  <c r="E77" i="2"/>
  <c r="E83" i="2" s="1"/>
  <c r="F542" i="1"/>
  <c r="L343" i="1"/>
  <c r="F652" i="1"/>
  <c r="I652" i="1" s="1"/>
  <c r="K282" i="1"/>
  <c r="L526" i="1"/>
  <c r="L199" i="1"/>
  <c r="L203" i="1" s="1"/>
  <c r="C114" i="2"/>
  <c r="J607" i="1"/>
  <c r="C106" i="2"/>
  <c r="C25" i="10"/>
  <c r="I450" i="1"/>
  <c r="I451" i="1" s="1"/>
  <c r="H632" i="1" s="1"/>
  <c r="H595" i="1"/>
  <c r="C156" i="2"/>
  <c r="G156" i="2" s="1"/>
  <c r="L531" i="1"/>
  <c r="C9" i="12"/>
  <c r="L207" i="1"/>
  <c r="C32" i="10"/>
  <c r="C12" i="10"/>
  <c r="L604" i="1"/>
  <c r="G301" i="1"/>
  <c r="I438" i="1"/>
  <c r="G632" i="1" s="1"/>
  <c r="F361" i="1"/>
  <c r="E116" i="2"/>
  <c r="E120" i="2" s="1"/>
  <c r="F122" i="2"/>
  <c r="F136" i="2" s="1"/>
  <c r="F137" i="2" s="1"/>
  <c r="C123" i="2"/>
  <c r="F650" i="1" l="1"/>
  <c r="C136" i="2"/>
  <c r="C111" i="2"/>
  <c r="C120" i="2" s="1"/>
  <c r="C36" i="10"/>
  <c r="G539" i="1"/>
  <c r="L519" i="1"/>
  <c r="G627" i="1"/>
  <c r="J627" i="1" s="1"/>
  <c r="H636" i="1"/>
  <c r="J632" i="1"/>
  <c r="E137" i="2"/>
  <c r="C5" i="13"/>
  <c r="D29" i="13"/>
  <c r="C29" i="13" s="1"/>
  <c r="L354" i="1"/>
  <c r="F651" i="1"/>
  <c r="H651" i="1"/>
  <c r="D119" i="2"/>
  <c r="D120" i="2" s="1"/>
  <c r="D137" i="2" s="1"/>
  <c r="H654" i="1"/>
  <c r="G616" i="1"/>
  <c r="J44" i="1"/>
  <c r="H611" i="1" s="1"/>
  <c r="J611" i="1" s="1"/>
  <c r="D14" i="13"/>
  <c r="C14" i="13" s="1"/>
  <c r="C20" i="10"/>
  <c r="C115" i="2"/>
  <c r="H638" i="1"/>
  <c r="J638" i="1" s="1"/>
  <c r="J263" i="1"/>
  <c r="J636" i="1"/>
  <c r="G43" i="2"/>
  <c r="E96" i="2"/>
  <c r="C10" i="10"/>
  <c r="L221" i="1"/>
  <c r="G650" i="1" s="1"/>
  <c r="G654" i="1" s="1"/>
  <c r="C101" i="2"/>
  <c r="C107" i="2" s="1"/>
  <c r="I539" i="1"/>
  <c r="I542" i="1" s="1"/>
  <c r="L529" i="1"/>
  <c r="G31" i="13"/>
  <c r="G33" i="13" s="1"/>
  <c r="K330" i="1"/>
  <c r="K344" i="1" s="1"/>
  <c r="D31" i="13"/>
  <c r="C31" i="13" s="1"/>
  <c r="L330" i="1"/>
  <c r="L344" i="1" s="1"/>
  <c r="G623" i="1" s="1"/>
  <c r="J623" i="1" s="1"/>
  <c r="L534" i="1"/>
  <c r="J539" i="1"/>
  <c r="J542" i="1" s="1"/>
  <c r="E33" i="13"/>
  <c r="D35" i="13" s="1"/>
  <c r="L535" i="1" l="1"/>
  <c r="C28" i="10"/>
  <c r="D10" i="10"/>
  <c r="D20" i="10"/>
  <c r="C137" i="2"/>
  <c r="K539" i="1"/>
  <c r="K542" i="1" s="1"/>
  <c r="G542" i="1"/>
  <c r="H662" i="1"/>
  <c r="H657" i="1"/>
  <c r="G657" i="1"/>
  <c r="G662" i="1"/>
  <c r="C5" i="10" s="1"/>
  <c r="J616" i="1"/>
  <c r="H646" i="1"/>
  <c r="D33" i="13"/>
  <c r="D36" i="13" s="1"/>
  <c r="C41" i="10"/>
  <c r="I651" i="1"/>
  <c r="I650" i="1"/>
  <c r="I654" i="1" s="1"/>
  <c r="F654" i="1"/>
  <c r="C27" i="10"/>
  <c r="G625" i="1"/>
  <c r="J625" i="1" s="1"/>
  <c r="L249" i="1"/>
  <c r="L263" i="1" s="1"/>
  <c r="G622" i="1" s="1"/>
  <c r="J622" i="1" s="1"/>
  <c r="D40" i="10" l="1"/>
  <c r="D37" i="10"/>
  <c r="D35" i="10"/>
  <c r="D38" i="10"/>
  <c r="D39" i="10"/>
  <c r="I662" i="1"/>
  <c r="C7" i="10" s="1"/>
  <c r="I657" i="1"/>
  <c r="C30" i="10"/>
  <c r="D18" i="10"/>
  <c r="D22" i="10"/>
  <c r="D21" i="10"/>
  <c r="D24" i="10"/>
  <c r="D26" i="10"/>
  <c r="D23" i="10"/>
  <c r="D12" i="10"/>
  <c r="D25" i="10"/>
  <c r="D15" i="10"/>
  <c r="D13" i="10"/>
  <c r="D17" i="10"/>
  <c r="D11" i="10"/>
  <c r="D28" i="10" s="1"/>
  <c r="D19" i="10"/>
  <c r="D16" i="10"/>
  <c r="D27" i="10"/>
  <c r="D36" i="10"/>
  <c r="F657" i="1"/>
  <c r="F662" i="1"/>
  <c r="C4" i="10" s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3B4C9AD-6396-40BC-BD18-D094E45DE42C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6B9D8763-E62B-40AF-B6D2-20604ED2CC4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C3C741F-EA6A-4AC3-9E4D-6B75043F92B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8A1CC8A-04DB-4E4E-9742-5FB1ADE1C1F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153F368E-4B2A-4AF3-AD14-BBD915F07C9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9C82B33-C4E7-4385-A6CB-852E2F8CD01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AA79B75-5AF3-4E82-8D56-A2A2A733D6C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AE60150-0069-46CC-BF75-237A79ECA0F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263888A6-878A-4498-B124-8E881C8F09B5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B67AA25E-635F-4B00-8F04-7AE7BB0B22C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760FDB2-6E4A-42EE-BC93-D845BE3DB630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4730608-FC38-4FD0-A5B6-2DF35B3F457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<sst xmlns="http://schemas.openxmlformats.org/spreadsheetml/2006/main" count="3864" uniqueCount="901">
  <si>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</si>
  <si>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</si>
  <si>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</si>
  <si>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</si>
  <si>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</si>
  <si>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</si>
  <si>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</si>
  <si>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</si>
  <si>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</si>
  <si>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</si>
  <si>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</si>
  <si>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</si>
  <si>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</si>
  <si>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</si>
  <si>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</si>
  <si>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</si>
  <si>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</si>
  <si>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</si>
  <si>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</si>
  <si>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</si>
  <si>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</si>
  <si>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</si>
  <si>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</si>
  <si>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</si>
  <si>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</si>
  <si>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</si>
  <si>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</si>
  <si>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</si>
  <si>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</si>
  <si>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</si>
  <si>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</si>
  <si>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</si>
  <si>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</si>
  <si>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</si>
  <si>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</si>
  <si>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</si>
  <si>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</si>
  <si>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</si>
  <si>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</si>
  <si>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</si>
  <si>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</si>
  <si>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</si>
  <si>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</si>
  <si>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</si>
  <si>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</si>
  <si>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</si>
  <si>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</si>
  <si>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</si>
  <si>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</si>
  <si>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</si>
  <si>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</si>
  <si>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</si>
  <si>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</si>
  <si>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</si>
  <si>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</si>
  <si>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</si>
  <si>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</si>
  <si>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</si>
  <si>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</si>
  <si>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</si>
  <si>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</si>
  <si>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</si>
  <si>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</si>
  <si>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</si>
  <si>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</si>
  <si>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</si>
  <si>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</si>
  <si>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</si>
  <si>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</si>
  <si>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</si>
  <si>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</si>
  <si>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</si>
  <si>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</si>
  <si>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</si>
  <si>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</si>
  <si>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</si>
  <si>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</si>
  <si>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</si>
  <si>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</si>
  <si>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</si>
  <si>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</si>
  <si>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</si>
  <si>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</si>
  <si>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</si>
  <si>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</si>
  <si>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</si>
  <si>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</si>
  <si>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</si>
  <si>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</si>
  <si>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</si>
  <si>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</si>
  <si>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</si>
  <si>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</si>
  <si>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</si>
  <si>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</si>
  <si>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</si>
  <si>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</si>
  <si>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</si>
  <si>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</si>
  <si>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</si>
  <si>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</si>
  <si>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</si>
  <si>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</si>
  <si>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</si>
  <si>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</si>
  <si>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</si>
  <si>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</si>
  <si>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</si>
  <si>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</si>
  <si>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</si>
  <si>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</si>
  <si>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</si>
  <si>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</si>
  <si>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</si>
  <si>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</si>
  <si>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</si>
  <si>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</si>
  <si>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</si>
  <si>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</si>
  <si>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</si>
  <si>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</si>
  <si>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</si>
  <si>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</si>
  <si>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</si>
  <si>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</si>
  <si>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</si>
  <si>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</si>
  <si>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</si>
  <si>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</si>
  <si>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</si>
  <si>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</si>
  <si>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</si>
  <si>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</si>
  <si>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</si>
  <si>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</si>
  <si>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</si>
  <si>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</si>
  <si>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</si>
  <si>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</si>
  <si>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</si>
  <si>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</si>
  <si>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</si>
  <si>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</si>
  <si>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</si>
  <si>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</si>
  <si>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</si>
  <si>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</si>
  <si>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</si>
  <si>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</si>
  <si>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</si>
  <si>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</si>
  <si>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</si>
  <si>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</si>
  <si>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</si>
  <si>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</si>
  <si>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</si>
  <si>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</si>
  <si>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</si>
  <si>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</si>
  <si>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</si>
  <si>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</si>
  <si>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</si>
  <si>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</si>
  <si>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</si>
  <si>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</si>
  <si>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</si>
  <si>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</si>
  <si>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</si>
  <si>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</si>
  <si>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</si>
  <si>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</si>
  <si>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</si>
  <si>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</si>
  <si>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</si>
  <si>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</si>
  <si>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</si>
  <si>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</si>
  <si>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</si>
  <si>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</si>
  <si>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</si>
  <si>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</si>
  <si>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</si>
  <si>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</si>
  <si>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</si>
  <si>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</si>
  <si>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</si>
  <si>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</si>
  <si>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</si>
  <si>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</si>
  <si>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</si>
  <si>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</si>
  <si>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</si>
  <si>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</si>
  <si>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</si>
  <si>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</si>
  <si>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</si>
  <si>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</si>
  <si>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</si>
  <si>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</si>
  <si>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</si>
  <si>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</si>
  <si>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</si>
  <si>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</si>
  <si>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</si>
  <si>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</si>
  <si>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</si>
  <si>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</si>
  <si>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</si>
  <si>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</si>
  <si>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</si>
  <si>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</si>
  <si>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</si>
  <si>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</si>
  <si>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</si>
  <si>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</si>
  <si>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</si>
  <si>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</si>
  <si>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</si>
  <si>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</si>
  <si>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</si>
  <si>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</si>
  <si>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</si>
  <si>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</si>
  <si>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</si>
  <si>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</si>
  <si>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</si>
  <si>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</si>
  <si>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</si>
  <si>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</si>
  <si>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</si>
  <si>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</si>
  <si>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</si>
  <si>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</si>
  <si>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</si>
  <si>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</si>
  <si>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</si>
  <si>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</si>
  <si>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</si>
  <si>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</si>
  <si>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</si>
  <si>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</si>
  <si>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</si>
  <si>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</si>
  <si>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</si>
  <si>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</si>
  <si>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</si>
  <si>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</si>
  <si>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</si>
  <si>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</si>
  <si>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</si>
  <si>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</si>
  <si>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</si>
  <si>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</si>
  <si>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</si>
  <si>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</si>
  <si>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</si>
  <si>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</si>
  <si>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</si>
  <si>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</si>
  <si>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</si>
  <si>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</si>
  <si>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</si>
  <si>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</si>
  <si>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</si>
  <si>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</si>
  <si>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</si>
  <si>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</si>
  <si>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</si>
  <si>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</si>
  <si>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</si>
  <si>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</si>
  <si>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</si>
  <si>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</si>
  <si>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</si>
  <si>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</si>
  <si>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</si>
  <si>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</si>
  <si>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</si>
  <si>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</si>
  <si>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</si>
  <si>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</si>
  <si>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</si>
  <si>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</si>
  <si>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</si>
  <si>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</si>
  <si>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</si>
  <si>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</si>
  <si>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</si>
  <si>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</si>
  <si>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</si>
  <si>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</si>
  <si>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</si>
  <si>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</si>
  <si>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</si>
  <si>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</si>
  <si>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</si>
  <si>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</si>
  <si>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</si>
  <si>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</si>
  <si>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</si>
  <si>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</si>
  <si>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</si>
  <si>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</si>
  <si>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</si>
  <si>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</si>
  <si>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</si>
  <si>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</si>
  <si>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</si>
  <si>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</si>
  <si>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</si>
  <si>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</si>
  <si>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</si>
  <si>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</si>
  <si>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</si>
  <si>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</si>
  <si>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</si>
  <si>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</si>
  <si>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</si>
  <si>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</si>
  <si>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</si>
  <si>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</si>
  <si>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</si>
  <si>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</si>
  <si>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</si>
  <si>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</si>
  <si>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</si>
  <si>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</si>
  <si>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</si>
  <si>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</si>
  <si>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</si>
  <si>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</si>
  <si>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</si>
  <si>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</si>
  <si>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</si>
  <si>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</si>
  <si>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</si>
  <si>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</si>
  <si>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</si>
  <si>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</si>
  <si>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</si>
  <si>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</si>
  <si>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</si>
  <si>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</si>
  <si>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</si>
  <si>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</si>
  <si>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</si>
  <si>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</si>
  <si>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</si>
  <si>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</si>
  <si>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</si>
  <si>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</si>
  <si>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</si>
  <si>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</si>
  <si>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</si>
  <si>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</si>
  <si>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</si>
  <si>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</si>
  <si>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</si>
  <si>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</si>
  <si>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</si>
  <si>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</si>
  <si>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</si>
  <si>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</si>
  <si>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</si>
  <si>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</si>
  <si>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</si>
  <si>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</si>
  <si>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</si>
  <si>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</si>
  <si>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</si>
  <si>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</si>
  <si>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</si>
  <si>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</si>
  <si>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</si>
  <si>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</si>
  <si>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</si>
  <si>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</si>
  <si>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</si>
  <si>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</si>
  <si>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</si>
  <si>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</si>
  <si>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</si>
  <si>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</si>
  <si>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</si>
  <si>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</si>
  <si>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</si>
  <si>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</si>
  <si>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</si>
  <si>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</si>
  <si>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</si>
  <si>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</si>
  <si>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</si>
  <si>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</si>
  <si>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</si>
  <si>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</si>
  <si>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</si>
  <si>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</si>
  <si>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</si>
  <si>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</si>
  <si>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</si>
  <si>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</si>
  <si>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</si>
  <si>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</si>
  <si>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</si>
  <si>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</si>
  <si>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</si>
  <si>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</si>
  <si>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</si>
  <si>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</si>
  <si>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</si>
  <si>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</si>
  <si>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</si>
  <si>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</si>
  <si>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</si>
  <si>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</si>
  <si>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</si>
  <si>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</si>
  <si>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</si>
  <si>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</si>
  <si>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</si>
  <si>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</si>
  <si>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</si>
  <si>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</si>
  <si>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</si>
  <si>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</si>
  <si>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</si>
  <si>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</si>
  <si>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</si>
  <si>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</si>
  <si>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</si>
  <si>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</si>
  <si>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</si>
  <si>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</si>
  <si>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</si>
  <si>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</si>
  <si>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</si>
  <si>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</si>
  <si>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</si>
  <si>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</si>
  <si>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</si>
  <si>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</si>
  <si>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</si>
  <si>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</si>
  <si>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</si>
  <si>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</si>
  <si>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</si>
  <si>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</si>
  <si>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</si>
  <si>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</si>
  <si>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</si>
  <si>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</si>
  <si>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</si>
  <si>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</si>
  <si>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</si>
  <si>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</si>
  <si>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</si>
  <si>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</si>
  <si>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</si>
  <si>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</si>
  <si>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</si>
  <si>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</si>
  <si>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</si>
  <si>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</si>
  <si>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</si>
  <si>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</si>
  <si>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</si>
  <si>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</si>
  <si>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</si>
  <si>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</si>
  <si>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</si>
  <si>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</si>
  <si>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</si>
  <si>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</si>
  <si>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</si>
  <si>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</si>
  <si>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</si>
  <si>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</si>
  <si>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</si>
  <si>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</si>
  <si>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</si>
  <si>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</si>
  <si>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</si>
  <si>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</si>
  <si>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</si>
  <si>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</si>
  <si>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</si>
  <si>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</si>
  <si>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</si>
  <si>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</si>
  <si>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</si>
  <si>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</si>
  <si>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</si>
  <si>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</si>
  <si>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</si>
  <si>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</si>
  <si>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</si>
  <si>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</si>
  <si>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</si>
  <si>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</si>
  <si>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</si>
  <si>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</si>
  <si>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</si>
  <si>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</si>
  <si>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</si>
  <si>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</si>
  <si>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</si>
  <si>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</si>
  <si>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</si>
  <si>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</si>
  <si>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</si>
  <si>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</si>
  <si>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</si>
  <si>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</si>
  <si>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</si>
  <si>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</si>
  <si>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</si>
  <si>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</si>
  <si>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</si>
  <si>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</si>
  <si>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</si>
  <si>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</si>
  <si>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</si>
  <si>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</si>
  <si>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</si>
  <si>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</si>
  <si>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</si>
  <si>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</si>
  <si>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</si>
  <si>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</si>
  <si>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</si>
  <si>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</si>
  <si>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</si>
  <si>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</si>
  <si>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</si>
  <si>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</si>
  <si>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</si>
  <si>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</si>
  <si>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</si>
  <si>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</si>
  <si>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</si>
  <si>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</si>
  <si>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</si>
  <si>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</si>
  <si>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</si>
  <si>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</si>
  <si>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</si>
  <si>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</si>
  <si>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</si>
  <si>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</si>
  <si>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</si>
  <si>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</si>
  <si>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</si>
  <si>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</si>
  <si>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</si>
  <si>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</si>
  <si>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</si>
  <si>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</si>
  <si>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</si>
  <si>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</si>
  <si>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</si>
  <si>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</si>
  <si>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</si>
  <si>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</si>
  <si>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</si>
  <si>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</si>
  <si>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</si>
  <si>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</si>
  <si>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</si>
  <si>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</si>
  <si>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</si>
  <si>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</si>
  <si>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</si>
  <si>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</si>
  <si>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</si>
  <si>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</si>
  <si>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</si>
  <si>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</si>
  <si>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</si>
  <si>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</si>
  <si>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</si>
  <si>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</si>
  <si>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</si>
  <si>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</si>
  <si>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</si>
  <si>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</si>
  <si>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</si>
  <si>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</si>
  <si>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</si>
  <si>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</si>
  <si>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</si>
  <si>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</si>
  <si>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</si>
  <si>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</si>
  <si>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</si>
  <si>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</si>
  <si>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</si>
  <si>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</si>
  <si>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</si>
  <si>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</si>
  <si>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</si>
  <si>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</si>
  <si>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</si>
  <si>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</si>
  <si>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</si>
  <si>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</si>
  <si>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</si>
  <si>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</si>
  <si>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</si>
  <si>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</si>
  <si>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</si>
  <si>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</si>
  <si>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</si>
  <si>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</si>
  <si>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</si>
  <si>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</si>
  <si>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</si>
  <si>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</si>
  <si>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</si>
  <si>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</si>
  <si>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</si>
  <si>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</si>
  <si>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</si>
  <si>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</si>
  <si>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</si>
  <si>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</si>
  <si>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</si>
  <si>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</si>
  <si>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</si>
  <si>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</si>
  <si>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</si>
  <si>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</si>
  <si>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</si>
  <si>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</si>
  <si>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</si>
  <si>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</si>
  <si>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</si>
  <si>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</si>
  <si>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</si>
  <si>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</si>
  <si>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</si>
  <si>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</si>
  <si>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</si>
  <si>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</si>
  <si>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</si>
  <si>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</si>
  <si>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</si>
  <si>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</si>
  <si>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</si>
  <si>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</si>
  <si>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</si>
  <si>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</si>
  <si>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</si>
  <si>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</si>
  <si>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</si>
  <si>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</si>
  <si>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</si>
  <si>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</si>
  <si>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</si>
  <si>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</si>
  <si>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</si>
  <si>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</si>
  <si>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</si>
  <si>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</si>
  <si>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</si>
  <si>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</si>
  <si>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</si>
  <si>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</si>
  <si>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</si>
  <si>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</si>
  <si>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</si>
  <si>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</si>
  <si>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</si>
  <si>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</si>
  <si>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</si>
  <si>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</si>
  <si>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</si>
  <si>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</si>
  <si>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</si>
  <si>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</si>
  <si>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</si>
  <si>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</si>
  <si>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</si>
  <si>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</si>
  <si>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</si>
  <si>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</si>
  <si>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</si>
  <si>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</si>
  <si>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</si>
  <si>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</si>
  <si>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</si>
  <si>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</si>
  <si>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</si>
  <si>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</si>
  <si>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</si>
  <si>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</si>
  <si>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</si>
  <si>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</si>
  <si>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</si>
  <si>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</si>
  <si>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</si>
  <si>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</si>
  <si>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</si>
  <si>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</si>
  <si>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</si>
  <si>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</si>
  <si>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</si>
  <si>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</si>
  <si>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</si>
  <si>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</si>
  <si>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</si>
  <si>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</si>
  <si>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</si>
  <si>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</si>
  <si>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</si>
  <si>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</si>
  <si>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</si>
  <si>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</si>
  <si>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</si>
  <si>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</si>
  <si>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</si>
  <si>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</si>
  <si>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</si>
  <si>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</si>
  <si>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</si>
  <si>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</si>
  <si>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</si>
  <si>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</si>
  <si>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</si>
  <si>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</si>
  <si>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</si>
  <si>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</si>
  <si>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</si>
  <si>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</si>
  <si>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</si>
  <si>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</si>
  <si>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</si>
  <si>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</si>
  <si>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</si>
  <si>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</si>
  <si>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</si>
  <si>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</si>
  <si>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</si>
  <si>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</si>
  <si>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</si>
  <si>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</si>
  <si>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</si>
  <si>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</si>
  <si>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</si>
  <si>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</si>
  <si>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</si>
  <si>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</si>
  <si>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</si>
  <si>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</si>
  <si>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</si>
  <si>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</si>
  <si>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</si>
  <si>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</si>
  <si>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</si>
  <si>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</si>
  <si>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</si>
  <si>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</si>
  <si>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</si>
  <si>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</si>
  <si>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</si>
  <si>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</si>
  <si>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</si>
  <si>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</si>
  <si>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</si>
  <si>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</si>
  <si>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</si>
  <si>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</si>
  <si>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</si>
  <si>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</si>
  <si>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</si>
  <si>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</si>
  <si>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</si>
  <si>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</si>
  <si>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</si>
  <si>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</si>
  <si>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</si>
  <si>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</si>
  <si>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</si>
  <si>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</si>
  <si>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</si>
  <si>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</si>
  <si>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</si>
  <si>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</si>
  <si>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</si>
  <si>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</si>
  <si>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</si>
  <si>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</si>
  <si>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</si>
  <si>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</si>
  <si>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</si>
  <si>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</si>
  <si>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</si>
  <si>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</si>
  <si>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</si>
  <si>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</si>
  <si>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</si>
  <si>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</si>
  <si>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</si>
  <si>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</si>
  <si>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</si>
  <si>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</si>
  <si>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</si>
  <si>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</si>
  <si>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</si>
  <si>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</si>
  <si>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</si>
  <si>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</si>
  <si>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</si>
  <si>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</si>
  <si>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</si>
  <si>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</si>
  <si>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</si>
  <si>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</si>
  <si>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</si>
  <si>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</si>
  <si>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</si>
  <si>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</si>
  <si>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</si>
  <si>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</si>
  <si>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</si>
  <si>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</si>
  <si>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</si>
  <si>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</si>
  <si>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</si>
  <si>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</si>
  <si>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</si>
  <si>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</si>
  <si>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</si>
  <si>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</si>
  <si>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</si>
  <si>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</si>
  <si>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</si>
  <si>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</si>
  <si>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</si>
  <si>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</si>
  <si>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</si>
  <si>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</si>
  <si>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</si>
  <si>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</si>
  <si>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</si>
  <si>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</si>
  <si>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</si>
  <si>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</si>
  <si>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</si>
  <si>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</si>
  <si>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</si>
  <si>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</si>
  <si>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</si>
  <si>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</si>
  <si>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</si>
  <si>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</si>
  <si>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</si>
  <si>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</si>
  <si>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</si>
  <si>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</si>
  <si>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</si>
  <si>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</si>
  <si>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</si>
  <si>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</si>
  <si>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</si>
  <si>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</si>
  <si>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</si>
  <si>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</si>
  <si>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</si>
  <si>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</si>
  <si>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</si>
  <si>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</si>
  <si>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</si>
  <si>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</si>
  <si>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</si>
  <si>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</si>
  <si>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</si>
  <si>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</si>
  <si>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</si>
  <si>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</si>
  <si>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</si>
  <si>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</si>
  <si>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</si>
  <si>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</si>
  <si>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</si>
  <si>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</si>
  <si>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</si>
  <si>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</si>
  <si>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</si>
  <si>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</si>
  <si>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</si>
  <si>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</si>
  <si>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</si>
  <si>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</si>
  <si>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</si>
  <si>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JULY 1996</t>
  </si>
  <si>
    <t>JULY 1998</t>
  </si>
  <si>
    <t>AUG 2016</t>
  </si>
  <si>
    <t>AUG 2018</t>
  </si>
  <si>
    <t>Safe Routes Grant = 2,240</t>
  </si>
  <si>
    <t>FEMA Reimb = 11,512.5</t>
  </si>
  <si>
    <t>Hampton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</si>
</sst>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7E29-C8C5-486F-BB37-C150566B3C39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I656" sqref="I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900</v>
      </c>
      <c r="B2" s="21">
        <v>225</v>
      </c>
      <c r="C2" s="21">
        <v>225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756720.23</v>
      </c>
      <c r="G9" s="18">
        <v>300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67638.06</v>
      </c>
      <c r="G12" s="18">
        <v>6993.77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9248.92</v>
      </c>
      <c r="G13" s="18">
        <v>14345.23</v>
      </c>
      <c r="H13" s="18">
        <v>18082.64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1138.44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833607.21000000008</v>
      </c>
      <c r="G19" s="41">
        <f>SUM(G9:G18)</f>
        <v>22777.439999999999</v>
      </c>
      <c r="H19" s="41">
        <f>SUM(H9:H18)</f>
        <v>18082.64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6993.77</v>
      </c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70283.100000000006</v>
      </c>
      <c r="G25" s="18">
        <v>19.739999999999998</v>
      </c>
      <c r="H25" s="18">
        <v>18082.64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1733.71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36882.25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16628.04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115892.83000000002</v>
      </c>
      <c r="G33" s="41">
        <f>SUM(G23:G32)</f>
        <v>16647.780000000002</v>
      </c>
      <c r="H33" s="41">
        <f>SUM(H23:H32)</f>
        <v>18082.64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304190.93</v>
      </c>
      <c r="G37" s="18">
        <v>5836.17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26269.25</v>
      </c>
      <c r="G41" s="18">
        <v>293.49</v>
      </c>
      <c r="H41" s="18"/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337254.2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717714.38</v>
      </c>
      <c r="G43" s="41">
        <f>SUM(G35:G42)</f>
        <v>6129.66</v>
      </c>
      <c r="H43" s="41">
        <f>SUM(H35:H42)</f>
        <v>0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833607.21</v>
      </c>
      <c r="G44" s="41">
        <f>G43+G33</f>
        <v>22777.440000000002</v>
      </c>
      <c r="H44" s="41">
        <f>H43+H33</f>
        <v>18082.64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13333717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13333717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42676.72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42676.72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-1414.18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335265.02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1868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24762.14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283.35000000000002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60013.75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85513.06</v>
      </c>
      <c r="G103" s="41">
        <f>SUM(G88:G102)</f>
        <v>335265.02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13461906.780000001</v>
      </c>
      <c r="G104" s="41">
        <f>G52+G103</f>
        <v>335265.02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4244077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4244077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93237.7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91238.77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7332.26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184476.47</v>
      </c>
      <c r="G128" s="41">
        <f>SUM(G115:G127)</f>
        <v>7332.26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4428553.47</v>
      </c>
      <c r="G132" s="41">
        <f>G113+SUM(G128:G129)</f>
        <v>7332.26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f>11512.5+2240</f>
        <v>13752.5</v>
      </c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13752.5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184766.22+1938.63</f>
        <v>186704.85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144845.11+5822.21</f>
        <v>150667.31999999998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149860.32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385060.52-3079</f>
        <v>381981.52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26401.040000000001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27269.9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26401.040000000001</v>
      </c>
      <c r="G154" s="41">
        <f>SUM(G142:G153)</f>
        <v>177130.22</v>
      </c>
      <c r="H154" s="41">
        <f>SUM(H142:H153)</f>
        <v>719353.69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40153.54</v>
      </c>
      <c r="G161" s="41">
        <f>G139+G154+SUM(G155:G160)</f>
        <v>177130.22</v>
      </c>
      <c r="H161" s="41">
        <f>H139+H154+SUM(H155:H160)</f>
        <v>719353.69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39000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39000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39000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17930613.789999999</v>
      </c>
      <c r="G185" s="47">
        <f>G104+G132+G161+G184</f>
        <v>558727.5</v>
      </c>
      <c r="H185" s="47">
        <f>H104+H132+H161+H184</f>
        <v>719353.69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3939730.99</v>
      </c>
      <c r="G189" s="18">
        <f>1308616.8+3293</f>
        <v>1311909.8</v>
      </c>
      <c r="H189" s="18">
        <f>27219.8+60.06</f>
        <v>27279.86</v>
      </c>
      <c r="I189" s="18">
        <f>98524.67-1953.98+0.41</f>
        <v>96571.1</v>
      </c>
      <c r="J189" s="18">
        <v>4806.3100000000004</v>
      </c>
      <c r="K189" s="18"/>
      <c r="L189" s="19">
        <f>SUM(F189:K189)</f>
        <v>5380298.0599999996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1838174.53*66%</f>
        <v>1213195.1898000001</v>
      </c>
      <c r="G190" s="18">
        <v>304937.56</v>
      </c>
      <c r="H190" s="18">
        <f>468359.25*66%</f>
        <v>309117.10500000004</v>
      </c>
      <c r="I190" s="18">
        <f>4895.63*66%</f>
        <v>3231.1158</v>
      </c>
      <c r="J190" s="18"/>
      <c r="K190" s="18"/>
      <c r="L190" s="19">
        <f>SUM(F190:K190)</f>
        <v>1830480.9706000001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11947.5+12525</f>
        <v>24472.5</v>
      </c>
      <c r="G192" s="18">
        <v>2006.75</v>
      </c>
      <c r="H192" s="18">
        <v>5606</v>
      </c>
      <c r="I192" s="18">
        <f>3279.22+428.9</f>
        <v>3708.12</v>
      </c>
      <c r="J192" s="18"/>
      <c r="K192" s="18"/>
      <c r="L192" s="19">
        <f>SUM(F192:K192)</f>
        <v>35793.370000000003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150631.98+174511.34+182042.7+8875.53</f>
        <v>516061.55000000005</v>
      </c>
      <c r="G194" s="18">
        <v>165011.63</v>
      </c>
      <c r="H194" s="18">
        <v>300</v>
      </c>
      <c r="I194" s="18">
        <f>982.09+2550.78</f>
        <v>3532.8700000000003</v>
      </c>
      <c r="J194" s="18">
        <v>397.15</v>
      </c>
      <c r="K194" s="18"/>
      <c r="L194" s="19">
        <f t="shared" ref="L194:L200" si="0">SUM(F194:K194)</f>
        <v>685303.20000000007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138764.86+52675.1+SUM(184358.35*66%)</f>
        <v>313116.47100000002</v>
      </c>
      <c r="G195" s="18">
        <f>41530.24+99761.66</f>
        <v>141291.9</v>
      </c>
      <c r="H195" s="18">
        <f>15681.96+518.2+SUM(35112.59*66%)+2891+10689.44</f>
        <v>52954.909400000004</v>
      </c>
      <c r="I195" s="18">
        <f>15283.43+SUM(47107.5*66%)</f>
        <v>46374.380000000005</v>
      </c>
      <c r="J195" s="18">
        <f>2938.27*66%</f>
        <v>1939.2582</v>
      </c>
      <c r="K195" s="18"/>
      <c r="L195" s="19">
        <f t="shared" si="0"/>
        <v>555676.91860000009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23045*66%</f>
        <v>15209.7</v>
      </c>
      <c r="G196" s="18">
        <v>2576.52</v>
      </c>
      <c r="H196" s="18">
        <v>339069.75</v>
      </c>
      <c r="I196" s="18"/>
      <c r="J196" s="18"/>
      <c r="K196" s="18">
        <v>11615.09</v>
      </c>
      <c r="L196" s="19">
        <f t="shared" si="0"/>
        <v>368471.06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429810.13</v>
      </c>
      <c r="G197" s="18">
        <v>188617.66</v>
      </c>
      <c r="H197" s="18">
        <v>18752.189999999999</v>
      </c>
      <c r="I197" s="18">
        <v>8599.23</v>
      </c>
      <c r="J197" s="18"/>
      <c r="K197" s="18">
        <v>2178</v>
      </c>
      <c r="L197" s="19">
        <f t="shared" si="0"/>
        <v>647957.21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325909.49+139.2</f>
        <v>326048.69</v>
      </c>
      <c r="G199" s="18">
        <v>143495.46</v>
      </c>
      <c r="H199" s="18">
        <f>187696.69+55427.17+600.8</f>
        <v>243724.65999999997</v>
      </c>
      <c r="I199" s="18">
        <v>188497.79</v>
      </c>
      <c r="J199" s="18">
        <v>14056.79</v>
      </c>
      <c r="K199" s="18">
        <v>40</v>
      </c>
      <c r="L199" s="19">
        <f t="shared" si="0"/>
        <v>915863.39000000013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330285.78+24040.66+3969+4736.12+122345.66</f>
        <v>485377.22</v>
      </c>
      <c r="I200" s="18"/>
      <c r="J200" s="18"/>
      <c r="K200" s="18"/>
      <c r="L200" s="19">
        <f t="shared" si="0"/>
        <v>485377.22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>
        <f>1044.5*66%</f>
        <v>689.37</v>
      </c>
      <c r="L201" s="19">
        <f>SUM(F201:K201)</f>
        <v>689.37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6777645.2208000002</v>
      </c>
      <c r="G203" s="41">
        <f t="shared" si="1"/>
        <v>2259847.2800000003</v>
      </c>
      <c r="H203" s="41">
        <f t="shared" si="1"/>
        <v>1482181.6943999999</v>
      </c>
      <c r="I203" s="41">
        <f t="shared" si="1"/>
        <v>350514.60580000002</v>
      </c>
      <c r="J203" s="41">
        <f t="shared" si="1"/>
        <v>21199.5082</v>
      </c>
      <c r="K203" s="41">
        <f t="shared" si="1"/>
        <v>14522.460000000001</v>
      </c>
      <c r="L203" s="41">
        <f t="shared" si="1"/>
        <v>10905910.769200001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2322999.98</v>
      </c>
      <c r="G207" s="18">
        <f>728064.88+1647</f>
        <v>729711.88</v>
      </c>
      <c r="H207" s="18">
        <v>15151.81</v>
      </c>
      <c r="I207" s="18">
        <f>54468.52+211.89</f>
        <v>54680.409999999996</v>
      </c>
      <c r="J207" s="18">
        <v>5915.42</v>
      </c>
      <c r="K207" s="18"/>
      <c r="L207" s="19">
        <f>SUM(F207:K207)</f>
        <v>3128459.5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1838174.53*34%</f>
        <v>624979.34020000009</v>
      </c>
      <c r="G208" s="18">
        <v>157528.93</v>
      </c>
      <c r="H208" s="18">
        <f>468359.25*34%</f>
        <v>159242.14500000002</v>
      </c>
      <c r="I208" s="18">
        <f>4895.63*34%</f>
        <v>1664.5142000000001</v>
      </c>
      <c r="J208" s="18"/>
      <c r="K208" s="18"/>
      <c r="L208" s="19">
        <f>SUM(F208:K208)</f>
        <v>943414.92940000014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50925.5+10975</f>
        <v>61900.5</v>
      </c>
      <c r="G210" s="18">
        <v>5075.84</v>
      </c>
      <c r="H210" s="18">
        <v>22275</v>
      </c>
      <c r="I210" s="18">
        <f>16746.42+261.89</f>
        <v>17008.309999999998</v>
      </c>
      <c r="J210" s="18"/>
      <c r="K210" s="18"/>
      <c r="L210" s="19">
        <f>SUM(F210:K210)</f>
        <v>106259.65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119891.08+55816.02+4572.25+30359.37</f>
        <v>210638.72</v>
      </c>
      <c r="G212" s="18">
        <v>49592.23</v>
      </c>
      <c r="H212" s="18">
        <v>340</v>
      </c>
      <c r="I212" s="18">
        <f>593.56+1344.44</f>
        <v>1938</v>
      </c>
      <c r="J212" s="18">
        <v>200</v>
      </c>
      <c r="K212" s="18"/>
      <c r="L212" s="19">
        <f t="shared" ref="L212:L218" si="2">SUM(F212:K212)</f>
        <v>262708.95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49076.04+35259.8+SUM(184358.35*34%)</f>
        <v>147017.679</v>
      </c>
      <c r="G213" s="18">
        <f>21179.67+37020.96</f>
        <v>58200.63</v>
      </c>
      <c r="H213" s="18">
        <f>9338.94+19576.62+SUM(35112.59*34%)+5506.68</f>
        <v>46360.520599999996</v>
      </c>
      <c r="I213" s="18">
        <f>-17.99+5969.52+SUM(47107.5*34%)</f>
        <v>21968.080000000002</v>
      </c>
      <c r="J213" s="18">
        <f>2938.27*34%</f>
        <v>999.01180000000011</v>
      </c>
      <c r="K213" s="18"/>
      <c r="L213" s="19">
        <f t="shared" si="2"/>
        <v>274545.92139999999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23045*34%</f>
        <v>7835.3</v>
      </c>
      <c r="G214" s="18">
        <v>642.49</v>
      </c>
      <c r="H214" s="18">
        <v>174672.29</v>
      </c>
      <c r="I214" s="18"/>
      <c r="J214" s="18"/>
      <c r="K214" s="18">
        <v>5983.53</v>
      </c>
      <c r="L214" s="19">
        <f t="shared" si="2"/>
        <v>189133.61000000002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246388.56</v>
      </c>
      <c r="G215" s="18">
        <v>95597.13</v>
      </c>
      <c r="H215" s="18">
        <v>16800.259999999998</v>
      </c>
      <c r="I215" s="18">
        <v>6179.67</v>
      </c>
      <c r="J215" s="18"/>
      <c r="K215" s="18">
        <v>245</v>
      </c>
      <c r="L215" s="19">
        <f t="shared" si="2"/>
        <v>365210.62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190259.17+1800+211.34</f>
        <v>192270.51</v>
      </c>
      <c r="G217" s="18">
        <v>67550.09</v>
      </c>
      <c r="H217" s="18">
        <f>166100.97+22689.28+15485.16+1270.23</f>
        <v>205545.64</v>
      </c>
      <c r="I217" s="18">
        <f>119892.05+217.89</f>
        <v>120109.94</v>
      </c>
      <c r="J217" s="18">
        <v>7171.99</v>
      </c>
      <c r="K217" s="18"/>
      <c r="L217" s="19">
        <f t="shared" si="2"/>
        <v>592648.16999999993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165142.89+12017.67+9514+4161.7+2332.18+63026.54</f>
        <v>256194.98000000004</v>
      </c>
      <c r="I218" s="18"/>
      <c r="J218" s="18"/>
      <c r="K218" s="18"/>
      <c r="L218" s="19">
        <f t="shared" si="2"/>
        <v>256194.98000000004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>
        <f>1044.5*34%</f>
        <v>355.13000000000005</v>
      </c>
      <c r="L219" s="19">
        <f>SUM(F219:K219)</f>
        <v>355.13000000000005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3814030.5892000003</v>
      </c>
      <c r="G221" s="41">
        <f>SUM(G207:G220)</f>
        <v>1163899.22</v>
      </c>
      <c r="H221" s="41">
        <f>SUM(H207:H220)</f>
        <v>896582.64560000016</v>
      </c>
      <c r="I221" s="41">
        <f>SUM(I207:I220)</f>
        <v>223548.92420000001</v>
      </c>
      <c r="J221" s="41">
        <f>SUM(J207:J220)</f>
        <v>14286.4218</v>
      </c>
      <c r="K221" s="41">
        <f t="shared" si="3"/>
        <v>6583.66</v>
      </c>
      <c r="L221" s="41">
        <f t="shared" si="3"/>
        <v>6118931.4608000014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16569</v>
      </c>
      <c r="G242" s="18"/>
      <c r="H242" s="18">
        <v>12794.18</v>
      </c>
      <c r="I242" s="18">
        <f>2394.87+21021.91+279.5+231.3</f>
        <v>23927.579999999998</v>
      </c>
      <c r="J242" s="18"/>
      <c r="K242" s="18"/>
      <c r="L242" s="19">
        <f t="shared" ref="L242:L247" si="6">SUM(F242:K242)</f>
        <v>53290.759999999995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181078.09</v>
      </c>
      <c r="I247" s="18"/>
      <c r="J247" s="18"/>
      <c r="K247" s="18"/>
      <c r="L247" s="19">
        <f t="shared" si="6"/>
        <v>181078.09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16569</v>
      </c>
      <c r="G248" s="41">
        <f t="shared" si="7"/>
        <v>0</v>
      </c>
      <c r="H248" s="41">
        <f t="shared" si="7"/>
        <v>193872.27</v>
      </c>
      <c r="I248" s="41">
        <f t="shared" si="7"/>
        <v>23927.579999999998</v>
      </c>
      <c r="J248" s="41">
        <f t="shared" si="7"/>
        <v>0</v>
      </c>
      <c r="K248" s="41">
        <f t="shared" si="7"/>
        <v>0</v>
      </c>
      <c r="L248" s="41">
        <f>SUM(F248:K248)</f>
        <v>234368.84999999998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10608244.810000001</v>
      </c>
      <c r="G249" s="41">
        <f t="shared" si="8"/>
        <v>3423746.5</v>
      </c>
      <c r="H249" s="41">
        <f t="shared" si="8"/>
        <v>2572636.61</v>
      </c>
      <c r="I249" s="41">
        <f t="shared" si="8"/>
        <v>597991.11</v>
      </c>
      <c r="J249" s="41">
        <f t="shared" si="8"/>
        <v>35485.93</v>
      </c>
      <c r="K249" s="41">
        <f t="shared" si="8"/>
        <v>21106.120000000003</v>
      </c>
      <c r="L249" s="41">
        <f t="shared" si="8"/>
        <v>17259211.080000006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300000</v>
      </c>
      <c r="L252" s="19">
        <f>SUM(F252:K252)</f>
        <v>300000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168508.75</v>
      </c>
      <c r="L253" s="19">
        <f>SUM(F253:K253)</f>
        <v>168508.75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39000</v>
      </c>
      <c r="L255" s="19">
        <f>SUM(F255:K255)</f>
        <v>39000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507508.75</v>
      </c>
      <c r="L262" s="41">
        <f t="shared" si="9"/>
        <v>507508.75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10608244.810000001</v>
      </c>
      <c r="G263" s="42">
        <f t="shared" si="11"/>
        <v>3423746.5</v>
      </c>
      <c r="H263" s="42">
        <f t="shared" si="11"/>
        <v>2572636.61</v>
      </c>
      <c r="I263" s="42">
        <f t="shared" si="11"/>
        <v>597991.11</v>
      </c>
      <c r="J263" s="42">
        <f t="shared" si="11"/>
        <v>35485.93</v>
      </c>
      <c r="K263" s="42">
        <f t="shared" si="11"/>
        <v>528614.87</v>
      </c>
      <c r="L263" s="42">
        <f t="shared" si="11"/>
        <v>17766719.830000006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50057.92+54382.84+17403.1+600+34817.64+36389.73</f>
        <v>193651.23</v>
      </c>
      <c r="G268" s="18">
        <f>130.8+283.83+9200.24+3558.46+177.55+469.98+27.52+47.66+45.9+32.1+204.73+541.95+82.56+2663.46+59.19+156.68+6829.92</f>
        <v>24512.53</v>
      </c>
      <c r="H268" s="18">
        <f>58+82.5+1323+45093.67+3046.27</f>
        <v>49603.439999999995</v>
      </c>
      <c r="I268" s="18">
        <f>112.56+101.11+328.47+6038.19</f>
        <v>6580.33</v>
      </c>
      <c r="J268" s="18"/>
      <c r="K268" s="18"/>
      <c r="L268" s="19">
        <f>SUM(F268:K268)</f>
        <v>274347.53000000003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SUM(6588.3+120279.55+5212.8)*66%</f>
        <v>87173.229000000007</v>
      </c>
      <c r="G269" s="18">
        <f>SUM(180.72+371.56+9703.15+215.66+570.85+398.78)*66%</f>
        <v>7550.8752000000013</v>
      </c>
      <c r="H269" s="18">
        <f>SUM(64571.73+3980+201+25535)*66%+8998.25</f>
        <v>71228.151800000007</v>
      </c>
      <c r="I269" s="18">
        <f>SUM(17977.79+7969.07+992.34)*66%+739.7</f>
        <v>18519.572000000004</v>
      </c>
      <c r="J269" s="18">
        <f>SUM(4536.25+4448+93638)*66%</f>
        <v>67730.684999999998</v>
      </c>
      <c r="K269" s="18"/>
      <c r="L269" s="19">
        <f>SUM(F269:K269)</f>
        <v>252202.51300000001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2137.5</v>
      </c>
      <c r="G274" s="18">
        <v>163.53</v>
      </c>
      <c r="H274" s="18">
        <v>313.77999999999997</v>
      </c>
      <c r="I274" s="18"/>
      <c r="J274" s="18"/>
      <c r="K274" s="18"/>
      <c r="L274" s="19">
        <f t="shared" si="12"/>
        <v>2614.8100000000004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f>2588.61+407.3+3347.69+796.69+185.02+3094.08+1965+77.65</f>
        <v>12462.04</v>
      </c>
      <c r="L275" s="19">
        <f t="shared" si="12"/>
        <v>12462.04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282961.95900000003</v>
      </c>
      <c r="G282" s="42">
        <f t="shared" si="13"/>
        <v>32226.9352</v>
      </c>
      <c r="H282" s="42">
        <f t="shared" si="13"/>
        <v>121145.37179999999</v>
      </c>
      <c r="I282" s="42">
        <f t="shared" si="13"/>
        <v>25099.902000000002</v>
      </c>
      <c r="J282" s="42">
        <f t="shared" si="13"/>
        <v>67730.684999999998</v>
      </c>
      <c r="K282" s="42">
        <f t="shared" si="13"/>
        <v>12462.04</v>
      </c>
      <c r="L282" s="41">
        <f t="shared" si="13"/>
        <v>541626.89300000016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18746.22</v>
      </c>
      <c r="G287" s="18">
        <v>3518.43</v>
      </c>
      <c r="H287" s="18">
        <f>23230.07+1569.29+0.03</f>
        <v>24799.39</v>
      </c>
      <c r="I287" s="18">
        <v>3110.58</v>
      </c>
      <c r="J287" s="18"/>
      <c r="K287" s="18"/>
      <c r="L287" s="19">
        <f>SUM(F287:K287)</f>
        <v>50174.62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SUM(6588.3+120279.55+5212.8)*34%</f>
        <v>44907.421000000002</v>
      </c>
      <c r="G288" s="18">
        <f>SUM(180.72+371.56+9703.15+215.66+570.85+398.78)*34%</f>
        <v>3889.8448000000008</v>
      </c>
      <c r="H288" s="18">
        <f>SUM(64571.73+3980+201+25535)*34%</f>
        <v>32057.828200000007</v>
      </c>
      <c r="I288" s="18">
        <f>SUM(17977.79+7969.07+992.34)*34%</f>
        <v>9159.3280000000013</v>
      </c>
      <c r="J288" s="18">
        <f>SUM(4536.25+4448+93638)*34%</f>
        <v>34891.565000000002</v>
      </c>
      <c r="K288" s="18"/>
      <c r="L288" s="19">
        <f>SUM(F288:K288)</f>
        <v>124905.98700000002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>
        <f>SUM(4688)*34%+1012.27+40</f>
        <v>2646.19</v>
      </c>
      <c r="L294" s="19">
        <f t="shared" si="14"/>
        <v>2646.19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63653.641000000003</v>
      </c>
      <c r="G301" s="42">
        <f t="shared" si="15"/>
        <v>7408.2748000000011</v>
      </c>
      <c r="H301" s="42">
        <f t="shared" si="15"/>
        <v>56857.218200000003</v>
      </c>
      <c r="I301" s="42">
        <f t="shared" si="15"/>
        <v>12269.908000000001</v>
      </c>
      <c r="J301" s="42">
        <f t="shared" si="15"/>
        <v>34891.565000000002</v>
      </c>
      <c r="K301" s="42">
        <f t="shared" si="15"/>
        <v>2646.19</v>
      </c>
      <c r="L301" s="41">
        <f t="shared" si="15"/>
        <v>177726.79700000002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346615.60000000003</v>
      </c>
      <c r="G330" s="41">
        <f t="shared" si="20"/>
        <v>39635.21</v>
      </c>
      <c r="H330" s="41">
        <f t="shared" si="20"/>
        <v>178002.59</v>
      </c>
      <c r="I330" s="41">
        <f t="shared" si="20"/>
        <v>37369.810000000005</v>
      </c>
      <c r="J330" s="41">
        <f t="shared" si="20"/>
        <v>102622.25</v>
      </c>
      <c r="K330" s="41">
        <f t="shared" si="20"/>
        <v>15108.230000000001</v>
      </c>
      <c r="L330" s="41">
        <f t="shared" si="20"/>
        <v>719353.69000000018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346615.60000000003</v>
      </c>
      <c r="G344" s="41">
        <f>G330</f>
        <v>39635.21</v>
      </c>
      <c r="H344" s="41">
        <f>H330</f>
        <v>178002.59</v>
      </c>
      <c r="I344" s="41">
        <f>I330</f>
        <v>37369.810000000005</v>
      </c>
      <c r="J344" s="41">
        <f>J330</f>
        <v>102622.25</v>
      </c>
      <c r="K344" s="47">
        <f>K330+K343</f>
        <v>15108.230000000001</v>
      </c>
      <c r="L344" s="41">
        <f>L330+L343</f>
        <v>719353.69000000018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SUM(53927.9+203522.41+2772.6)*66%</f>
        <v>171747.12060000002</v>
      </c>
      <c r="G350" s="18"/>
      <c r="H350" s="18">
        <f>SUM(11316.86+3961.44)*66%</f>
        <v>10083.678000000002</v>
      </c>
      <c r="I350" s="18">
        <f>SUM(1129.07+15553.94+235616.77+27269.9)*66%</f>
        <v>184515.98879999999</v>
      </c>
      <c r="J350" s="18">
        <f>514.13*66%</f>
        <v>339.32580000000002</v>
      </c>
      <c r="K350" s="18">
        <f>2696.97*66%</f>
        <v>1780.0001999999999</v>
      </c>
      <c r="L350" s="13">
        <f>SUM(F350:K350)</f>
        <v>368466.11340000003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SUM(53927.9+203522.41+2772.6)*34%</f>
        <v>88475.789400000009</v>
      </c>
      <c r="G351" s="18"/>
      <c r="H351" s="18">
        <f>SUM(11316.86+3961.44)*34%</f>
        <v>5194.6220000000003</v>
      </c>
      <c r="I351" s="18">
        <f>SUM(1129.07+15553.94+235616.77+27269.9)*34%</f>
        <v>95053.691200000001</v>
      </c>
      <c r="J351" s="18">
        <f>514.13*34%</f>
        <v>174.80420000000001</v>
      </c>
      <c r="K351" s="18">
        <f>2696.97*34%</f>
        <v>916.96979999999996</v>
      </c>
      <c r="L351" s="19">
        <f>SUM(F351:K351)</f>
        <v>189815.87660000002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260222.91000000003</v>
      </c>
      <c r="G354" s="47">
        <f t="shared" si="22"/>
        <v>0</v>
      </c>
      <c r="H354" s="47">
        <f t="shared" si="22"/>
        <v>15278.300000000003</v>
      </c>
      <c r="I354" s="47">
        <f t="shared" si="22"/>
        <v>279569.68</v>
      </c>
      <c r="J354" s="47">
        <f t="shared" si="22"/>
        <v>514.13</v>
      </c>
      <c r="K354" s="47">
        <f t="shared" si="22"/>
        <v>2696.97</v>
      </c>
      <c r="L354" s="47">
        <f t="shared" si="22"/>
        <v>558281.99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SUM(235616.77+27269.9)*66%</f>
        <v>173505.2022</v>
      </c>
      <c r="G359" s="18">
        <f>SUM(235616.77+27269.9)*34%</f>
        <v>89381.467799999999</v>
      </c>
      <c r="H359" s="18"/>
      <c r="I359" s="56">
        <f>SUM(F359:H359)</f>
        <v>262886.67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SUM(1129.07+15553.94)*66%</f>
        <v>11010.786600000001</v>
      </c>
      <c r="G360" s="63">
        <f>SUM(1129.07+15553.94)*34%</f>
        <v>5672.2234000000008</v>
      </c>
      <c r="H360" s="63"/>
      <c r="I360" s="56">
        <f>SUM(F360:H360)</f>
        <v>16683.010000000002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184515.98879999999</v>
      </c>
      <c r="G361" s="47">
        <f>SUM(G359:G360)</f>
        <v>95053.691200000001</v>
      </c>
      <c r="H361" s="47">
        <f>SUM(H359:H360)</f>
        <v>0</v>
      </c>
      <c r="I361" s="47">
        <f>SUM(I359:I360)</f>
        <v>279569.68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553820.42000000004</v>
      </c>
      <c r="G455" s="18">
        <v>5684.15</v>
      </c>
      <c r="H455" s="18">
        <v>0</v>
      </c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17930613.789999999</v>
      </c>
      <c r="G458" s="18">
        <v>558727.5</v>
      </c>
      <c r="H458" s="18">
        <v>719353.69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17930613.789999999</v>
      </c>
      <c r="G460" s="53">
        <f>SUM(G458:G459)</f>
        <v>558727.5</v>
      </c>
      <c r="H460" s="53">
        <f>SUM(H458:H459)</f>
        <v>719353.69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17766719.829999998</v>
      </c>
      <c r="G462" s="18">
        <v>558281.99</v>
      </c>
      <c r="H462" s="18">
        <v>719353.69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17766719.829999998</v>
      </c>
      <c r="G464" s="53">
        <f>SUM(G462:G463)</f>
        <v>558281.99</v>
      </c>
      <c r="H464" s="53">
        <f>SUM(H462:H463)</f>
        <v>719353.69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717714.38000000268</v>
      </c>
      <c r="G466" s="53">
        <f>(G455+G460)- G464</f>
        <v>6129.6600000000326</v>
      </c>
      <c r="H466" s="53">
        <f>(H455+H460)- H464</f>
        <v>0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897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3970000</v>
      </c>
      <c r="G483" s="18">
        <v>1770000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5.7</v>
      </c>
      <c r="G484" s="18">
        <v>4.9000000000000004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2130000</v>
      </c>
      <c r="G485" s="18">
        <v>1090000</v>
      </c>
      <c r="H485" s="18"/>
      <c r="I485" s="18"/>
      <c r="J485" s="18"/>
      <c r="K485" s="53">
        <f>SUM(F485:J485)</f>
        <v>3220000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215000</v>
      </c>
      <c r="G487" s="18">
        <v>85000</v>
      </c>
      <c r="H487" s="18"/>
      <c r="I487" s="18"/>
      <c r="J487" s="18"/>
      <c r="K487" s="53">
        <f t="shared" si="34"/>
        <v>300000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1915000</v>
      </c>
      <c r="G488" s="205">
        <v>1005000</v>
      </c>
      <c r="H488" s="205"/>
      <c r="I488" s="205"/>
      <c r="J488" s="205"/>
      <c r="K488" s="206">
        <f t="shared" si="34"/>
        <v>2920000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411268.75</v>
      </c>
      <c r="G489" s="18">
        <v>243775</v>
      </c>
      <c r="H489" s="18"/>
      <c r="I489" s="18"/>
      <c r="J489" s="18"/>
      <c r="K489" s="53">
        <f t="shared" si="34"/>
        <v>655043.75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2326268.75</v>
      </c>
      <c r="G490" s="42">
        <f>SUM(G488:G489)</f>
        <v>1248775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3575043.75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230000</v>
      </c>
      <c r="G491" s="205">
        <v>90000</v>
      </c>
      <c r="H491" s="205"/>
      <c r="I491" s="205"/>
      <c r="J491" s="205"/>
      <c r="K491" s="206">
        <f t="shared" si="34"/>
        <v>320000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55056.25+48443.75</f>
        <v>103500</v>
      </c>
      <c r="G492" s="18">
        <f>25125+22875</f>
        <v>48000</v>
      </c>
      <c r="H492" s="18"/>
      <c r="I492" s="18"/>
      <c r="J492" s="18"/>
      <c r="K492" s="53">
        <f t="shared" si="34"/>
        <v>151500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333500</v>
      </c>
      <c r="G493" s="42">
        <f>SUM(G491:G492)</f>
        <v>138000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471500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SUM(979544+298816.52+412652.92)*66%</f>
        <v>1116068.8704000001</v>
      </c>
      <c r="G511" s="18">
        <v>253622</v>
      </c>
      <c r="H511" s="18">
        <f>SUM(1626+197469.22+5826.07+1583.96+258481.08)*66%</f>
        <v>306890.97779999999</v>
      </c>
      <c r="I511" s="18">
        <f>4895.63*66%</f>
        <v>3231.1158</v>
      </c>
      <c r="J511" s="18"/>
      <c r="K511" s="18"/>
      <c r="L511" s="88">
        <f>SUM(F511:K511)</f>
        <v>1679812.9640000002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SUM(979544+298816.52+412652.92)*34%</f>
        <v>574944.56960000005</v>
      </c>
      <c r="G512" s="18">
        <v>131074</v>
      </c>
      <c r="H512" s="18">
        <f>SUM(1626+197469.22+5826.07+1583.96+258481.08)*34%</f>
        <v>158095.35219999999</v>
      </c>
      <c r="I512" s="18">
        <f>4895.63*34%</f>
        <v>1664.5142000000001</v>
      </c>
      <c r="J512" s="18"/>
      <c r="K512" s="18"/>
      <c r="L512" s="88">
        <f>SUM(F512:K512)</f>
        <v>865778.43599999999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1691013.4400000002</v>
      </c>
      <c r="G514" s="108">
        <f t="shared" ref="G514:L514" si="35">SUM(G511:G513)</f>
        <v>384696</v>
      </c>
      <c r="H514" s="108">
        <f t="shared" si="35"/>
        <v>464986.32999999996</v>
      </c>
      <c r="I514" s="108">
        <f t="shared" si="35"/>
        <v>4895.63</v>
      </c>
      <c r="J514" s="108">
        <f t="shared" si="35"/>
        <v>0</v>
      </c>
      <c r="K514" s="108">
        <f t="shared" si="35"/>
        <v>0</v>
      </c>
      <c r="L514" s="89">
        <f t="shared" si="35"/>
        <v>2545591.4000000004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67193.96+64955.54+49893.2</f>
        <v>182042.7</v>
      </c>
      <c r="G516" s="18">
        <f>27483.24+30290.59+24965.4</f>
        <v>82739.23000000001</v>
      </c>
      <c r="H516" s="18"/>
      <c r="I516" s="18"/>
      <c r="J516" s="18"/>
      <c r="K516" s="18"/>
      <c r="L516" s="88">
        <f>SUM(F516:K516)</f>
        <v>264781.93000000005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18118.03+12241.34</f>
        <v>30359.37</v>
      </c>
      <c r="G517" s="18">
        <f>6192.27+2518.73</f>
        <v>8711</v>
      </c>
      <c r="H517" s="18"/>
      <c r="I517" s="18"/>
      <c r="J517" s="18"/>
      <c r="K517" s="18"/>
      <c r="L517" s="88">
        <f>SUM(F517:K517)</f>
        <v>39070.369999999995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212402.07</v>
      </c>
      <c r="G519" s="89">
        <f t="shared" ref="G519:L519" si="36">SUM(G516:G518)</f>
        <v>91450.23000000001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303852.30000000005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SUM(78972.88+68188.21)*66%</f>
        <v>97126.319400000022</v>
      </c>
      <c r="G521" s="18">
        <v>52301.04</v>
      </c>
      <c r="H521" s="18"/>
      <c r="I521" s="18"/>
      <c r="J521" s="18"/>
      <c r="K521" s="18"/>
      <c r="L521" s="88">
        <f>SUM(F521:K521)</f>
        <v>149427.35940000002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SUM(78972.88+68188.21)*34%</f>
        <v>50034.770600000011</v>
      </c>
      <c r="G522" s="18">
        <v>26942.959999999999</v>
      </c>
      <c r="H522" s="18"/>
      <c r="I522" s="18"/>
      <c r="J522" s="18"/>
      <c r="K522" s="18"/>
      <c r="L522" s="88">
        <f>SUM(F522:K522)</f>
        <v>76977.73060000001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147161.09000000003</v>
      </c>
      <c r="G524" s="89">
        <f t="shared" ref="G524:L524" si="37">SUM(G521:G523)</f>
        <v>79244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226405.09000000003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f>3372.92*66%</f>
        <v>2226.1272000000004</v>
      </c>
      <c r="I526" s="18"/>
      <c r="J526" s="18"/>
      <c r="K526" s="18"/>
      <c r="L526" s="88">
        <f>SUM(F526:K526)</f>
        <v>2226.1272000000004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f>3372.92*34%</f>
        <v>1146.7928000000002</v>
      </c>
      <c r="I527" s="18"/>
      <c r="J527" s="18"/>
      <c r="K527" s="18"/>
      <c r="L527" s="88">
        <f>SUM(F527:K527)</f>
        <v>1146.7928000000002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3372.9200000000005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3372.9200000000005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185372.2*66%</f>
        <v>122345.65200000002</v>
      </c>
      <c r="I531" s="18"/>
      <c r="J531" s="18"/>
      <c r="K531" s="18"/>
      <c r="L531" s="88">
        <f>SUM(F531:K531)</f>
        <v>122345.65200000002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185372.2*34%</f>
        <v>63026.54800000001</v>
      </c>
      <c r="I532" s="18"/>
      <c r="J532" s="18"/>
      <c r="K532" s="18"/>
      <c r="L532" s="88">
        <f>SUM(F532:K532)</f>
        <v>63026.54800000001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185372.2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185372.2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2050576.6000000003</v>
      </c>
      <c r="G535" s="89">
        <f t="shared" ref="G535:L535" si="40">G514+G519+G524+G529+G534</f>
        <v>555390.23</v>
      </c>
      <c r="H535" s="89">
        <f t="shared" si="40"/>
        <v>653731.44999999995</v>
      </c>
      <c r="I535" s="89">
        <f t="shared" si="40"/>
        <v>4895.63</v>
      </c>
      <c r="J535" s="89">
        <f t="shared" si="40"/>
        <v>0</v>
      </c>
      <c r="K535" s="89">
        <f t="shared" si="40"/>
        <v>0</v>
      </c>
      <c r="L535" s="89">
        <f t="shared" si="40"/>
        <v>3264593.91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1679812.9640000002</v>
      </c>
      <c r="G539" s="87">
        <f>L516</f>
        <v>264781.93000000005</v>
      </c>
      <c r="H539" s="87">
        <f>L521</f>
        <v>149427.35940000002</v>
      </c>
      <c r="I539" s="87">
        <f>L526</f>
        <v>2226.1272000000004</v>
      </c>
      <c r="J539" s="87">
        <f>L531</f>
        <v>122345.65200000002</v>
      </c>
      <c r="K539" s="87">
        <f>SUM(F539:J539)</f>
        <v>2218594.0326000005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865778.43599999999</v>
      </c>
      <c r="G540" s="87">
        <f>L517</f>
        <v>39070.369999999995</v>
      </c>
      <c r="H540" s="87">
        <f>L522</f>
        <v>76977.73060000001</v>
      </c>
      <c r="I540" s="87">
        <f>L527</f>
        <v>1146.7928000000002</v>
      </c>
      <c r="J540" s="87">
        <f>L532</f>
        <v>63026.54800000001</v>
      </c>
      <c r="K540" s="87">
        <f>SUM(F540:J540)</f>
        <v>1045999.8774000001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2545591.4000000004</v>
      </c>
      <c r="G542" s="89">
        <f t="shared" si="41"/>
        <v>303852.30000000005</v>
      </c>
      <c r="H542" s="89">
        <f t="shared" si="41"/>
        <v>226405.09000000003</v>
      </c>
      <c r="I542" s="89">
        <f t="shared" si="41"/>
        <v>3372.9200000000005</v>
      </c>
      <c r="J542" s="89">
        <f t="shared" si="41"/>
        <v>185372.2</v>
      </c>
      <c r="K542" s="89">
        <f t="shared" si="41"/>
        <v>3264593.9100000006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v>42726</v>
      </c>
      <c r="H569" s="18"/>
      <c r="I569" s="87">
        <f t="shared" si="46"/>
        <v>42726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189.6+2500+9763.32+250+30005.13</f>
        <v>42708.05</v>
      </c>
      <c r="G572" s="18">
        <f>46724.91+30005.13</f>
        <v>76730.040000000008</v>
      </c>
      <c r="H572" s="18"/>
      <c r="I572" s="87">
        <f t="shared" si="46"/>
        <v>119438.09000000001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>
        <f>2156+94160.99</f>
        <v>96316.99</v>
      </c>
      <c r="H573" s="18"/>
      <c r="I573" s="87">
        <f t="shared" si="46"/>
        <v>96316.99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354326.44</v>
      </c>
      <c r="I581" s="18">
        <v>177160.56</v>
      </c>
      <c r="J581" s="18"/>
      <c r="K581" s="104">
        <f t="shared" ref="K581:K587" si="47">SUM(H581:J581)</f>
        <v>531487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122345.66</v>
      </c>
      <c r="I582" s="18">
        <v>63026.54</v>
      </c>
      <c r="J582" s="18"/>
      <c r="K582" s="104">
        <f t="shared" si="47"/>
        <v>185372.2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9514</v>
      </c>
      <c r="J584" s="18"/>
      <c r="K584" s="104">
        <f t="shared" si="47"/>
        <v>9514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2084.4+1884.6</f>
        <v>3969</v>
      </c>
      <c r="I585" s="18">
        <v>4161.7</v>
      </c>
      <c r="J585" s="18"/>
      <c r="K585" s="104">
        <f t="shared" si="47"/>
        <v>8130.7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f>1390.89+3345.23</f>
        <v>4736.12</v>
      </c>
      <c r="I587" s="18">
        <v>2332.1799999999998</v>
      </c>
      <c r="J587" s="18"/>
      <c r="K587" s="104">
        <f t="shared" si="47"/>
        <v>7068.2999999999993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485377.22</v>
      </c>
      <c r="I588" s="108">
        <f>SUM(I581:I587)</f>
        <v>256194.98</v>
      </c>
      <c r="J588" s="108">
        <f>SUM(J581:J587)</f>
        <v>0</v>
      </c>
      <c r="K588" s="108">
        <f>SUM(K581:K587)</f>
        <v>741572.2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19260.25+1939.26+67730.69</f>
        <v>88930.2</v>
      </c>
      <c r="I594" s="18">
        <f>13287.41+999.01+34891.56</f>
        <v>49177.979999999996</v>
      </c>
      <c r="J594" s="18"/>
      <c r="K594" s="104">
        <f>SUM(H594:J594)</f>
        <v>138108.18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88930.2</v>
      </c>
      <c r="I595" s="108">
        <f>SUM(I592:I594)</f>
        <v>49177.979999999996</v>
      </c>
      <c r="J595" s="108">
        <f>SUM(J592:J594)</f>
        <v>0</v>
      </c>
      <c r="K595" s="108">
        <f>SUM(K592:K594)</f>
        <v>138108.18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3950+8575</f>
        <v>12525</v>
      </c>
      <c r="G601" s="18"/>
      <c r="H601" s="18"/>
      <c r="I601" s="18">
        <f>220.89+208.01</f>
        <v>428.9</v>
      </c>
      <c r="J601" s="18"/>
      <c r="K601" s="18"/>
      <c r="L601" s="88">
        <f>SUM(F601:K601)</f>
        <v>12953.9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10975</v>
      </c>
      <c r="G602" s="18"/>
      <c r="H602" s="18"/>
      <c r="I602" s="18">
        <v>261.89</v>
      </c>
      <c r="J602" s="18"/>
      <c r="K602" s="18"/>
      <c r="L602" s="88">
        <f>SUM(F602:K602)</f>
        <v>11236.89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23500</v>
      </c>
      <c r="G604" s="108">
        <f t="shared" si="48"/>
        <v>0</v>
      </c>
      <c r="H604" s="108">
        <f t="shared" si="48"/>
        <v>0</v>
      </c>
      <c r="I604" s="108">
        <f t="shared" si="48"/>
        <v>690.79</v>
      </c>
      <c r="J604" s="108">
        <f t="shared" si="48"/>
        <v>0</v>
      </c>
      <c r="K604" s="108">
        <f t="shared" si="48"/>
        <v>0</v>
      </c>
      <c r="L604" s="89">
        <f t="shared" si="48"/>
        <v>24190.79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833607.21000000008</v>
      </c>
      <c r="H607" s="109">
        <f>SUM(F44)</f>
        <v>833607.21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22777.439999999999</v>
      </c>
      <c r="H608" s="109">
        <f>SUM(G44)</f>
        <v>22777.440000000002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18082.64</v>
      </c>
      <c r="H609" s="109">
        <f>SUM(H44)</f>
        <v>18082.64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717714.38</v>
      </c>
      <c r="H612" s="109">
        <f>F466</f>
        <v>717714.38000000268</v>
      </c>
      <c r="I612" s="121" t="s">
        <v>106</v>
      </c>
      <c r="J612" s="109">
        <f t="shared" ref="J612:J645" si="49">G612-H612</f>
        <v>-2.6775524020195007E-9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6129.66</v>
      </c>
      <c r="H613" s="109">
        <f>G466</f>
        <v>6129.6600000000326</v>
      </c>
      <c r="I613" s="121" t="s">
        <v>108</v>
      </c>
      <c r="J613" s="109">
        <f t="shared" si="49"/>
        <v>-3.2741809263825417E-11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17930613.789999999</v>
      </c>
      <c r="H617" s="104">
        <f>SUM(F458)</f>
        <v>17930613.789999999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558727.5</v>
      </c>
      <c r="H618" s="104">
        <f>SUM(G458)</f>
        <v>558727.5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719353.69</v>
      </c>
      <c r="H619" s="104">
        <f>SUM(H458)</f>
        <v>719353.69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17766719.830000006</v>
      </c>
      <c r="H622" s="104">
        <f>SUM(F462)</f>
        <v>17766719.829999998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719353.69000000018</v>
      </c>
      <c r="H623" s="104">
        <f>SUM(H462)</f>
        <v>719353.69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279569.68</v>
      </c>
      <c r="H624" s="104">
        <f>I361</f>
        <v>279569.68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558281.99</v>
      </c>
      <c r="H625" s="104">
        <f>SUM(G462)</f>
        <v>558281.99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741572.2</v>
      </c>
      <c r="H637" s="104">
        <f>L200+L218+L236</f>
        <v>741572.2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138108.18</v>
      </c>
      <c r="H638" s="104">
        <f>(J249+J330)-(J247+J328)</f>
        <v>138108.18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485377.22</v>
      </c>
      <c r="H639" s="104">
        <f>H588</f>
        <v>485377.22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256194.98000000004</v>
      </c>
      <c r="H640" s="104">
        <f>I588</f>
        <v>256194.98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39000</v>
      </c>
      <c r="H642" s="104">
        <f>K255+K337</f>
        <v>39000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11816003.775599999</v>
      </c>
      <c r="G650" s="19">
        <f>(L221+L301+L351)</f>
        <v>6486474.1344000017</v>
      </c>
      <c r="H650" s="19">
        <f>(L239+L320+L352)</f>
        <v>0</v>
      </c>
      <c r="I650" s="19">
        <f>SUM(F650:H650)</f>
        <v>18302477.91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221274.91320000001</v>
      </c>
      <c r="G651" s="19">
        <f>(L351/IF(SUM(L350:L352)=0,1,SUM(L350:L352))*(SUM(G89:G102)))</f>
        <v>113990.10680000001</v>
      </c>
      <c r="H651" s="19">
        <f>(L352/IF(SUM(L350:L352)=0,1,SUM(L350:L352))*(SUM(G89:G102)))</f>
        <v>0</v>
      </c>
      <c r="I651" s="19">
        <f>SUM(F651:H651)</f>
        <v>335265.02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485377.22</v>
      </c>
      <c r="G652" s="19">
        <f>(L218+L298)-(J218+J298)</f>
        <v>256194.98000000004</v>
      </c>
      <c r="H652" s="19">
        <f>(L236+L317)-(J236+J317)</f>
        <v>0</v>
      </c>
      <c r="I652" s="19">
        <f>SUM(F652:H652)</f>
        <v>741572.2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144592.15</v>
      </c>
      <c r="G653" s="200">
        <f>SUM(G565:G577)+SUM(I592:I594)+L602</f>
        <v>276187.90000000002</v>
      </c>
      <c r="H653" s="200">
        <f>SUM(H565:H577)+SUM(J592:J594)+L603</f>
        <v>0</v>
      </c>
      <c r="I653" s="19">
        <f>SUM(F653:H653)</f>
        <v>420780.05000000005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10964759.4924</v>
      </c>
      <c r="G654" s="19">
        <f>G650-SUM(G651:G653)</f>
        <v>5840101.1476000017</v>
      </c>
      <c r="H654" s="19">
        <f>H650-SUM(H651:H653)</f>
        <v>0</v>
      </c>
      <c r="I654" s="19">
        <f>I650-SUM(I651:I653)</f>
        <v>16804860.640000001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f>398.63+394.96</f>
        <v>793.58999999999992</v>
      </c>
      <c r="G655" s="249">
        <v>439.97</v>
      </c>
      <c r="H655" s="249"/>
      <c r="I655" s="19">
        <f>SUM(F655:H655)</f>
        <v>1233.56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13816.66</v>
      </c>
      <c r="G657" s="19">
        <f>ROUND(G654/G655,2)</f>
        <v>13273.86</v>
      </c>
      <c r="H657" s="19" t="e">
        <f>ROUND(H654/H655,2)</f>
        <v>#DIV/0!</v>
      </c>
      <c r="I657" s="19">
        <f>ROUND(I654/I655,2)</f>
        <v>13623.06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13816.66</v>
      </c>
      <c r="G662" s="19">
        <f>ROUND((G654+G659)/(G655+G660),2)</f>
        <v>13273.86</v>
      </c>
      <c r="H662" s="19" t="e">
        <f>ROUND((H654+H659)/(H655+H660),2)</f>
        <v>#DIV/0!</v>
      </c>
      <c r="I662" s="19">
        <f>ROUND((I654+I659)/(I655+I660),2)</f>
        <v>13623.06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AD60-AB78-4EDD-B70B-93D953EF3E33}">
  <sheetPr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Hampton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6475128.4200000009</v>
      </c>
      <c r="C9" s="230">
        <f>'DOE25'!G189+'DOE25'!G207+'DOE25'!G225+'DOE25'!G268+'DOE25'!G287+'DOE25'!G306</f>
        <v>2069652.6400000001</v>
      </c>
    </row>
    <row r="10" spans="1:3" x14ac:dyDescent="0.2">
      <c r="A10" t="s">
        <v>813</v>
      </c>
      <c r="B10" s="241">
        <f>1736673.34+1885521.06+2235925.16+50057.92+49825.94+600+3950.01</f>
        <v>5962553.4300000006</v>
      </c>
      <c r="C10" s="241">
        <f>719155+1278371+19772.32+4940+1.11</f>
        <v>2022239.4300000002</v>
      </c>
    </row>
    <row r="11" spans="1:3" x14ac:dyDescent="0.2">
      <c r="A11" t="s">
        <v>814</v>
      </c>
      <c r="B11" s="241">
        <f>129676.75+485+54382.84+34817.64</f>
        <v>219362.22999999998</v>
      </c>
      <c r="C11" s="241">
        <f>11765+6823.84</f>
        <v>18588.84</v>
      </c>
    </row>
    <row r="12" spans="1:3" x14ac:dyDescent="0.2">
      <c r="A12" t="s">
        <v>815</v>
      </c>
      <c r="B12" s="241">
        <f>21683.33+53518.4+26169.14+86003.97+26385.9+60688.92+17403.1+1360</f>
        <v>293212.76</v>
      </c>
      <c r="C12" s="241">
        <f>27389+1435.37</f>
        <v>28824.37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6475128.4199999999</v>
      </c>
      <c r="C13" s="232">
        <f>SUM(C10:C12)</f>
        <v>2069652.6400000004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1970255.1800000004</v>
      </c>
      <c r="C18" s="230">
        <f>'DOE25'!G190+'DOE25'!G208+'DOE25'!G226+'DOE25'!G269+'DOE25'!G288+'DOE25'!G307</f>
        <v>473907.21</v>
      </c>
    </row>
    <row r="19" spans="1:3" x14ac:dyDescent="0.2">
      <c r="A19" t="s">
        <v>813</v>
      </c>
      <c r="B19" s="241">
        <f>979544+298816.52+6588.3</f>
        <v>1284948.82</v>
      </c>
      <c r="C19" s="241">
        <f>346753+503.99-1473.51</f>
        <v>345783.48</v>
      </c>
    </row>
    <row r="20" spans="1:3" x14ac:dyDescent="0.2">
      <c r="A20" t="s">
        <v>814</v>
      </c>
      <c r="B20" s="241">
        <f>412652.92+120279.55</f>
        <v>532932.47</v>
      </c>
      <c r="C20" s="241">
        <f>37943+10537.95</f>
        <v>48480.95</v>
      </c>
    </row>
    <row r="21" spans="1:3" x14ac:dyDescent="0.2">
      <c r="A21" t="s">
        <v>815</v>
      </c>
      <c r="B21" s="241">
        <f>78972.88+68188.21+5212.8</f>
        <v>152373.89000000001</v>
      </c>
      <c r="C21" s="241">
        <f>79244+398.78</f>
        <v>79642.78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1970255.1800000002</v>
      </c>
      <c r="C22" s="232">
        <f>SUM(C19:C21)</f>
        <v>473907.20999999996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86373</v>
      </c>
      <c r="C36" s="236">
        <f>'DOE25'!G192+'DOE25'!G210+'DOE25'!G228+'DOE25'!G271+'DOE25'!G290+'DOE25'!G309</f>
        <v>7082.59</v>
      </c>
    </row>
    <row r="37" spans="1:3" x14ac:dyDescent="0.2">
      <c r="A37" t="s">
        <v>813</v>
      </c>
      <c r="B37" s="241">
        <f>3950+8575+10975</f>
        <v>23500</v>
      </c>
      <c r="C37" s="241">
        <f>1027+899.59</f>
        <v>1926.5900000000001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f>6668+5279.5+50925.5</f>
        <v>62873</v>
      </c>
      <c r="C39" s="241">
        <f>4176+980</f>
        <v>5156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86373</v>
      </c>
      <c r="C40" s="232">
        <f>SUM(C37:C39)</f>
        <v>7082.59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75D6C-17C4-495F-90A7-9989CFACFAA8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Hampton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11424706.48</v>
      </c>
      <c r="D5" s="20">
        <f>SUM('DOE25'!L189:L192)+SUM('DOE25'!L207:L210)+SUM('DOE25'!L225:L228)-F5-G5</f>
        <v>11413984.75</v>
      </c>
      <c r="E5" s="244"/>
      <c r="F5" s="256">
        <f>SUM('DOE25'!J189:J192)+SUM('DOE25'!J207:J210)+SUM('DOE25'!J225:J228)</f>
        <v>10721.73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948012.15000000014</v>
      </c>
      <c r="D6" s="20">
        <f>'DOE25'!L194+'DOE25'!L212+'DOE25'!L230-F6-G6</f>
        <v>947415.00000000012</v>
      </c>
      <c r="E6" s="244"/>
      <c r="F6" s="256">
        <f>'DOE25'!J194+'DOE25'!J212+'DOE25'!J230</f>
        <v>597.15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830222.84000000008</v>
      </c>
      <c r="D7" s="20">
        <f>'DOE25'!L195+'DOE25'!L213+'DOE25'!L231-F7-G7</f>
        <v>827284.57000000007</v>
      </c>
      <c r="E7" s="244"/>
      <c r="F7" s="256">
        <f>'DOE25'!J195+'DOE25'!J213+'DOE25'!J231</f>
        <v>2938.27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298338.45</v>
      </c>
      <c r="D8" s="244"/>
      <c r="E8" s="20">
        <f>'DOE25'!L196+'DOE25'!L214+'DOE25'!L232-F8-G8-D9-D11</f>
        <v>280739.83</v>
      </c>
      <c r="F8" s="256">
        <f>'DOE25'!J196+'DOE25'!J214+'DOE25'!J232</f>
        <v>0</v>
      </c>
      <c r="G8" s="53">
        <f>'DOE25'!K196+'DOE25'!K214+'DOE25'!K232</f>
        <v>17598.62</v>
      </c>
      <c r="H8" s="260"/>
    </row>
    <row r="9" spans="1:9" x14ac:dyDescent="0.2">
      <c r="A9" s="32">
        <v>2310</v>
      </c>
      <c r="B9" t="s">
        <v>852</v>
      </c>
      <c r="C9" s="246">
        <f t="shared" si="0"/>
        <v>111720.66</v>
      </c>
      <c r="D9" s="245">
        <v>111720.66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16648.5</v>
      </c>
      <c r="D10" s="244"/>
      <c r="E10" s="245">
        <v>16648.5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147545.56</v>
      </c>
      <c r="D11" s="245">
        <v>147545.56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1013167.83</v>
      </c>
      <c r="D12" s="20">
        <f>'DOE25'!L197+'DOE25'!L215+'DOE25'!L233-F12-G12</f>
        <v>1010744.83</v>
      </c>
      <c r="E12" s="244"/>
      <c r="F12" s="256">
        <f>'DOE25'!J197+'DOE25'!J215+'DOE25'!J233</f>
        <v>0</v>
      </c>
      <c r="G12" s="53">
        <f>'DOE25'!K197+'DOE25'!K215+'DOE25'!K233</f>
        <v>2423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1508511.56</v>
      </c>
      <c r="D14" s="20">
        <f>'DOE25'!L199+'DOE25'!L217+'DOE25'!L235-F14-G14</f>
        <v>1487242.78</v>
      </c>
      <c r="E14" s="244"/>
      <c r="F14" s="256">
        <f>'DOE25'!J199+'DOE25'!J217+'DOE25'!J235</f>
        <v>21228.78</v>
      </c>
      <c r="G14" s="53">
        <f>'DOE25'!K199+'DOE25'!K217+'DOE25'!K235</f>
        <v>40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741572.2</v>
      </c>
      <c r="D15" s="20">
        <f>'DOE25'!L200+'DOE25'!L218+'DOE25'!L236-F15-G15</f>
        <v>741572.2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1044.5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1044.5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181078.09</v>
      </c>
      <c r="D22" s="244"/>
      <c r="E22" s="244"/>
      <c r="F22" s="256">
        <f>'DOE25'!L247+'DOE25'!L328</f>
        <v>181078.09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468508.75</v>
      </c>
      <c r="D25" s="244"/>
      <c r="E25" s="244"/>
      <c r="F25" s="259"/>
      <c r="G25" s="257"/>
      <c r="H25" s="258">
        <f>'DOE25'!L252+'DOE25'!L253+'DOE25'!L333+'DOE25'!L334</f>
        <v>468508.75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295395.32</v>
      </c>
      <c r="D29" s="20">
        <f>'DOE25'!L350+'DOE25'!L351+'DOE25'!L352-'DOE25'!I359-F29-G29</f>
        <v>292184.22000000003</v>
      </c>
      <c r="E29" s="244"/>
      <c r="F29" s="256">
        <f>'DOE25'!J350+'DOE25'!J351+'DOE25'!J352</f>
        <v>514.13</v>
      </c>
      <c r="G29" s="53">
        <f>'DOE25'!K350+'DOE25'!K351+'DOE25'!K352</f>
        <v>2696.97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719353.69000000018</v>
      </c>
      <c r="D31" s="20">
        <f>'DOE25'!L282+'DOE25'!L301+'DOE25'!L320+'DOE25'!L325+'DOE25'!L326+'DOE25'!L327-F31-G31</f>
        <v>601623.2100000002</v>
      </c>
      <c r="E31" s="244"/>
      <c r="F31" s="256">
        <f>'DOE25'!J282+'DOE25'!J301+'DOE25'!J320+'DOE25'!J325+'DOE25'!J326+'DOE25'!J327</f>
        <v>102622.25</v>
      </c>
      <c r="G31" s="53">
        <f>'DOE25'!K282+'DOE25'!K301+'DOE25'!K320+'DOE25'!K325+'DOE25'!K326+'DOE25'!K327</f>
        <v>15108.230000000001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17581317.780000001</v>
      </c>
      <c r="E33" s="247">
        <f>SUM(E5:E31)</f>
        <v>297388.33</v>
      </c>
      <c r="F33" s="247">
        <f>SUM(F5:F31)</f>
        <v>319700.40000000002</v>
      </c>
      <c r="G33" s="247">
        <f>SUM(G5:G31)</f>
        <v>38911.32</v>
      </c>
      <c r="H33" s="247">
        <f>SUM(H5:H31)</f>
        <v>468508.75</v>
      </c>
    </row>
    <row r="35" spans="2:8" ht="12" thickBot="1" x14ac:dyDescent="0.25">
      <c r="B35" s="254" t="s">
        <v>881</v>
      </c>
      <c r="D35" s="255">
        <f>E33</f>
        <v>297388.33</v>
      </c>
      <c r="E35" s="250"/>
    </row>
    <row r="36" spans="2:8" ht="12" thickTop="1" x14ac:dyDescent="0.2">
      <c r="B36" t="s">
        <v>849</v>
      </c>
      <c r="D36" s="20">
        <f>D33</f>
        <v>17581317.780000001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CBA0-1C40-40C5-A308-2DEFB60B00D6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756720.23</v>
      </c>
      <c r="D9" s="95">
        <f>'DOE25'!G9</f>
        <v>300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67638.06</v>
      </c>
      <c r="D12" s="95">
        <f>'DOE25'!G12</f>
        <v>6993.77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9248.92</v>
      </c>
      <c r="D13" s="95">
        <f>'DOE25'!G13</f>
        <v>14345.23</v>
      </c>
      <c r="E13" s="95">
        <f>'DOE25'!H13</f>
        <v>18082.64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1138.44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833607.21000000008</v>
      </c>
      <c r="D19" s="41">
        <f>SUM(D9:D18)</f>
        <v>22777.439999999999</v>
      </c>
      <c r="E19" s="41">
        <f>SUM(E9:E18)</f>
        <v>18082.64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6993.77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70283.100000000006</v>
      </c>
      <c r="D24" s="95">
        <f>'DOE25'!G25</f>
        <v>19.739999999999998</v>
      </c>
      <c r="E24" s="95">
        <f>'DOE25'!H25</f>
        <v>18082.64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1733.71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36882.25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16628.04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115892.83000000002</v>
      </c>
      <c r="D32" s="41">
        <f>SUM(D22:D31)</f>
        <v>16647.780000000002</v>
      </c>
      <c r="E32" s="41">
        <f>SUM(E22:E31)</f>
        <v>18082.64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304190.93</v>
      </c>
      <c r="D36" s="95">
        <f>'DOE25'!G37</f>
        <v>5836.17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26269.25</v>
      </c>
      <c r="D40" s="95">
        <f>'DOE25'!G41</f>
        <v>293.49</v>
      </c>
      <c r="E40" s="95">
        <f>'DOE25'!H41</f>
        <v>0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337254.2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717714.38</v>
      </c>
      <c r="D42" s="41">
        <f>SUM(D34:D41)</f>
        <v>6129.66</v>
      </c>
      <c r="E42" s="41">
        <f>SUM(E34:E41)</f>
        <v>0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833607.21</v>
      </c>
      <c r="D43" s="41">
        <f>D42+D32</f>
        <v>22777.440000000002</v>
      </c>
      <c r="E43" s="41">
        <f>E42+E32</f>
        <v>18082.64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13333717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42676.72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-1414.18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335265.02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86927.239999999991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128189.78</v>
      </c>
      <c r="D54" s="130">
        <f>SUM(D49:D53)</f>
        <v>335265.02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13461906.779999999</v>
      </c>
      <c r="D55" s="22">
        <f>D48+D54</f>
        <v>335265.02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4244077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4244077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93237.7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91238.77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7332.26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184476.47</v>
      </c>
      <c r="D70" s="130">
        <f>SUM(D64:D69)</f>
        <v>7332.26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4428553.47</v>
      </c>
      <c r="D73" s="130">
        <f>SUM(D71:D72)+D70+D62</f>
        <v>7332.26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13752.5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26401.040000000001</v>
      </c>
      <c r="D80" s="95">
        <f>SUM('DOE25'!G145:G153)</f>
        <v>177130.22</v>
      </c>
      <c r="E80" s="95">
        <f>SUM('DOE25'!H145:H153)</f>
        <v>719353.69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40153.54</v>
      </c>
      <c r="D83" s="131">
        <f>SUM(D77:D82)</f>
        <v>177130.22</v>
      </c>
      <c r="E83" s="131">
        <f>SUM(E77:E82)</f>
        <v>719353.69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39000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39000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17930613.789999999</v>
      </c>
      <c r="D96" s="86">
        <f>D55+D73+D83+D95</f>
        <v>558727.5</v>
      </c>
      <c r="E96" s="86">
        <f>E55+E73+E83+E95</f>
        <v>719353.69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8508757.5599999987</v>
      </c>
      <c r="D101" s="24" t="s">
        <v>312</v>
      </c>
      <c r="E101" s="95">
        <f>('DOE25'!L268)+('DOE25'!L287)+('DOE25'!L306)</f>
        <v>324522.15000000002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2773895.9000000004</v>
      </c>
      <c r="D102" s="24" t="s">
        <v>312</v>
      </c>
      <c r="E102" s="95">
        <f>('DOE25'!L269)+('DOE25'!L288)+('DOE25'!L307)</f>
        <v>377108.5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142053.01999999999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53290.759999999995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11477997.239999998</v>
      </c>
      <c r="D107" s="86">
        <f>SUM(D101:D106)</f>
        <v>0</v>
      </c>
      <c r="E107" s="86">
        <f>SUM(E101:E106)</f>
        <v>701630.65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948012.15000000014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830222.84000000008</v>
      </c>
      <c r="D111" s="24" t="s">
        <v>312</v>
      </c>
      <c r="E111" s="95">
        <f>+('DOE25'!L274)+('DOE25'!L293)+('DOE25'!L312)</f>
        <v>2614.8100000000004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557604.67000000004</v>
      </c>
      <c r="D112" s="24" t="s">
        <v>312</v>
      </c>
      <c r="E112" s="95">
        <f>+('DOE25'!L275)+('DOE25'!L294)+('DOE25'!L313)</f>
        <v>15108.230000000001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1013167.83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1508511.56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741572.2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1044.5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558281.99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5600135.7500000009</v>
      </c>
      <c r="D120" s="86">
        <f>SUM(D110:D119)</f>
        <v>558281.99</v>
      </c>
      <c r="E120" s="86">
        <f>SUM(E110:E119)</f>
        <v>17723.04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181078.09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168508.75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39000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688586.84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17766719.829999998</v>
      </c>
      <c r="D137" s="86">
        <f>(D107+D120+D136)</f>
        <v>558281.99</v>
      </c>
      <c r="E137" s="86">
        <f>(E107+E120+E136)</f>
        <v>719353.69000000006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JULY 1996</v>
      </c>
      <c r="C144" s="152" t="str">
        <f>'DOE25'!G481</f>
        <v>JULY 1998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AUG 2016</v>
      </c>
      <c r="C145" s="152" t="str">
        <f>'DOE25'!G482</f>
        <v>AUG 2018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3970000</v>
      </c>
      <c r="C146" s="137">
        <f>'DOE25'!G483</f>
        <v>1770000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5.7</v>
      </c>
      <c r="C147" s="137">
        <f>'DOE25'!G484</f>
        <v>4.9000000000000004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2130000</v>
      </c>
      <c r="C148" s="137">
        <f>'DOE25'!G485</f>
        <v>1090000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3220000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215000</v>
      </c>
      <c r="C150" s="137">
        <f>'DOE25'!G487</f>
        <v>85000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300000</v>
      </c>
    </row>
    <row r="151" spans="1:7" x14ac:dyDescent="0.2">
      <c r="A151" s="22" t="s">
        <v>35</v>
      </c>
      <c r="B151" s="137">
        <f>'DOE25'!F488</f>
        <v>1915000</v>
      </c>
      <c r="C151" s="137">
        <f>'DOE25'!G488</f>
        <v>1005000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2920000</v>
      </c>
    </row>
    <row r="152" spans="1:7" x14ac:dyDescent="0.2">
      <c r="A152" s="22" t="s">
        <v>36</v>
      </c>
      <c r="B152" s="137">
        <f>'DOE25'!F489</f>
        <v>411268.75</v>
      </c>
      <c r="C152" s="137">
        <f>'DOE25'!G489</f>
        <v>243775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655043.75</v>
      </c>
    </row>
    <row r="153" spans="1:7" x14ac:dyDescent="0.2">
      <c r="A153" s="22" t="s">
        <v>37</v>
      </c>
      <c r="B153" s="137">
        <f>'DOE25'!F490</f>
        <v>2326268.75</v>
      </c>
      <c r="C153" s="137">
        <f>'DOE25'!G490</f>
        <v>1248775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3575043.75</v>
      </c>
    </row>
    <row r="154" spans="1:7" x14ac:dyDescent="0.2">
      <c r="A154" s="22" t="s">
        <v>38</v>
      </c>
      <c r="B154" s="137">
        <f>'DOE25'!F491</f>
        <v>230000</v>
      </c>
      <c r="C154" s="137">
        <f>'DOE25'!G491</f>
        <v>90000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320000</v>
      </c>
    </row>
    <row r="155" spans="1:7" x14ac:dyDescent="0.2">
      <c r="A155" s="22" t="s">
        <v>39</v>
      </c>
      <c r="B155" s="137">
        <f>'DOE25'!F492</f>
        <v>103500</v>
      </c>
      <c r="C155" s="137">
        <f>'DOE25'!G492</f>
        <v>48000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151500</v>
      </c>
    </row>
    <row r="156" spans="1:7" x14ac:dyDescent="0.2">
      <c r="A156" s="22" t="s">
        <v>269</v>
      </c>
      <c r="B156" s="137">
        <f>'DOE25'!F493</f>
        <v>333500</v>
      </c>
      <c r="C156" s="137">
        <f>'DOE25'!G493</f>
        <v>138000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471500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758B0-0A9A-438F-BE99-94370C230126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Hampton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13817</v>
      </c>
    </row>
    <row r="5" spans="1:4" x14ac:dyDescent="0.2">
      <c r="B5" t="s">
        <v>735</v>
      </c>
      <c r="C5" s="179">
        <f>IF('DOE25'!G655+'DOE25'!G660=0,0,ROUND('DOE25'!G662,0))</f>
        <v>13274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13623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8833280</v>
      </c>
      <c r="D10" s="182">
        <f>ROUND((C10/$C$28)*100,1)</f>
        <v>48.6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3151004</v>
      </c>
      <c r="D11" s="182">
        <f>ROUND((C11/$C$28)*100,1)</f>
        <v>17.3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142053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948012</v>
      </c>
      <c r="D15" s="182">
        <f t="shared" ref="D15:D27" si="0">ROUND((C15/$C$28)*100,1)</f>
        <v>5.2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832838</v>
      </c>
      <c r="D16" s="182">
        <f t="shared" si="0"/>
        <v>4.5999999999999996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573757</v>
      </c>
      <c r="D17" s="182">
        <f t="shared" si="0"/>
        <v>3.2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1013168</v>
      </c>
      <c r="D18" s="182">
        <f t="shared" si="0"/>
        <v>5.6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1508512</v>
      </c>
      <c r="D20" s="182">
        <f t="shared" si="0"/>
        <v>8.3000000000000007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741572</v>
      </c>
      <c r="D21" s="182">
        <f t="shared" si="0"/>
        <v>4.0999999999999996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53291</v>
      </c>
      <c r="D23" s="182">
        <f t="shared" si="0"/>
        <v>0.3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168509</v>
      </c>
      <c r="D25" s="182">
        <f t="shared" si="0"/>
        <v>0.9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223016.97999999998</v>
      </c>
      <c r="D27" s="182">
        <f t="shared" si="0"/>
        <v>1.2</v>
      </c>
    </row>
    <row r="28" spans="1:4" x14ac:dyDescent="0.2">
      <c r="B28" s="187" t="s">
        <v>754</v>
      </c>
      <c r="C28" s="180">
        <f>SUM(C10:C27)</f>
        <v>18189012.98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181078</v>
      </c>
    </row>
    <row r="30" spans="1:4" x14ac:dyDescent="0.2">
      <c r="B30" s="187" t="s">
        <v>760</v>
      </c>
      <c r="C30" s="180">
        <f>SUM(C28:C29)</f>
        <v>18370090.98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300000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13333717</v>
      </c>
      <c r="D35" s="182">
        <f t="shared" ref="D35:D40" si="1">ROUND((C35/$C$41)*100,1)</f>
        <v>70.8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128189.78000000119</v>
      </c>
      <c r="D36" s="182">
        <f t="shared" si="1"/>
        <v>0.7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4244077</v>
      </c>
      <c r="D37" s="182">
        <f t="shared" si="1"/>
        <v>22.5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191809</v>
      </c>
      <c r="D38" s="182">
        <f t="shared" si="1"/>
        <v>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936637</v>
      </c>
      <c r="D39" s="182">
        <f t="shared" si="1"/>
        <v>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18834429.780000001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1D4F-A97B-4976-BDE9-2D9EA648D3E9}">
  <sheetPr>
    <tabColor indexed="17"/>
  </sheetPr>
  <dimension ref="A1:IV90"/>
  <sheetViews>
    <sheetView workbookViewId="0">
      <pane ySplit="3" topLeftCell="A4" activePane="bottomLeft" state="frozen"/>
      <selection pane="bottomLeft" activeCell="A6" sqref="A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Hampton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5</v>
      </c>
      <c r="B4" s="220">
        <v>2</v>
      </c>
      <c r="C4" s="280" t="s">
        <v>898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5</v>
      </c>
      <c r="B5" s="220">
        <v>2</v>
      </c>
      <c r="C5" s="280" t="s">
        <v>899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2010-09-28T17:25:45Z</cp:lastPrinted>
  <dcterms:created xsi:type="dcterms:W3CDTF">1997-12-04T19:04:30Z</dcterms:created>
  <dcterms:modified xsi:type="dcterms:W3CDTF">2025-01-02T15:04:01Z</dcterms:modified>
</cp:coreProperties>
</file>