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EACA0D56-DA8A-4C9A-8819-E226A6002660}" xr6:coauthVersionLast="47" xr6:coauthVersionMax="47" xr10:uidLastSave="{00000000-0000-0000-0000-000000000000}"/>
  <workbookProtection workbookPassword="B70A" lockStructure="1"/>
  <bookViews>
    <workbookView xWindow="3495" yWindow="3495" windowWidth="21600" windowHeight="11505" tabRatio="631" xr2:uid="{3C37F1E5-90B2-4617-B32C-89B18796AE5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2" l="1"/>
  <c r="C20" i="12"/>
  <c r="C10" i="12"/>
  <c r="C11" i="12"/>
  <c r="G189" i="1"/>
  <c r="L189" i="1" s="1"/>
  <c r="G190" i="1"/>
  <c r="G197" i="1"/>
  <c r="G195" i="1"/>
  <c r="B19" i="12"/>
  <c r="B20" i="12"/>
  <c r="B22" i="12" s="1"/>
  <c r="A22" i="12" s="1"/>
  <c r="B11" i="12"/>
  <c r="B10" i="12"/>
  <c r="B13" i="12" s="1"/>
  <c r="H151" i="1"/>
  <c r="H147" i="1"/>
  <c r="H594" i="1"/>
  <c r="H269" i="1"/>
  <c r="H268" i="1"/>
  <c r="K275" i="1"/>
  <c r="K282" i="1" s="1"/>
  <c r="H581" i="1"/>
  <c r="H511" i="1"/>
  <c r="F511" i="1"/>
  <c r="F521" i="1"/>
  <c r="L521" i="1" s="1"/>
  <c r="F492" i="1"/>
  <c r="K492" i="1" s="1"/>
  <c r="F487" i="1"/>
  <c r="K487" i="1" s="1"/>
  <c r="B21" i="12"/>
  <c r="I195" i="1"/>
  <c r="I194" i="1"/>
  <c r="H199" i="1"/>
  <c r="H196" i="1"/>
  <c r="H195" i="1"/>
  <c r="F195" i="1"/>
  <c r="F194" i="1"/>
  <c r="F9" i="1"/>
  <c r="F359" i="1"/>
  <c r="I359" i="1" s="1"/>
  <c r="I361" i="1" s="1"/>
  <c r="H624" i="1" s="1"/>
  <c r="I350" i="1"/>
  <c r="I354" i="1" s="1"/>
  <c r="G624" i="1" s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90" i="1"/>
  <c r="L191" i="1"/>
  <c r="L192" i="1"/>
  <c r="L207" i="1"/>
  <c r="L208" i="1"/>
  <c r="L209" i="1"/>
  <c r="L210" i="1"/>
  <c r="L225" i="1"/>
  <c r="L226" i="1"/>
  <c r="C11" i="10" s="1"/>
  <c r="L227" i="1"/>
  <c r="C12" i="10" s="1"/>
  <c r="L228" i="1"/>
  <c r="C104" i="2" s="1"/>
  <c r="F6" i="13"/>
  <c r="G6" i="13"/>
  <c r="L194" i="1"/>
  <c r="D6" i="13" s="1"/>
  <c r="C6" i="13" s="1"/>
  <c r="L212" i="1"/>
  <c r="L230" i="1"/>
  <c r="F7" i="13"/>
  <c r="G7" i="13"/>
  <c r="L195" i="1"/>
  <c r="D7" i="13" s="1"/>
  <c r="C7" i="13" s="1"/>
  <c r="L213" i="1"/>
  <c r="L221" i="1" s="1"/>
  <c r="G650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D15" i="13" s="1"/>
  <c r="C15" i="13" s="1"/>
  <c r="L218" i="1"/>
  <c r="L236" i="1"/>
  <c r="F17" i="13"/>
  <c r="G17" i="13"/>
  <c r="L243" i="1"/>
  <c r="C24" i="10" s="1"/>
  <c r="D17" i="13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1" i="1"/>
  <c r="L352" i="1"/>
  <c r="J282" i="1"/>
  <c r="F31" i="13" s="1"/>
  <c r="J301" i="1"/>
  <c r="J320" i="1"/>
  <c r="K301" i="1"/>
  <c r="K320" i="1"/>
  <c r="L268" i="1"/>
  <c r="L282" i="1" s="1"/>
  <c r="L269" i="1"/>
  <c r="E102" i="2" s="1"/>
  <c r="L270" i="1"/>
  <c r="L271" i="1"/>
  <c r="L273" i="1"/>
  <c r="L274" i="1"/>
  <c r="L275" i="1"/>
  <c r="L276" i="1"/>
  <c r="L277" i="1"/>
  <c r="L278" i="1"/>
  <c r="L279" i="1"/>
  <c r="L280" i="1"/>
  <c r="E117" i="2" s="1"/>
  <c r="L287" i="1"/>
  <c r="L288" i="1"/>
  <c r="L289" i="1"/>
  <c r="L290" i="1"/>
  <c r="L292" i="1"/>
  <c r="L293" i="1"/>
  <c r="L294" i="1"/>
  <c r="L295" i="1"/>
  <c r="L296" i="1"/>
  <c r="L297" i="1"/>
  <c r="L298" i="1"/>
  <c r="E116" i="2" s="1"/>
  <c r="L299" i="1"/>
  <c r="L301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L252" i="1"/>
  <c r="L253" i="1"/>
  <c r="H25" i="13" s="1"/>
  <c r="L333" i="1"/>
  <c r="C32" i="10" s="1"/>
  <c r="L334" i="1"/>
  <c r="E124" i="2" s="1"/>
  <c r="L247" i="1"/>
  <c r="L328" i="1"/>
  <c r="F22" i="13"/>
  <c r="C22" i="13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C9" i="12"/>
  <c r="C13" i="12"/>
  <c r="B18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1" i="2"/>
  <c r="G54" i="2" s="1"/>
  <c r="G53" i="2"/>
  <c r="F2" i="11"/>
  <c r="L603" i="1"/>
  <c r="H653" i="1"/>
  <c r="L602" i="1"/>
  <c r="L604" i="1" s="1"/>
  <c r="G653" i="1"/>
  <c r="I653" i="1" s="1"/>
  <c r="L601" i="1"/>
  <c r="F653" i="1"/>
  <c r="C40" i="10"/>
  <c r="F52" i="1"/>
  <c r="G52" i="1"/>
  <c r="G104" i="1" s="1"/>
  <c r="G185" i="1" s="1"/>
  <c r="G618" i="1" s="1"/>
  <c r="J618" i="1" s="1"/>
  <c r="H52" i="1"/>
  <c r="I52" i="1"/>
  <c r="C35" i="10"/>
  <c r="F71" i="1"/>
  <c r="F86" i="1"/>
  <c r="C50" i="2" s="1"/>
  <c r="C54" i="2" s="1"/>
  <c r="F103" i="1"/>
  <c r="F104" i="1"/>
  <c r="G103" i="1"/>
  <c r="H71" i="1"/>
  <c r="H104" i="1" s="1"/>
  <c r="H86" i="1"/>
  <c r="E50" i="2" s="1"/>
  <c r="H103" i="1"/>
  <c r="I103" i="1"/>
  <c r="I104" i="1"/>
  <c r="I185" i="1" s="1"/>
  <c r="G620" i="1" s="1"/>
  <c r="J620" i="1" s="1"/>
  <c r="J103" i="1"/>
  <c r="J104" i="1"/>
  <c r="J185" i="1" s="1"/>
  <c r="C37" i="10"/>
  <c r="F113" i="1"/>
  <c r="F128" i="1"/>
  <c r="F132" i="1"/>
  <c r="G113" i="1"/>
  <c r="G132" i="1" s="1"/>
  <c r="G128" i="1"/>
  <c r="H113" i="1"/>
  <c r="H132" i="1" s="1"/>
  <c r="H128" i="1"/>
  <c r="I113" i="1"/>
  <c r="I128" i="1"/>
  <c r="I132" i="1"/>
  <c r="J113" i="1"/>
  <c r="J128" i="1"/>
  <c r="J132" i="1"/>
  <c r="F139" i="1"/>
  <c r="F161" i="1" s="1"/>
  <c r="F154" i="1"/>
  <c r="G139" i="1"/>
  <c r="D77" i="2" s="1"/>
  <c r="D83" i="2" s="1"/>
  <c r="G154" i="1"/>
  <c r="G161" i="1"/>
  <c r="H139" i="1"/>
  <c r="H161" i="1" s="1"/>
  <c r="H154" i="1"/>
  <c r="I139" i="1"/>
  <c r="I154" i="1"/>
  <c r="I161" i="1"/>
  <c r="C15" i="10"/>
  <c r="C18" i="10"/>
  <c r="C21" i="10"/>
  <c r="L242" i="1"/>
  <c r="L324" i="1"/>
  <c r="C23" i="10"/>
  <c r="L246" i="1"/>
  <c r="C116" i="2" s="1"/>
  <c r="L260" i="1"/>
  <c r="L261" i="1"/>
  <c r="L341" i="1"/>
  <c r="L342" i="1"/>
  <c r="E135" i="2" s="1"/>
  <c r="C26" i="10"/>
  <c r="I655" i="1"/>
  <c r="I660" i="1"/>
  <c r="F652" i="1"/>
  <c r="I659" i="1"/>
  <c r="C6" i="10"/>
  <c r="C5" i="10"/>
  <c r="C42" i="10"/>
  <c r="L366" i="1"/>
  <c r="L367" i="1"/>
  <c r="L368" i="1"/>
  <c r="F122" i="2" s="1"/>
  <c r="F136" i="2" s="1"/>
  <c r="L369" i="1"/>
  <c r="L374" i="1" s="1"/>
  <c r="G626" i="1" s="1"/>
  <c r="J626" i="1" s="1"/>
  <c r="L370" i="1"/>
  <c r="L371" i="1"/>
  <c r="L372" i="1"/>
  <c r="C29" i="10"/>
  <c r="B2" i="10"/>
  <c r="L336" i="1"/>
  <c r="L337" i="1"/>
  <c r="L338" i="1"/>
  <c r="L339" i="1"/>
  <c r="K343" i="1"/>
  <c r="L511" i="1"/>
  <c r="F539" i="1"/>
  <c r="L512" i="1"/>
  <c r="F540" i="1"/>
  <c r="L513" i="1"/>
  <c r="F541" i="1" s="1"/>
  <c r="K541" i="1" s="1"/>
  <c r="L516" i="1"/>
  <c r="G539" i="1" s="1"/>
  <c r="L517" i="1"/>
  <c r="L519" i="1" s="1"/>
  <c r="G540" i="1"/>
  <c r="L518" i="1"/>
  <c r="G541" i="1" s="1"/>
  <c r="L522" i="1"/>
  <c r="H540" i="1" s="1"/>
  <c r="L523" i="1"/>
  <c r="H541" i="1"/>
  <c r="L526" i="1"/>
  <c r="I539" i="1"/>
  <c r="L527" i="1"/>
  <c r="I540" i="1" s="1"/>
  <c r="L528" i="1"/>
  <c r="I541" i="1" s="1"/>
  <c r="L531" i="1"/>
  <c r="J539" i="1" s="1"/>
  <c r="J542" i="1" s="1"/>
  <c r="L532" i="1"/>
  <c r="J540" i="1"/>
  <c r="L533" i="1"/>
  <c r="J541" i="1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I431" i="1"/>
  <c r="I438" i="1" s="1"/>
  <c r="G632" i="1" s="1"/>
  <c r="C10" i="2"/>
  <c r="D10" i="2"/>
  <c r="E10" i="2"/>
  <c r="F10" i="2"/>
  <c r="I432" i="1"/>
  <c r="J10" i="1"/>
  <c r="G10" i="2" s="1"/>
  <c r="C11" i="2"/>
  <c r="C12" i="2"/>
  <c r="D12" i="2"/>
  <c r="E12" i="2"/>
  <c r="F12" i="2"/>
  <c r="F19" i="2" s="1"/>
  <c r="I433" i="1"/>
  <c r="J12" i="1"/>
  <c r="G12" i="2" s="1"/>
  <c r="C13" i="2"/>
  <c r="D13" i="2"/>
  <c r="E13" i="2"/>
  <c r="E19" i="2" s="1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19" i="2"/>
  <c r="D19" i="2"/>
  <c r="C22" i="2"/>
  <c r="D22" i="2"/>
  <c r="E22" i="2"/>
  <c r="F22" i="2"/>
  <c r="I440" i="1"/>
  <c r="I444" i="1" s="1"/>
  <c r="C23" i="2"/>
  <c r="C32" i="2" s="1"/>
  <c r="D23" i="2"/>
  <c r="D32" i="2" s="1"/>
  <c r="E23" i="2"/>
  <c r="F23" i="2"/>
  <c r="F32" i="2" s="1"/>
  <c r="I441" i="1"/>
  <c r="J24" i="1"/>
  <c r="G23" i="2" s="1"/>
  <c r="C24" i="2"/>
  <c r="D24" i="2"/>
  <c r="E24" i="2"/>
  <c r="E32" i="2" s="1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D42" i="2" s="1"/>
  <c r="E34" i="2"/>
  <c r="E42" i="2" s="1"/>
  <c r="F34" i="2"/>
  <c r="F42" i="2" s="1"/>
  <c r="C35" i="2"/>
  <c r="D35" i="2"/>
  <c r="E35" i="2"/>
  <c r="F35" i="2"/>
  <c r="C36" i="2"/>
  <c r="C42" i="2" s="1"/>
  <c r="C43" i="2" s="1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I448" i="1"/>
  <c r="I450" i="1" s="1"/>
  <c r="J40" i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F48" i="2"/>
  <c r="C49" i="2"/>
  <c r="E49" i="2"/>
  <c r="C51" i="2"/>
  <c r="D51" i="2"/>
  <c r="D54" i="2" s="1"/>
  <c r="E51" i="2"/>
  <c r="F51" i="2"/>
  <c r="F54" i="2" s="1"/>
  <c r="F55" i="2" s="1"/>
  <c r="D52" i="2"/>
  <c r="C53" i="2"/>
  <c r="D53" i="2"/>
  <c r="E53" i="2"/>
  <c r="F53" i="2"/>
  <c r="C58" i="2"/>
  <c r="C62" i="2" s="1"/>
  <c r="C59" i="2"/>
  <c r="C61" i="2"/>
  <c r="D61" i="2"/>
  <c r="E61" i="2"/>
  <c r="E62" i="2" s="1"/>
  <c r="F61" i="2"/>
  <c r="G61" i="2"/>
  <c r="D62" i="2"/>
  <c r="F62" i="2"/>
  <c r="G62" i="2"/>
  <c r="G73" i="2" s="1"/>
  <c r="C64" i="2"/>
  <c r="C70" i="2" s="1"/>
  <c r="C73" i="2" s="1"/>
  <c r="F64" i="2"/>
  <c r="C65" i="2"/>
  <c r="F65" i="2"/>
  <c r="F70" i="2" s="1"/>
  <c r="F73" i="2" s="1"/>
  <c r="C66" i="2"/>
  <c r="C67" i="2"/>
  <c r="C68" i="2"/>
  <c r="E68" i="2"/>
  <c r="F68" i="2"/>
  <c r="C69" i="2"/>
  <c r="D69" i="2"/>
  <c r="D70" i="2" s="1"/>
  <c r="D73" i="2" s="1"/>
  <c r="E69" i="2"/>
  <c r="E70" i="2" s="1"/>
  <c r="F69" i="2"/>
  <c r="G69" i="2"/>
  <c r="G70" i="2"/>
  <c r="C71" i="2"/>
  <c r="D71" i="2"/>
  <c r="E71" i="2"/>
  <c r="C72" i="2"/>
  <c r="E72" i="2"/>
  <c r="C77" i="2"/>
  <c r="C83" i="2" s="1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F83" i="2"/>
  <c r="C85" i="2"/>
  <c r="F85" i="2"/>
  <c r="F95" i="2" s="1"/>
  <c r="C86" i="2"/>
  <c r="F86" i="2"/>
  <c r="D88" i="2"/>
  <c r="E88" i="2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C102" i="2"/>
  <c r="C103" i="2"/>
  <c r="E103" i="2"/>
  <c r="E104" i="2"/>
  <c r="C105" i="2"/>
  <c r="E105" i="2"/>
  <c r="E106" i="2"/>
  <c r="D107" i="2"/>
  <c r="F107" i="2"/>
  <c r="G107" i="2"/>
  <c r="C110" i="2"/>
  <c r="E110" i="2"/>
  <c r="E111" i="2"/>
  <c r="C112" i="2"/>
  <c r="E112" i="2"/>
  <c r="C113" i="2"/>
  <c r="E113" i="2"/>
  <c r="E114" i="2"/>
  <c r="E120" i="2" s="1"/>
  <c r="E115" i="2"/>
  <c r="C117" i="2"/>
  <c r="F120" i="2"/>
  <c r="G120" i="2"/>
  <c r="C122" i="2"/>
  <c r="E122" i="2"/>
  <c r="D126" i="2"/>
  <c r="E126" i="2"/>
  <c r="F126" i="2"/>
  <c r="K411" i="1"/>
  <c r="K419" i="1"/>
  <c r="K425" i="1"/>
  <c r="K426" i="1"/>
  <c r="G126" i="2" s="1"/>
  <c r="G136" i="2" s="1"/>
  <c r="L255" i="1"/>
  <c r="C127" i="2"/>
  <c r="E127" i="2"/>
  <c r="L256" i="1"/>
  <c r="C128" i="2"/>
  <c r="L257" i="1"/>
  <c r="C129" i="2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G149" i="2"/>
  <c r="C150" i="2"/>
  <c r="D150" i="2"/>
  <c r="E150" i="2"/>
  <c r="F150" i="2"/>
  <c r="B151" i="2"/>
  <c r="C151" i="2"/>
  <c r="D151" i="2"/>
  <c r="E151" i="2"/>
  <c r="F151" i="2"/>
  <c r="G151" i="2"/>
  <c r="B152" i="2"/>
  <c r="C152" i="2"/>
  <c r="G152" i="2" s="1"/>
  <c r="D152" i="2"/>
  <c r="E152" i="2"/>
  <c r="F152" i="2"/>
  <c r="F490" i="1"/>
  <c r="B153" i="2"/>
  <c r="G153" i="2" s="1"/>
  <c r="G490" i="1"/>
  <c r="C153" i="2" s="1"/>
  <c r="H490" i="1"/>
  <c r="D153" i="2"/>
  <c r="I490" i="1"/>
  <c r="E153" i="2"/>
  <c r="J490" i="1"/>
  <c r="F153" i="2"/>
  <c r="B154" i="2"/>
  <c r="G154" i="2" s="1"/>
  <c r="C154" i="2"/>
  <c r="D154" i="2"/>
  <c r="E154" i="2"/>
  <c r="F154" i="2"/>
  <c r="C155" i="2"/>
  <c r="D155" i="2"/>
  <c r="E155" i="2"/>
  <c r="F155" i="2"/>
  <c r="G493" i="1"/>
  <c r="C156" i="2" s="1"/>
  <c r="H493" i="1"/>
  <c r="D156" i="2"/>
  <c r="I493" i="1"/>
  <c r="E156" i="2" s="1"/>
  <c r="J493" i="1"/>
  <c r="F156" i="2"/>
  <c r="F19" i="1"/>
  <c r="G19" i="1"/>
  <c r="G608" i="1" s="1"/>
  <c r="J608" i="1" s="1"/>
  <c r="H19" i="1"/>
  <c r="I19" i="1"/>
  <c r="F33" i="1"/>
  <c r="G33" i="1"/>
  <c r="H33" i="1"/>
  <c r="I33" i="1"/>
  <c r="F43" i="1"/>
  <c r="F44" i="1" s="1"/>
  <c r="H607" i="1" s="1"/>
  <c r="G43" i="1"/>
  <c r="G44" i="1" s="1"/>
  <c r="H608" i="1" s="1"/>
  <c r="H43" i="1"/>
  <c r="H44" i="1" s="1"/>
  <c r="H609" i="1" s="1"/>
  <c r="J609" i="1" s="1"/>
  <c r="I43" i="1"/>
  <c r="G615" i="1" s="1"/>
  <c r="F169" i="1"/>
  <c r="I169" i="1"/>
  <c r="F175" i="1"/>
  <c r="F184" i="1" s="1"/>
  <c r="G175" i="1"/>
  <c r="G184" i="1" s="1"/>
  <c r="H175" i="1"/>
  <c r="I175" i="1"/>
  <c r="J175" i="1"/>
  <c r="F180" i="1"/>
  <c r="G180" i="1"/>
  <c r="H180" i="1"/>
  <c r="I180" i="1"/>
  <c r="H184" i="1"/>
  <c r="I184" i="1"/>
  <c r="J184" i="1"/>
  <c r="F203" i="1"/>
  <c r="G203" i="1"/>
  <c r="H203" i="1"/>
  <c r="H249" i="1" s="1"/>
  <c r="H263" i="1" s="1"/>
  <c r="I203" i="1"/>
  <c r="J203" i="1"/>
  <c r="K203" i="1"/>
  <c r="F221" i="1"/>
  <c r="F249" i="1" s="1"/>
  <c r="F263" i="1" s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49" i="1"/>
  <c r="G263" i="1" s="1"/>
  <c r="I249" i="1"/>
  <c r="I263" i="1" s="1"/>
  <c r="J249" i="1"/>
  <c r="K249" i="1"/>
  <c r="K263" i="1" s="1"/>
  <c r="F282" i="1"/>
  <c r="F330" i="1" s="1"/>
  <c r="F344" i="1" s="1"/>
  <c r="G282" i="1"/>
  <c r="G330" i="1" s="1"/>
  <c r="G344" i="1" s="1"/>
  <c r="H282" i="1"/>
  <c r="H330" i="1" s="1"/>
  <c r="H344" i="1" s="1"/>
  <c r="I282" i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J330" i="1" s="1"/>
  <c r="J344" i="1" s="1"/>
  <c r="K329" i="1"/>
  <c r="I330" i="1"/>
  <c r="I344" i="1" s="1"/>
  <c r="F354" i="1"/>
  <c r="G354" i="1"/>
  <c r="H354" i="1"/>
  <c r="J354" i="1"/>
  <c r="K354" i="1"/>
  <c r="I360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H400" i="1" s="1"/>
  <c r="H634" i="1" s="1"/>
  <c r="J634" i="1" s="1"/>
  <c r="I393" i="1"/>
  <c r="F399" i="1"/>
  <c r="F400" i="1" s="1"/>
  <c r="H633" i="1" s="1"/>
  <c r="J633" i="1" s="1"/>
  <c r="G399" i="1"/>
  <c r="H399" i="1"/>
  <c r="I399" i="1"/>
  <c r="I400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H426" i="1"/>
  <c r="I426" i="1"/>
  <c r="F438" i="1"/>
  <c r="G629" i="1" s="1"/>
  <c r="J629" i="1" s="1"/>
  <c r="G438" i="1"/>
  <c r="G630" i="1" s="1"/>
  <c r="H438" i="1"/>
  <c r="F444" i="1"/>
  <c r="G444" i="1"/>
  <c r="H444" i="1"/>
  <c r="F450" i="1"/>
  <c r="G450" i="1"/>
  <c r="H450" i="1"/>
  <c r="F451" i="1"/>
  <c r="G451" i="1"/>
  <c r="H630" i="1" s="1"/>
  <c r="H451" i="1"/>
  <c r="F460" i="1"/>
  <c r="F466" i="1" s="1"/>
  <c r="H612" i="1" s="1"/>
  <c r="G460" i="1"/>
  <c r="H460" i="1"/>
  <c r="I460" i="1"/>
  <c r="J460" i="1"/>
  <c r="J466" i="1" s="1"/>
  <c r="H616" i="1" s="1"/>
  <c r="F464" i="1"/>
  <c r="G464" i="1"/>
  <c r="H464" i="1"/>
  <c r="H466" i="1" s="1"/>
  <c r="H614" i="1" s="1"/>
  <c r="J614" i="1" s="1"/>
  <c r="I464" i="1"/>
  <c r="I466" i="1" s="1"/>
  <c r="H615" i="1" s="1"/>
  <c r="J464" i="1"/>
  <c r="G466" i="1"/>
  <c r="K485" i="1"/>
  <c r="K486" i="1"/>
  <c r="K488" i="1"/>
  <c r="K489" i="1"/>
  <c r="K490" i="1"/>
  <c r="K491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 s="1"/>
  <c r="K514" i="1"/>
  <c r="K535" i="1" s="1"/>
  <c r="L514" i="1"/>
  <c r="F519" i="1"/>
  <c r="G519" i="1"/>
  <c r="H519" i="1"/>
  <c r="I519" i="1"/>
  <c r="J519" i="1"/>
  <c r="K519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49" i="1"/>
  <c r="F550" i="1"/>
  <c r="G550" i="1"/>
  <c r="H550" i="1"/>
  <c r="H561" i="1" s="1"/>
  <c r="I550" i="1"/>
  <c r="J550" i="1"/>
  <c r="K550" i="1"/>
  <c r="L550" i="1"/>
  <c r="L552" i="1"/>
  <c r="L555" i="1" s="1"/>
  <c r="L553" i="1"/>
  <c r="L554" i="1"/>
  <c r="F555" i="1"/>
  <c r="F561" i="1" s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G561" i="1"/>
  <c r="I561" i="1"/>
  <c r="J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588" i="1"/>
  <c r="H641" i="1" s="1"/>
  <c r="J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9" i="1"/>
  <c r="G610" i="1"/>
  <c r="H613" i="1"/>
  <c r="G614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1" i="1"/>
  <c r="J631" i="1" s="1"/>
  <c r="H631" i="1"/>
  <c r="G633" i="1"/>
  <c r="G634" i="1"/>
  <c r="G635" i="1"/>
  <c r="H637" i="1"/>
  <c r="G639" i="1"/>
  <c r="G640" i="1"/>
  <c r="J640" i="1" s="1"/>
  <c r="G641" i="1"/>
  <c r="G642" i="1"/>
  <c r="H642" i="1"/>
  <c r="J642" i="1" s="1"/>
  <c r="G643" i="1"/>
  <c r="J643" i="1" s="1"/>
  <c r="H643" i="1"/>
  <c r="G644" i="1"/>
  <c r="J644" i="1" s="1"/>
  <c r="H644" i="1"/>
  <c r="G645" i="1"/>
  <c r="H645" i="1"/>
  <c r="J645" i="1"/>
  <c r="J639" i="1" l="1"/>
  <c r="C136" i="2"/>
  <c r="K540" i="1"/>
  <c r="L400" i="1"/>
  <c r="C130" i="2"/>
  <c r="J624" i="1"/>
  <c r="J615" i="1"/>
  <c r="G137" i="2"/>
  <c r="F96" i="2"/>
  <c r="G636" i="1"/>
  <c r="G621" i="1"/>
  <c r="J621" i="1" s="1"/>
  <c r="L524" i="1"/>
  <c r="L535" i="1" s="1"/>
  <c r="H539" i="1"/>
  <c r="H542" i="1" s="1"/>
  <c r="J635" i="1"/>
  <c r="F137" i="2"/>
  <c r="I542" i="1"/>
  <c r="F542" i="1"/>
  <c r="I451" i="1"/>
  <c r="H632" i="1" s="1"/>
  <c r="H33" i="13"/>
  <c r="C25" i="13"/>
  <c r="G651" i="1"/>
  <c r="G654" i="1" s="1"/>
  <c r="J632" i="1"/>
  <c r="G55" i="2"/>
  <c r="G96" i="2" s="1"/>
  <c r="G33" i="13"/>
  <c r="E54" i="2"/>
  <c r="E55" i="2" s="1"/>
  <c r="C5" i="13"/>
  <c r="G31" i="13"/>
  <c r="K330" i="1"/>
  <c r="K344" i="1" s="1"/>
  <c r="C133" i="2"/>
  <c r="C10" i="10"/>
  <c r="L203" i="1"/>
  <c r="C101" i="2"/>
  <c r="C107" i="2" s="1"/>
  <c r="H185" i="1"/>
  <c r="G619" i="1" s="1"/>
  <c r="J619" i="1" s="1"/>
  <c r="A13" i="12"/>
  <c r="C8" i="13"/>
  <c r="E33" i="13"/>
  <c r="D35" i="13" s="1"/>
  <c r="L426" i="1"/>
  <c r="G628" i="1" s="1"/>
  <c r="J628" i="1" s="1"/>
  <c r="H638" i="1"/>
  <c r="J638" i="1" s="1"/>
  <c r="F43" i="2"/>
  <c r="C38" i="10"/>
  <c r="D31" i="13"/>
  <c r="C31" i="13" s="1"/>
  <c r="L330" i="1"/>
  <c r="L344" i="1" s="1"/>
  <c r="G623" i="1" s="1"/>
  <c r="J623" i="1" s="1"/>
  <c r="D55" i="2"/>
  <c r="D96" i="2" s="1"/>
  <c r="G42" i="2"/>
  <c r="E43" i="2"/>
  <c r="F185" i="1"/>
  <c r="G617" i="1" s="1"/>
  <c r="J617" i="1" s="1"/>
  <c r="L561" i="1"/>
  <c r="J630" i="1"/>
  <c r="E73" i="2"/>
  <c r="C55" i="2"/>
  <c r="C96" i="2" s="1"/>
  <c r="J43" i="1"/>
  <c r="D43" i="2"/>
  <c r="G542" i="1"/>
  <c r="C39" i="10"/>
  <c r="G613" i="1"/>
  <c r="J613" i="1" s="1"/>
  <c r="F524" i="1"/>
  <c r="F535" i="1" s="1"/>
  <c r="B150" i="2"/>
  <c r="G150" i="2" s="1"/>
  <c r="C114" i="2"/>
  <c r="E101" i="2"/>
  <c r="E107" i="2" s="1"/>
  <c r="J23" i="1"/>
  <c r="J9" i="1"/>
  <c r="L239" i="1"/>
  <c r="H650" i="1" s="1"/>
  <c r="C36" i="10"/>
  <c r="B155" i="2"/>
  <c r="G155" i="2" s="1"/>
  <c r="G652" i="1"/>
  <c r="I652" i="1" s="1"/>
  <c r="C17" i="10"/>
  <c r="C115" i="2"/>
  <c r="L529" i="1"/>
  <c r="L350" i="1"/>
  <c r="G612" i="1"/>
  <c r="J612" i="1" s="1"/>
  <c r="J263" i="1"/>
  <c r="I44" i="1"/>
  <c r="H610" i="1" s="1"/>
  <c r="J610" i="1" s="1"/>
  <c r="E77" i="2"/>
  <c r="E83" i="2" s="1"/>
  <c r="L343" i="1"/>
  <c r="C16" i="10"/>
  <c r="J607" i="1"/>
  <c r="C106" i="2"/>
  <c r="C25" i="10"/>
  <c r="F33" i="13"/>
  <c r="E123" i="2"/>
  <c r="E136" i="2" s="1"/>
  <c r="C13" i="10"/>
  <c r="C19" i="10"/>
  <c r="C111" i="2"/>
  <c r="C120" i="2" s="1"/>
  <c r="F361" i="1"/>
  <c r="F493" i="1"/>
  <c r="G657" i="1" l="1"/>
  <c r="G662" i="1"/>
  <c r="D36" i="10"/>
  <c r="K539" i="1"/>
  <c r="K542" i="1" s="1"/>
  <c r="E96" i="2"/>
  <c r="K493" i="1"/>
  <c r="B156" i="2"/>
  <c r="G156" i="2" s="1"/>
  <c r="J19" i="1"/>
  <c r="G611" i="1" s="1"/>
  <c r="G9" i="2"/>
  <c r="G19" i="2" s="1"/>
  <c r="C137" i="2"/>
  <c r="G627" i="1"/>
  <c r="J627" i="1" s="1"/>
  <c r="H636" i="1"/>
  <c r="G22" i="2"/>
  <c r="G32" i="2" s="1"/>
  <c r="G43" i="2" s="1"/>
  <c r="J33" i="1"/>
  <c r="G616" i="1"/>
  <c r="J616" i="1" s="1"/>
  <c r="J44" i="1"/>
  <c r="H611" i="1" s="1"/>
  <c r="L249" i="1"/>
  <c r="L263" i="1" s="1"/>
  <c r="G622" i="1" s="1"/>
  <c r="J622" i="1" s="1"/>
  <c r="F650" i="1"/>
  <c r="E137" i="2"/>
  <c r="D38" i="10"/>
  <c r="C41" i="10"/>
  <c r="D29" i="13"/>
  <c r="L354" i="1"/>
  <c r="F651" i="1"/>
  <c r="I651" i="1" s="1"/>
  <c r="D119" i="2"/>
  <c r="D120" i="2" s="1"/>
  <c r="D137" i="2" s="1"/>
  <c r="J636" i="1"/>
  <c r="H651" i="1"/>
  <c r="H654" i="1" s="1"/>
  <c r="H662" i="1" l="1"/>
  <c r="H657" i="1"/>
  <c r="C27" i="10"/>
  <c r="G625" i="1"/>
  <c r="J625" i="1" s="1"/>
  <c r="J611" i="1"/>
  <c r="H646" i="1"/>
  <c r="I650" i="1"/>
  <c r="I654" i="1" s="1"/>
  <c r="F654" i="1"/>
  <c r="C29" i="13"/>
  <c r="D33" i="13"/>
  <c r="D36" i="13" s="1"/>
  <c r="D40" i="10"/>
  <c r="D35" i="10"/>
  <c r="D41" i="10" s="1"/>
  <c r="D37" i="10"/>
  <c r="D39" i="10"/>
  <c r="F662" i="1" l="1"/>
  <c r="C4" i="10" s="1"/>
  <c r="F657" i="1"/>
  <c r="C28" i="10"/>
  <c r="I662" i="1"/>
  <c r="C7" i="10" s="1"/>
  <c r="I657" i="1"/>
  <c r="D15" i="10" l="1"/>
  <c r="C30" i="10"/>
  <c r="D22" i="10"/>
  <c r="D18" i="10"/>
  <c r="D20" i="10"/>
  <c r="D26" i="10"/>
  <c r="D12" i="10"/>
  <c r="D24" i="10"/>
  <c r="D23" i="10"/>
  <c r="D21" i="10"/>
  <c r="D11" i="10"/>
  <c r="D10" i="10"/>
  <c r="D28" i="10" s="1"/>
  <c r="D17" i="10"/>
  <c r="D19" i="10"/>
  <c r="D16" i="10"/>
  <c r="D13" i="10"/>
  <c r="D25" i="10"/>
  <c r="D2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0B67931-179B-425B-BDD9-656831FD772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65CCD3D-85E9-46C2-A1E9-1CFD14E9794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4648A16-2079-44F8-BB94-BF95C573F6C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1AB11D7-AB2D-4E41-BA39-79DF11387A7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5156F47-47A8-4D7D-B301-F8073E8E68A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FA79DF5-2281-469C-B302-41D9F7930D2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F8B86A7-7482-4BF5-A6E6-DD8FA205B60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F6C88BA-AA94-41D1-8A6F-A8D9AC6578D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8B463F9-3124-4446-8387-C4E947394CA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703265D-2FAD-4E81-BB4A-7073F56B079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0CB2526-8EF0-4A46-AAD5-3F0E1E105E6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D1A5B3F-12DE-470A-BF13-F3C50BA5E39C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<sst xmlns="http://schemas.openxmlformats.org/spreadsheetml/2006/main" count="3860" uniqueCount="897">
  <si>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</si>
  <si>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</si>
  <si>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</si>
  <si>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</si>
  <si>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</si>
  <si>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</si>
  <si>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</si>
  <si>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</si>
  <si>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</si>
  <si>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</si>
  <si>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</si>
  <si>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</si>
  <si>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</si>
  <si>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</si>
  <si>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</si>
  <si>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</si>
  <si>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</si>
  <si>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</si>
  <si>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</si>
  <si>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</si>
  <si>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</si>
  <si>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</si>
  <si>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</si>
  <si>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</si>
  <si>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</si>
  <si>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</si>
  <si>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</si>
  <si>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</si>
  <si>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</si>
  <si>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</si>
  <si>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</si>
  <si>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</si>
  <si>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</si>
  <si>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</si>
  <si>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</si>
  <si>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</si>
  <si>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</si>
  <si>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</si>
  <si>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</si>
  <si>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</si>
  <si>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</si>
  <si>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</si>
  <si>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</si>
  <si>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</si>
  <si>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</si>
  <si>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</si>
  <si>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</si>
  <si>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</si>
  <si>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</si>
  <si>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</si>
  <si>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</si>
  <si>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</si>
  <si>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</si>
  <si>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</si>
  <si>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</si>
  <si>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</si>
  <si>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</si>
  <si>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</si>
  <si>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</si>
  <si>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</si>
  <si>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</si>
  <si>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</si>
  <si>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</si>
  <si>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</si>
  <si>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</si>
  <si>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</si>
  <si>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</si>
  <si>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</si>
  <si>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</si>
  <si>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</si>
  <si>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</si>
  <si>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</si>
  <si>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</si>
  <si>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</si>
  <si>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</si>
  <si>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</si>
  <si>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</si>
  <si>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</si>
  <si>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</si>
  <si>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</si>
  <si>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</si>
  <si>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</si>
  <si>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</si>
  <si>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</si>
  <si>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</si>
  <si>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</si>
  <si>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</si>
  <si>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</si>
  <si>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</si>
  <si>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</si>
  <si>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</si>
  <si>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</si>
  <si>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</si>
  <si>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</si>
  <si>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</si>
  <si>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</si>
  <si>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</si>
  <si>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</si>
  <si>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</si>
  <si>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</si>
  <si>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</si>
  <si>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</si>
  <si>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</si>
  <si>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</si>
  <si>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</si>
  <si>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</si>
  <si>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</si>
  <si>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</si>
  <si>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</si>
  <si>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</si>
  <si>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</si>
  <si>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</si>
  <si>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</si>
  <si>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</si>
  <si>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</si>
  <si>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</si>
  <si>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</si>
  <si>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</si>
  <si>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</si>
  <si>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</si>
  <si>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</si>
  <si>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</si>
  <si>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</si>
  <si>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</si>
  <si>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</si>
  <si>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</si>
  <si>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</si>
  <si>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</si>
  <si>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</si>
  <si>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</si>
  <si>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</si>
  <si>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</si>
  <si>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</si>
  <si>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</si>
  <si>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</si>
  <si>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</si>
  <si>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</si>
  <si>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</si>
  <si>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</si>
  <si>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</si>
  <si>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</si>
  <si>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</si>
  <si>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</si>
  <si>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</si>
  <si>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</si>
  <si>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</si>
  <si>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</si>
  <si>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</si>
  <si>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</si>
  <si>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</si>
  <si>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</si>
  <si>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</si>
  <si>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</si>
  <si>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</si>
  <si>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</si>
  <si>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</si>
  <si>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</si>
  <si>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</si>
  <si>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</si>
  <si>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</si>
  <si>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</si>
  <si>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</si>
  <si>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</si>
  <si>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</si>
  <si>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</si>
  <si>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</si>
  <si>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</si>
  <si>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</si>
  <si>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</si>
  <si>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</si>
  <si>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</si>
  <si>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</si>
  <si>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</si>
  <si>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</si>
  <si>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</si>
  <si>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</si>
  <si>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</si>
  <si>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</si>
  <si>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</si>
  <si>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</si>
  <si>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</si>
  <si>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</si>
  <si>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</si>
  <si>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</si>
  <si>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</si>
  <si>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</si>
  <si>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</si>
  <si>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</si>
  <si>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</si>
  <si>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</si>
  <si>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</si>
  <si>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</si>
  <si>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</si>
  <si>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</si>
  <si>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</si>
  <si>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</si>
  <si>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</si>
  <si>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</si>
  <si>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</si>
  <si>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</si>
  <si>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</si>
  <si>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</si>
  <si>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</si>
  <si>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</si>
  <si>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</si>
  <si>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</si>
  <si>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</si>
  <si>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</si>
  <si>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</si>
  <si>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</si>
  <si>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</si>
  <si>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</si>
  <si>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</si>
  <si>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</si>
  <si>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</si>
  <si>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</si>
  <si>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</si>
  <si>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</si>
  <si>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</si>
  <si>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</si>
  <si>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</si>
  <si>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</si>
  <si>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</si>
  <si>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</si>
  <si>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</si>
  <si>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</si>
  <si>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</si>
  <si>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</si>
  <si>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</si>
  <si>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</si>
  <si>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</si>
  <si>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</si>
  <si>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</si>
  <si>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</si>
  <si>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</si>
  <si>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</si>
  <si>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</si>
  <si>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</si>
  <si>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</si>
  <si>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</si>
  <si>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</si>
  <si>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</si>
  <si>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</si>
  <si>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</si>
  <si>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</si>
  <si>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</si>
  <si>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</si>
  <si>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</si>
  <si>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</si>
  <si>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</si>
  <si>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</si>
  <si>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</si>
  <si>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</si>
  <si>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</si>
  <si>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</si>
  <si>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</si>
  <si>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</si>
  <si>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</si>
  <si>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</si>
  <si>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</si>
  <si>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</si>
  <si>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</si>
  <si>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</si>
  <si>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</si>
  <si>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</si>
  <si>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</si>
  <si>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</si>
  <si>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</si>
  <si>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</si>
  <si>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</si>
  <si>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</si>
  <si>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</si>
  <si>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</si>
  <si>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</si>
  <si>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</si>
  <si>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</si>
  <si>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</si>
  <si>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</si>
  <si>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</si>
  <si>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</si>
  <si>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</si>
  <si>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</si>
  <si>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</si>
  <si>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</si>
  <si>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</si>
  <si>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</si>
  <si>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</si>
  <si>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</si>
  <si>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</si>
  <si>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</si>
  <si>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</si>
  <si>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</si>
  <si>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</si>
  <si>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</si>
  <si>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</si>
  <si>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</si>
  <si>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</si>
  <si>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</si>
  <si>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</si>
  <si>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</si>
  <si>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</si>
  <si>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</si>
  <si>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</si>
  <si>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</si>
  <si>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</si>
  <si>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</si>
  <si>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</si>
  <si>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</si>
  <si>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</si>
  <si>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</si>
  <si>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</si>
  <si>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</si>
  <si>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</si>
  <si>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</si>
  <si>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</si>
  <si>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</si>
  <si>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</si>
  <si>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</si>
  <si>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</si>
  <si>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</si>
  <si>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</si>
  <si>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</si>
  <si>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</si>
  <si>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</si>
  <si>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</si>
  <si>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</si>
  <si>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</si>
  <si>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</si>
  <si>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</si>
  <si>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</si>
  <si>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</si>
  <si>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</si>
  <si>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</si>
  <si>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</si>
  <si>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</si>
  <si>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</si>
  <si>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</si>
  <si>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</si>
  <si>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</si>
  <si>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</si>
  <si>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</si>
  <si>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</si>
  <si>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</si>
  <si>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</si>
  <si>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</si>
  <si>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</si>
  <si>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</si>
  <si>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</si>
  <si>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</si>
  <si>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</si>
  <si>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</si>
  <si>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</si>
  <si>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</si>
  <si>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</si>
  <si>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</si>
  <si>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</si>
  <si>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</si>
  <si>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</si>
  <si>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</si>
  <si>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</si>
  <si>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</si>
  <si>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</si>
  <si>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</si>
  <si>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</si>
  <si>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</si>
  <si>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</si>
  <si>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</si>
  <si>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</si>
  <si>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</si>
  <si>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</si>
  <si>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</si>
  <si>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</si>
  <si>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</si>
  <si>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</si>
  <si>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</si>
  <si>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</si>
  <si>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</si>
  <si>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</si>
  <si>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</si>
  <si>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</si>
  <si>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</si>
  <si>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</si>
  <si>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</si>
  <si>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</si>
  <si>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</si>
  <si>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</si>
  <si>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</si>
  <si>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</si>
  <si>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</si>
  <si>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</si>
  <si>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</si>
  <si>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</si>
  <si>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</si>
  <si>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</si>
  <si>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</si>
  <si>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</si>
  <si>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</si>
  <si>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</si>
  <si>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</si>
  <si>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</si>
  <si>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</si>
  <si>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</si>
  <si>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</si>
  <si>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</si>
  <si>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</si>
  <si>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</si>
  <si>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</si>
  <si>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</si>
  <si>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</si>
  <si>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</si>
  <si>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</si>
  <si>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</si>
  <si>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</si>
  <si>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</si>
  <si>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</si>
  <si>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</si>
  <si>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</si>
  <si>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</si>
  <si>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</si>
  <si>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</si>
  <si>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</si>
  <si>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</si>
  <si>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</si>
  <si>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</si>
  <si>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</si>
  <si>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</si>
  <si>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</si>
  <si>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</si>
  <si>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</si>
  <si>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</si>
  <si>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</si>
  <si>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</si>
  <si>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</si>
  <si>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</si>
  <si>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</si>
  <si>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</si>
  <si>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</si>
  <si>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</si>
  <si>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</si>
  <si>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</si>
  <si>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</si>
  <si>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</si>
  <si>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</si>
  <si>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</si>
  <si>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</si>
  <si>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</si>
  <si>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</si>
  <si>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</si>
  <si>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</si>
  <si>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</si>
  <si>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</si>
  <si>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</si>
  <si>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</si>
  <si>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</si>
  <si>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</si>
  <si>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</si>
  <si>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</si>
  <si>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</si>
  <si>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</si>
  <si>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</si>
  <si>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</si>
  <si>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</si>
  <si>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</si>
  <si>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</si>
  <si>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</si>
  <si>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</si>
  <si>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</si>
  <si>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</si>
  <si>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</si>
  <si>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</si>
  <si>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</si>
  <si>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</si>
  <si>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</si>
  <si>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</si>
  <si>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</si>
  <si>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</si>
  <si>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</si>
  <si>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</si>
  <si>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</si>
  <si>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</si>
  <si>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</si>
  <si>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</si>
  <si>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</si>
  <si>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</si>
  <si>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</si>
  <si>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</si>
  <si>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</si>
  <si>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</si>
  <si>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</si>
  <si>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</si>
  <si>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</si>
  <si>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</si>
  <si>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</si>
  <si>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</si>
  <si>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</si>
  <si>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</si>
  <si>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</si>
  <si>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</si>
  <si>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</si>
  <si>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</si>
  <si>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</si>
  <si>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</si>
  <si>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</si>
  <si>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</si>
  <si>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</si>
  <si>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</si>
  <si>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</si>
  <si>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</si>
  <si>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</si>
  <si>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</si>
  <si>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</si>
  <si>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</si>
  <si>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</si>
  <si>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</si>
  <si>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</si>
  <si>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</si>
  <si>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</si>
  <si>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</si>
  <si>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</si>
  <si>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</si>
  <si>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</si>
  <si>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</si>
  <si>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</si>
  <si>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</si>
  <si>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</si>
  <si>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</si>
  <si>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</si>
  <si>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</si>
  <si>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</si>
  <si>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</si>
  <si>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</si>
  <si>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</si>
  <si>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</si>
  <si>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</si>
  <si>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</si>
  <si>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</si>
  <si>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</si>
  <si>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</si>
  <si>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</si>
  <si>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</si>
  <si>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</si>
  <si>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</si>
  <si>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</si>
  <si>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</si>
  <si>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</si>
  <si>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</si>
  <si>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</si>
  <si>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</si>
  <si>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</si>
  <si>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</si>
  <si>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</si>
  <si>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</si>
  <si>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</si>
  <si>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</si>
  <si>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</si>
  <si>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</si>
  <si>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</si>
  <si>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</si>
  <si>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</si>
  <si>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</si>
  <si>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</si>
  <si>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</si>
  <si>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</si>
  <si>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</si>
  <si>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</si>
  <si>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</si>
  <si>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</si>
  <si>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</si>
  <si>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</si>
  <si>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</si>
  <si>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</si>
  <si>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</si>
  <si>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</si>
  <si>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</si>
  <si>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</si>
  <si>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</si>
  <si>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</si>
  <si>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</si>
  <si>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</si>
  <si>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</si>
  <si>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</si>
  <si>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</si>
  <si>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</si>
  <si>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</si>
  <si>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</si>
  <si>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</si>
  <si>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</si>
  <si>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</si>
  <si>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</si>
  <si>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</si>
  <si>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</si>
  <si>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</si>
  <si>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</si>
  <si>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</si>
  <si>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</si>
  <si>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</si>
  <si>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</si>
  <si>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</si>
  <si>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</si>
  <si>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</si>
  <si>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</si>
  <si>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</si>
  <si>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</si>
  <si>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</si>
  <si>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</si>
  <si>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</si>
  <si>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</si>
  <si>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</si>
  <si>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</si>
  <si>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</si>
  <si>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</si>
  <si>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</si>
  <si>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</si>
  <si>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</si>
  <si>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</si>
  <si>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</si>
  <si>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</si>
  <si>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</si>
  <si>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</si>
  <si>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</si>
  <si>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</si>
  <si>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</si>
  <si>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</si>
  <si>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</si>
  <si>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</si>
  <si>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</si>
  <si>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</si>
  <si>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</si>
  <si>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</si>
  <si>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</si>
  <si>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</si>
  <si>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</si>
  <si>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</si>
  <si>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</si>
  <si>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</si>
  <si>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</si>
  <si>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</si>
  <si>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</si>
  <si>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</si>
  <si>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</si>
  <si>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</si>
  <si>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</si>
  <si>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</si>
  <si>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</si>
  <si>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</si>
  <si>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</si>
  <si>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</si>
  <si>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</si>
  <si>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</si>
  <si>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</si>
  <si>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</si>
  <si>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</si>
  <si>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</si>
  <si>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</si>
  <si>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</si>
  <si>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</si>
  <si>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</si>
  <si>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</si>
  <si>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</si>
  <si>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</si>
  <si>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</si>
  <si>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</si>
  <si>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</si>
  <si>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</si>
  <si>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</si>
  <si>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</si>
  <si>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</si>
  <si>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</si>
  <si>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</si>
  <si>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</si>
  <si>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</si>
  <si>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</si>
  <si>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</si>
  <si>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</si>
  <si>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</si>
  <si>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</si>
  <si>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</si>
  <si>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</si>
  <si>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</si>
  <si>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</si>
  <si>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</si>
  <si>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</si>
  <si>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</si>
  <si>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</si>
  <si>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</si>
  <si>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</si>
  <si>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</si>
  <si>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</si>
  <si>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</si>
  <si>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</si>
  <si>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</si>
  <si>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</si>
  <si>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</si>
  <si>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</si>
  <si>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</si>
  <si>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</si>
  <si>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</si>
  <si>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</si>
  <si>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</si>
  <si>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</si>
  <si>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</si>
  <si>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</si>
  <si>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</si>
  <si>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</si>
  <si>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</si>
  <si>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</si>
  <si>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</si>
  <si>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</si>
  <si>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</si>
  <si>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</si>
  <si>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</si>
  <si>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</si>
  <si>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</si>
  <si>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</si>
  <si>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</si>
  <si>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</si>
  <si>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</si>
  <si>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</si>
  <si>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</si>
  <si>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</si>
  <si>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</si>
  <si>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</si>
  <si>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</si>
  <si>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</si>
  <si>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</si>
  <si>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</si>
  <si>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</si>
  <si>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</si>
  <si>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</si>
  <si>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</si>
  <si>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</si>
  <si>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</si>
  <si>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</si>
  <si>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</si>
  <si>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</si>
  <si>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</si>
  <si>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</si>
  <si>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</si>
  <si>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</si>
  <si>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</si>
  <si>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</si>
  <si>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</si>
  <si>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</si>
  <si>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</si>
  <si>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</si>
  <si>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</si>
  <si>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</si>
  <si>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</si>
  <si>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</si>
  <si>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</si>
  <si>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</si>
  <si>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</si>
  <si>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</si>
  <si>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</si>
  <si>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</si>
  <si>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</si>
  <si>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</si>
  <si>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</si>
  <si>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</si>
  <si>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</si>
  <si>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</si>
  <si>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</si>
  <si>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</si>
  <si>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</si>
  <si>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</si>
  <si>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</si>
  <si>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</si>
  <si>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</si>
  <si>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</si>
  <si>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</si>
  <si>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</si>
  <si>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</si>
  <si>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</si>
  <si>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</si>
  <si>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</si>
  <si>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</si>
  <si>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</si>
  <si>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</si>
  <si>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</si>
  <si>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</si>
  <si>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</si>
  <si>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</si>
  <si>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</si>
  <si>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</si>
  <si>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</si>
  <si>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</si>
  <si>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</si>
  <si>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</si>
  <si>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</si>
  <si>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</si>
  <si>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</si>
  <si>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</si>
  <si>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</si>
  <si>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</si>
  <si>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</si>
  <si>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</si>
  <si>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</si>
  <si>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</si>
  <si>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</si>
  <si>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</si>
  <si>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</si>
  <si>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</si>
  <si>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</si>
  <si>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</si>
  <si>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</si>
  <si>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</si>
  <si>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</si>
  <si>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</si>
  <si>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</si>
  <si>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</si>
  <si>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</si>
  <si>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</si>
  <si>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</si>
  <si>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</si>
  <si>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</si>
  <si>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</si>
  <si>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</si>
  <si>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</si>
  <si>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</si>
  <si>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</si>
  <si>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</si>
  <si>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</si>
  <si>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</si>
  <si>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</si>
  <si>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</si>
  <si>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</si>
  <si>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</si>
  <si>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</si>
  <si>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</si>
  <si>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</si>
  <si>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</si>
  <si>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</si>
  <si>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</si>
  <si>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</si>
  <si>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</si>
  <si>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</si>
  <si>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</si>
  <si>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</si>
  <si>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</si>
  <si>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</si>
  <si>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</si>
  <si>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</si>
  <si>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</si>
  <si>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</si>
  <si>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</si>
  <si>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</si>
  <si>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</si>
  <si>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</si>
  <si>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</si>
  <si>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</si>
  <si>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</si>
  <si>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</si>
  <si>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</si>
  <si>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</si>
  <si>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</si>
  <si>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</si>
  <si>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</si>
  <si>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</si>
  <si>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</si>
  <si>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</si>
  <si>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</si>
  <si>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</si>
  <si>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</si>
  <si>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</si>
  <si>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</si>
  <si>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</si>
  <si>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</si>
  <si>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</si>
  <si>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</si>
  <si>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</si>
  <si>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</si>
  <si>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</si>
  <si>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</si>
  <si>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</si>
  <si>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</si>
  <si>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</si>
  <si>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</si>
  <si>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</si>
  <si>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</si>
  <si>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</si>
  <si>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</si>
  <si>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</si>
  <si>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</si>
  <si>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</si>
  <si>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</si>
  <si>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</si>
  <si>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</si>
  <si>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</si>
  <si>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</si>
  <si>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</si>
  <si>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</si>
  <si>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</si>
  <si>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</si>
  <si>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</si>
  <si>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August 2004</t>
  </si>
  <si>
    <t>August 2024</t>
  </si>
  <si>
    <t>Hampton Falls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</si>
</sst>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4C20-A53A-41A4-B65C-E5B8FE42C6C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227</v>
      </c>
      <c r="C2" s="21">
        <v>227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229484.48+228.98</f>
        <v>229713.46000000002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1480.46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32408.26</v>
      </c>
      <c r="G12" s="18">
        <v>17400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4719.34</v>
      </c>
      <c r="G13" s="18">
        <v>1640.05</v>
      </c>
      <c r="H13" s="18">
        <v>13962.05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481.76</v>
      </c>
      <c r="G14" s="18">
        <v>602.1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267322.82000000007</v>
      </c>
      <c r="G19" s="41">
        <f>SUM(G9:G18)</f>
        <v>19642.149999999998</v>
      </c>
      <c r="H19" s="41">
        <f>SUM(H9:H18)</f>
        <v>13962.05</v>
      </c>
      <c r="I19" s="41">
        <f>SUM(I9:I18)</f>
        <v>0</v>
      </c>
      <c r="J19" s="41">
        <f>SUM(J9:J18)</f>
        <v>1480.46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17400</v>
      </c>
      <c r="G23" s="18">
        <v>19090.080000000002</v>
      </c>
      <c r="H23" s="18">
        <v>13318.18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50818.22</v>
      </c>
      <c r="G25" s="18"/>
      <c r="H25" s="18">
        <v>643.87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243.52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-1666.13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66795.61</v>
      </c>
      <c r="G33" s="41">
        <f>SUM(G23:G32)</f>
        <v>19090.080000000002</v>
      </c>
      <c r="H33" s="41">
        <f>SUM(H23:H32)</f>
        <v>13962.050000000001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32544.82</v>
      </c>
      <c r="G37" s="18">
        <v>547.89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4.18</v>
      </c>
      <c r="H41" s="18"/>
      <c r="I41" s="18"/>
      <c r="J41" s="13">
        <f>SUM(I449)</f>
        <v>1480.46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167982.39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200527.21000000002</v>
      </c>
      <c r="G43" s="41">
        <f>SUM(G35:G42)</f>
        <v>552.06999999999994</v>
      </c>
      <c r="H43" s="41">
        <f>SUM(H35:H42)</f>
        <v>0</v>
      </c>
      <c r="I43" s="41">
        <f>SUM(I35:I42)</f>
        <v>0</v>
      </c>
      <c r="J43" s="41">
        <f>SUM(J35:J42)</f>
        <v>1480.46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267322.82</v>
      </c>
      <c r="G44" s="41">
        <f>G43+G33</f>
        <v>19642.150000000001</v>
      </c>
      <c r="H44" s="41">
        <f>H43+H33</f>
        <v>13962.050000000001</v>
      </c>
      <c r="I44" s="41">
        <f>I43+I33</f>
        <v>0</v>
      </c>
      <c r="J44" s="41">
        <f>J43+J33</f>
        <v>1480.46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3952850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3952850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452.85</v>
      </c>
      <c r="G88" s="18"/>
      <c r="H88" s="18"/>
      <c r="I88" s="18"/>
      <c r="J88" s="18">
        <v>3.68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80905.320000000007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800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485.59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2686.06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4424.5</v>
      </c>
      <c r="G103" s="41">
        <f>SUM(G88:G102)</f>
        <v>80905.320000000007</v>
      </c>
      <c r="H103" s="41">
        <f>SUM(H88:H102)</f>
        <v>0</v>
      </c>
      <c r="I103" s="41">
        <f>SUM(I88:I102)</f>
        <v>0</v>
      </c>
      <c r="J103" s="41">
        <f>SUM(J88:J102)</f>
        <v>3.68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3957274.5</v>
      </c>
      <c r="G104" s="41">
        <f>G52+G103</f>
        <v>80905.320000000007</v>
      </c>
      <c r="H104" s="41">
        <f>H52+H71+H86+H103</f>
        <v>0</v>
      </c>
      <c r="I104" s="41">
        <f>I52+I103</f>
        <v>0</v>
      </c>
      <c r="J104" s="41">
        <f>J52+J103</f>
        <v>3.68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27865.32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670900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10690.68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709456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249012.6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1489.52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249012.6</v>
      </c>
      <c r="G128" s="41">
        <f>SUM(G115:G127)</f>
        <v>1489.52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958468.6</v>
      </c>
      <c r="G132" s="41">
        <f>G113+SUM(G128:G129)</f>
        <v>1489.52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14861.08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9481.06+10.08+53.66+47.89</f>
        <v>9592.6899999999987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16480.25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94505.48+245.42+3.15-0.33</f>
        <v>94753.719999999987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43876.56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43876.56</v>
      </c>
      <c r="G154" s="41">
        <f>SUM(G142:G153)</f>
        <v>16480.25</v>
      </c>
      <c r="H154" s="41">
        <f>SUM(H142:H153)</f>
        <v>119207.48999999999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5615.55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43876.56</v>
      </c>
      <c r="G161" s="41">
        <f>G139+G154+SUM(G155:G160)</f>
        <v>22095.8</v>
      </c>
      <c r="H161" s="41">
        <f>H139+H154+SUM(H155:H160)</f>
        <v>119207.48999999999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17400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17400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17400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4959619.6599999992</v>
      </c>
      <c r="G185" s="47">
        <f>G104+G132+G161+G184</f>
        <v>121890.64000000001</v>
      </c>
      <c r="H185" s="47">
        <f>H104+H132+H161+H184</f>
        <v>119207.48999999999</v>
      </c>
      <c r="I185" s="47">
        <f>I104+I132+I161+I184</f>
        <v>0</v>
      </c>
      <c r="J185" s="47">
        <f>J104+J132+J184</f>
        <v>3.68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1484461.67</v>
      </c>
      <c r="G189" s="18">
        <f>499241.16+1420+3.15-0.21</f>
        <v>500664.1</v>
      </c>
      <c r="H189" s="18">
        <v>8533.33</v>
      </c>
      <c r="I189" s="18">
        <v>33961.81</v>
      </c>
      <c r="J189" s="18">
        <v>1371.14</v>
      </c>
      <c r="K189" s="18"/>
      <c r="L189" s="19">
        <f>SUM(F189:K189)</f>
        <v>2028992.05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595432.9</v>
      </c>
      <c r="G190" s="18">
        <f>237878.81</f>
        <v>237878.81</v>
      </c>
      <c r="H190" s="18">
        <v>615730.5</v>
      </c>
      <c r="I190" s="18">
        <v>2553.62</v>
      </c>
      <c r="J190" s="18">
        <v>178.02</v>
      </c>
      <c r="K190" s="18">
        <v>530</v>
      </c>
      <c r="L190" s="19">
        <f>SUM(F190:K190)</f>
        <v>1452303.85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25851</v>
      </c>
      <c r="G192" s="18">
        <v>1963.34</v>
      </c>
      <c r="H192" s="18">
        <v>5445.1</v>
      </c>
      <c r="I192" s="18">
        <v>2755.44</v>
      </c>
      <c r="J192" s="18">
        <v>2063.85</v>
      </c>
      <c r="K192" s="18"/>
      <c r="L192" s="19">
        <f>SUM(F192:K192)</f>
        <v>38078.730000000003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32941.48+65991+92515</f>
        <v>191447.48</v>
      </c>
      <c r="G194" s="18">
        <v>29319.74</v>
      </c>
      <c r="H194" s="18">
        <v>1510</v>
      </c>
      <c r="I194" s="18">
        <f>439.7+1330.22</f>
        <v>1769.92</v>
      </c>
      <c r="J194" s="18">
        <v>800</v>
      </c>
      <c r="K194" s="18">
        <v>135</v>
      </c>
      <c r="L194" s="19">
        <f t="shared" ref="L194:L200" si="0">SUM(F194:K194)</f>
        <v>224982.14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3612.5+50916.06+85473.44</f>
        <v>140002</v>
      </c>
      <c r="G195" s="18">
        <f>3470+47831.79</f>
        <v>51301.79</v>
      </c>
      <c r="H195" s="18">
        <f>6715.4+1165.84</f>
        <v>7881.24</v>
      </c>
      <c r="I195" s="18">
        <f>140.3+6666.42+18325.73</f>
        <v>25132.45</v>
      </c>
      <c r="J195" s="18">
        <v>6844.57</v>
      </c>
      <c r="K195" s="18"/>
      <c r="L195" s="19">
        <f t="shared" si="0"/>
        <v>231162.05000000002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15125</v>
      </c>
      <c r="G196" s="18">
        <v>875.35</v>
      </c>
      <c r="H196" s="18">
        <f>15639.31+80605</f>
        <v>96244.31</v>
      </c>
      <c r="I196" s="18"/>
      <c r="J196" s="18"/>
      <c r="K196" s="18">
        <v>5747.9</v>
      </c>
      <c r="L196" s="19">
        <f t="shared" si="0"/>
        <v>117992.56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154875.19</v>
      </c>
      <c r="G197" s="18">
        <f>31579.38+2000</f>
        <v>33579.380000000005</v>
      </c>
      <c r="H197" s="18">
        <v>8252.2999999999993</v>
      </c>
      <c r="I197" s="18">
        <v>4440.24</v>
      </c>
      <c r="J197" s="18"/>
      <c r="K197" s="18">
        <v>1164</v>
      </c>
      <c r="L197" s="19">
        <f t="shared" si="0"/>
        <v>202311.11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116798.73</v>
      </c>
      <c r="G199" s="18">
        <v>48199.199999999997</v>
      </c>
      <c r="H199" s="18">
        <f>66075.45+14597</f>
        <v>80672.45</v>
      </c>
      <c r="I199" s="18">
        <v>88187.02</v>
      </c>
      <c r="J199" s="18">
        <v>16604.2</v>
      </c>
      <c r="K199" s="18">
        <v>236</v>
      </c>
      <c r="L199" s="19">
        <f t="shared" si="0"/>
        <v>350697.60000000003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203961.54</v>
      </c>
      <c r="I200" s="18"/>
      <c r="J200" s="18"/>
      <c r="K200" s="18"/>
      <c r="L200" s="19">
        <f t="shared" si="0"/>
        <v>203961.54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>
        <v>239</v>
      </c>
      <c r="L201" s="19">
        <f>SUM(F201:K201)</f>
        <v>239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2723993.9699999997</v>
      </c>
      <c r="G203" s="41">
        <f t="shared" si="1"/>
        <v>903781.70999999985</v>
      </c>
      <c r="H203" s="41">
        <f t="shared" si="1"/>
        <v>1028230.77</v>
      </c>
      <c r="I203" s="41">
        <f t="shared" si="1"/>
        <v>158800.5</v>
      </c>
      <c r="J203" s="41">
        <f t="shared" si="1"/>
        <v>27861.78</v>
      </c>
      <c r="K203" s="41">
        <f t="shared" si="1"/>
        <v>8051.9</v>
      </c>
      <c r="L203" s="41">
        <f t="shared" si="1"/>
        <v>4850720.63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2723993.9699999997</v>
      </c>
      <c r="G249" s="41">
        <f t="shared" si="8"/>
        <v>903781.70999999985</v>
      </c>
      <c r="H249" s="41">
        <f t="shared" si="8"/>
        <v>1028230.77</v>
      </c>
      <c r="I249" s="41">
        <f t="shared" si="8"/>
        <v>158800.5</v>
      </c>
      <c r="J249" s="41">
        <f t="shared" si="8"/>
        <v>27861.78</v>
      </c>
      <c r="K249" s="41">
        <f t="shared" si="8"/>
        <v>8051.9</v>
      </c>
      <c r="L249" s="41">
        <f t="shared" si="8"/>
        <v>4850720.63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45000</v>
      </c>
      <c r="L252" s="19">
        <f>SUM(F252:K252)</f>
        <v>45000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49512.5</v>
      </c>
      <c r="L253" s="19">
        <f>SUM(F253:K253)</f>
        <v>49512.5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17400</v>
      </c>
      <c r="L255" s="19">
        <f>SUM(F255:K255)</f>
        <v>17400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111912.5</v>
      </c>
      <c r="L262" s="41">
        <f t="shared" si="9"/>
        <v>111912.5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2723993.9699999997</v>
      </c>
      <c r="G263" s="42">
        <f t="shared" si="11"/>
        <v>903781.70999999985</v>
      </c>
      <c r="H263" s="42">
        <f t="shared" si="11"/>
        <v>1028230.77</v>
      </c>
      <c r="I263" s="42">
        <f t="shared" si="11"/>
        <v>158800.5</v>
      </c>
      <c r="J263" s="42">
        <f t="shared" si="11"/>
        <v>27861.78</v>
      </c>
      <c r="K263" s="42">
        <f t="shared" si="11"/>
        <v>119964.4</v>
      </c>
      <c r="L263" s="42">
        <f t="shared" si="11"/>
        <v>4962633.13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14152.5</v>
      </c>
      <c r="G268" s="18">
        <v>1101.44</v>
      </c>
      <c r="H268" s="18">
        <f>803+146.36-18.73</f>
        <v>930.63</v>
      </c>
      <c r="I268" s="18">
        <v>5343.96</v>
      </c>
      <c r="J268" s="18"/>
      <c r="K268" s="18"/>
      <c r="L268" s="19">
        <f>SUM(F268:K268)</f>
        <v>21528.53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33076.910000000003</v>
      </c>
      <c r="G269" s="18">
        <v>2813.16</v>
      </c>
      <c r="H269" s="18">
        <f>4315.23+68.02-195.84</f>
        <v>4187.41</v>
      </c>
      <c r="I269" s="18">
        <v>8379.26</v>
      </c>
      <c r="J269" s="18">
        <v>33743.47</v>
      </c>
      <c r="K269" s="18"/>
      <c r="L269" s="19">
        <f>SUM(F269:K269)</f>
        <v>82200.210000000021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4435.55</v>
      </c>
      <c r="I274" s="18">
        <v>10393.299999999999</v>
      </c>
      <c r="J274" s="18"/>
      <c r="K274" s="18"/>
      <c r="L274" s="19">
        <f t="shared" si="12"/>
        <v>14828.849999999999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f>1072.49+643.87-1066.46</f>
        <v>649.90000000000009</v>
      </c>
      <c r="L275" s="19">
        <f t="shared" si="12"/>
        <v>649.90000000000009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47229.41</v>
      </c>
      <c r="G282" s="42">
        <f t="shared" si="13"/>
        <v>3914.6</v>
      </c>
      <c r="H282" s="42">
        <f t="shared" si="13"/>
        <v>9553.59</v>
      </c>
      <c r="I282" s="42">
        <f t="shared" si="13"/>
        <v>24116.52</v>
      </c>
      <c r="J282" s="42">
        <f t="shared" si="13"/>
        <v>33743.47</v>
      </c>
      <c r="K282" s="42">
        <f t="shared" si="13"/>
        <v>649.90000000000009</v>
      </c>
      <c r="L282" s="41">
        <f t="shared" si="13"/>
        <v>119207.49000000002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47229.41</v>
      </c>
      <c r="G330" s="41">
        <f t="shared" si="20"/>
        <v>3914.6</v>
      </c>
      <c r="H330" s="41">
        <f t="shared" si="20"/>
        <v>9553.59</v>
      </c>
      <c r="I330" s="41">
        <f t="shared" si="20"/>
        <v>24116.52</v>
      </c>
      <c r="J330" s="41">
        <f t="shared" si="20"/>
        <v>33743.47</v>
      </c>
      <c r="K330" s="41">
        <f t="shared" si="20"/>
        <v>649.90000000000009</v>
      </c>
      <c r="L330" s="41">
        <f t="shared" si="20"/>
        <v>119207.49000000002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47229.41</v>
      </c>
      <c r="G344" s="41">
        <f>G330</f>
        <v>3914.6</v>
      </c>
      <c r="H344" s="41">
        <f>H330</f>
        <v>9553.59</v>
      </c>
      <c r="I344" s="41">
        <f>I330</f>
        <v>24116.52</v>
      </c>
      <c r="J344" s="41">
        <f>J330</f>
        <v>33743.47</v>
      </c>
      <c r="K344" s="47">
        <f>K330+K343</f>
        <v>649.90000000000009</v>
      </c>
      <c r="L344" s="41">
        <f>L330+L343</f>
        <v>119207.49000000002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65234.46</v>
      </c>
      <c r="G350" s="18"/>
      <c r="H350" s="18">
        <v>328.3</v>
      </c>
      <c r="I350" s="18">
        <f>2577.44+47712.49+5615.55+119.56</f>
        <v>56025.04</v>
      </c>
      <c r="J350" s="18"/>
      <c r="K350" s="18"/>
      <c r="L350" s="13">
        <f>SUM(F350:K350)</f>
        <v>121587.79999999999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65234.46</v>
      </c>
      <c r="G354" s="47">
        <f t="shared" si="22"/>
        <v>0</v>
      </c>
      <c r="H354" s="47">
        <f t="shared" si="22"/>
        <v>328.3</v>
      </c>
      <c r="I354" s="47">
        <f t="shared" si="22"/>
        <v>56025.04</v>
      </c>
      <c r="J354" s="47">
        <f t="shared" si="22"/>
        <v>0</v>
      </c>
      <c r="K354" s="47">
        <f t="shared" si="22"/>
        <v>0</v>
      </c>
      <c r="L354" s="47">
        <f t="shared" si="22"/>
        <v>121587.79999999999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47712.49+5615.55+119.56</f>
        <v>53447.6</v>
      </c>
      <c r="G359" s="18"/>
      <c r="H359" s="18"/>
      <c r="I359" s="56">
        <f>SUM(F359:H359)</f>
        <v>53447.6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2577.44</v>
      </c>
      <c r="G360" s="63"/>
      <c r="H360" s="63"/>
      <c r="I360" s="56">
        <f>SUM(F360:H360)</f>
        <v>2577.44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56025.04</v>
      </c>
      <c r="G361" s="47">
        <f>SUM(G359:G360)</f>
        <v>0</v>
      </c>
      <c r="H361" s="47">
        <f>SUM(H359:H360)</f>
        <v>0</v>
      </c>
      <c r="I361" s="47">
        <f>SUM(I359:I360)</f>
        <v>56025.04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3.68</v>
      </c>
      <c r="I384" s="18"/>
      <c r="J384" s="24" t="s">
        <v>312</v>
      </c>
      <c r="K384" s="24" t="s">
        <v>312</v>
      </c>
      <c r="L384" s="56">
        <f t="shared" si="25"/>
        <v>3.68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3.68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3.68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3.68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3.68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1480.46</v>
      </c>
      <c r="G432" s="18"/>
      <c r="H432" s="18"/>
      <c r="I432" s="56">
        <f t="shared" si="33"/>
        <v>1480.46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1480.46</v>
      </c>
      <c r="G438" s="13">
        <f>SUM(G431:G437)</f>
        <v>0</v>
      </c>
      <c r="H438" s="13">
        <f>SUM(H431:H437)</f>
        <v>0</v>
      </c>
      <c r="I438" s="13">
        <f>SUM(I431:I437)</f>
        <v>1480.46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1480.46</v>
      </c>
      <c r="G449" s="18"/>
      <c r="H449" s="18"/>
      <c r="I449" s="56">
        <f>SUM(F449:H449)</f>
        <v>1480.46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1480.46</v>
      </c>
      <c r="G450" s="83">
        <f>SUM(G446:G449)</f>
        <v>0</v>
      </c>
      <c r="H450" s="83">
        <f>SUM(H446:H449)</f>
        <v>0</v>
      </c>
      <c r="I450" s="83">
        <f>SUM(I446:I449)</f>
        <v>1480.46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1480.46</v>
      </c>
      <c r="G451" s="42">
        <f>G444+G450</f>
        <v>0</v>
      </c>
      <c r="H451" s="42">
        <f>H444+H450</f>
        <v>0</v>
      </c>
      <c r="I451" s="42">
        <f>I444+I450</f>
        <v>1480.46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203540.68</v>
      </c>
      <c r="G455" s="18">
        <v>249.23</v>
      </c>
      <c r="H455" s="18">
        <v>0</v>
      </c>
      <c r="I455" s="18"/>
      <c r="J455" s="18">
        <v>1476.78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4959619.66</v>
      </c>
      <c r="G458" s="18">
        <v>121890.64</v>
      </c>
      <c r="H458" s="18">
        <v>119207.49</v>
      </c>
      <c r="I458" s="18"/>
      <c r="J458" s="18">
        <v>3.68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4959619.66</v>
      </c>
      <c r="G460" s="53">
        <f>SUM(G458:G459)</f>
        <v>121890.64</v>
      </c>
      <c r="H460" s="53">
        <f>SUM(H458:H459)</f>
        <v>119207.49</v>
      </c>
      <c r="I460" s="53">
        <f>SUM(I458:I459)</f>
        <v>0</v>
      </c>
      <c r="J460" s="53">
        <f>SUM(J458:J459)</f>
        <v>3.68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4962633.13</v>
      </c>
      <c r="G462" s="18">
        <v>121587.8</v>
      </c>
      <c r="H462" s="18">
        <v>119207.49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4962633.13</v>
      </c>
      <c r="G464" s="53">
        <f>SUM(G462:G463)</f>
        <v>121587.8</v>
      </c>
      <c r="H464" s="53">
        <f>SUM(H462:H463)</f>
        <v>119207.49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200527.20999999996</v>
      </c>
      <c r="G466" s="53">
        <f>(G455+G460)- G464</f>
        <v>552.06999999999243</v>
      </c>
      <c r="H466" s="53">
        <f>(H455+H460)- H464</f>
        <v>0</v>
      </c>
      <c r="I466" s="53">
        <f>(I455+I460)- I464</f>
        <v>0</v>
      </c>
      <c r="J466" s="53">
        <f>(J455+J460)- J464</f>
        <v>1480.46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4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1468000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1020000</v>
      </c>
      <c r="G485" s="18"/>
      <c r="H485" s="18"/>
      <c r="I485" s="18"/>
      <c r="J485" s="18"/>
      <c r="K485" s="53">
        <f>SUM(F485:J485)</f>
        <v>1020000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f>45000+49512.5</f>
        <v>94512.5</v>
      </c>
      <c r="G487" s="18"/>
      <c r="H487" s="18"/>
      <c r="I487" s="18"/>
      <c r="J487" s="18"/>
      <c r="K487" s="53">
        <f t="shared" si="34"/>
        <v>94512.5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975000</v>
      </c>
      <c r="G488" s="205"/>
      <c r="H488" s="205"/>
      <c r="I488" s="205"/>
      <c r="J488" s="205"/>
      <c r="K488" s="206">
        <f t="shared" si="34"/>
        <v>975000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407493.75</v>
      </c>
      <c r="G489" s="18"/>
      <c r="H489" s="18"/>
      <c r="I489" s="18"/>
      <c r="J489" s="18"/>
      <c r="K489" s="53">
        <f t="shared" si="34"/>
        <v>407493.75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1382493.75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1382493.75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45000</v>
      </c>
      <c r="G491" s="205"/>
      <c r="H491" s="205"/>
      <c r="I491" s="205"/>
      <c r="J491" s="205"/>
      <c r="K491" s="206">
        <f t="shared" si="34"/>
        <v>45000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24193.75+23068.75</f>
        <v>47262.5</v>
      </c>
      <c r="G492" s="18"/>
      <c r="H492" s="18"/>
      <c r="I492" s="18"/>
      <c r="J492" s="18"/>
      <c r="K492" s="53">
        <f t="shared" si="34"/>
        <v>47262.5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92262.5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92262.5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273304.48+72214.96+148469.8</f>
        <v>493989.24</v>
      </c>
      <c r="G511" s="18">
        <v>211458.82</v>
      </c>
      <c r="H511" s="18">
        <f>615730.5-19574.59</f>
        <v>596155.91</v>
      </c>
      <c r="I511" s="18">
        <v>2553.62</v>
      </c>
      <c r="J511" s="18">
        <v>178.02</v>
      </c>
      <c r="K511" s="18">
        <v>530</v>
      </c>
      <c r="L511" s="88">
        <f>SUM(F511:K511)</f>
        <v>1304865.6100000003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493989.24</v>
      </c>
      <c r="G514" s="108">
        <f t="shared" ref="G514:L514" si="35">SUM(G511:G513)</f>
        <v>211458.82</v>
      </c>
      <c r="H514" s="108">
        <f t="shared" si="35"/>
        <v>596155.91</v>
      </c>
      <c r="I514" s="108">
        <f t="shared" si="35"/>
        <v>2553.62</v>
      </c>
      <c r="J514" s="108">
        <f t="shared" si="35"/>
        <v>178.02</v>
      </c>
      <c r="K514" s="108">
        <f t="shared" si="35"/>
        <v>530</v>
      </c>
      <c r="L514" s="89">
        <f t="shared" si="35"/>
        <v>1304865.6100000003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92515</v>
      </c>
      <c r="G516" s="18">
        <v>16997.95</v>
      </c>
      <c r="H516" s="18"/>
      <c r="I516" s="18"/>
      <c r="J516" s="18"/>
      <c r="K516" s="18"/>
      <c r="L516" s="88">
        <f>SUM(F516:K516)</f>
        <v>109512.95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92515</v>
      </c>
      <c r="G519" s="89">
        <f t="shared" ref="G519:L519" si="36">SUM(G516:G518)</f>
        <v>16997.95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109512.95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81676+19767.66</f>
        <v>101443.66</v>
      </c>
      <c r="G521" s="18">
        <v>26427.439999999999</v>
      </c>
      <c r="H521" s="18"/>
      <c r="I521" s="18"/>
      <c r="J521" s="18"/>
      <c r="K521" s="18"/>
      <c r="L521" s="88">
        <f>SUM(F521:K521)</f>
        <v>127871.1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101443.66</v>
      </c>
      <c r="G524" s="89">
        <f t="shared" ref="G524:L524" si="37">SUM(G521:G523)</f>
        <v>26427.439999999999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127871.1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19574.59</v>
      </c>
      <c r="I526" s="18"/>
      <c r="J526" s="18"/>
      <c r="K526" s="18"/>
      <c r="L526" s="88">
        <f>SUM(F526:K526)</f>
        <v>19574.59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19574.59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19574.59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47743.839999999997</v>
      </c>
      <c r="I531" s="18"/>
      <c r="J531" s="18"/>
      <c r="K531" s="18"/>
      <c r="L531" s="88">
        <f>SUM(F531:K531)</f>
        <v>47743.839999999997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47743.839999999997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47743.839999999997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687947.9</v>
      </c>
      <c r="G535" s="89">
        <f t="shared" ref="G535:L535" si="40">G514+G519+G524+G529+G534</f>
        <v>254884.21000000002</v>
      </c>
      <c r="H535" s="89">
        <f t="shared" si="40"/>
        <v>663474.34</v>
      </c>
      <c r="I535" s="89">
        <f t="shared" si="40"/>
        <v>2553.62</v>
      </c>
      <c r="J535" s="89">
        <f t="shared" si="40"/>
        <v>178.02</v>
      </c>
      <c r="K535" s="89">
        <f t="shared" si="40"/>
        <v>530</v>
      </c>
      <c r="L535" s="89">
        <f t="shared" si="40"/>
        <v>1609568.0900000005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1304865.6100000003</v>
      </c>
      <c r="G539" s="87">
        <f>L516</f>
        <v>109512.95</v>
      </c>
      <c r="H539" s="87">
        <f>L521</f>
        <v>127871.1</v>
      </c>
      <c r="I539" s="87">
        <f>L526</f>
        <v>19574.59</v>
      </c>
      <c r="J539" s="87">
        <f>L531</f>
        <v>47743.839999999997</v>
      </c>
      <c r="K539" s="87">
        <f>SUM(F539:J539)</f>
        <v>1609568.0900000005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1304865.6100000003</v>
      </c>
      <c r="G542" s="89">
        <f t="shared" si="41"/>
        <v>109512.95</v>
      </c>
      <c r="H542" s="89">
        <f t="shared" si="41"/>
        <v>127871.1</v>
      </c>
      <c r="I542" s="89">
        <f t="shared" si="41"/>
        <v>19574.59</v>
      </c>
      <c r="J542" s="89">
        <f t="shared" si="41"/>
        <v>47743.839999999997</v>
      </c>
      <c r="K542" s="89">
        <f t="shared" si="41"/>
        <v>1609568.0900000005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138780.5</v>
      </c>
      <c r="G572" s="18"/>
      <c r="H572" s="18"/>
      <c r="I572" s="87">
        <f t="shared" si="46"/>
        <v>138780.5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312885.3</v>
      </c>
      <c r="G573" s="18"/>
      <c r="H573" s="18"/>
      <c r="I573" s="87">
        <f t="shared" si="46"/>
        <v>312885.3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141563.16+10845.64</f>
        <v>152408.79999999999</v>
      </c>
      <c r="I581" s="18"/>
      <c r="J581" s="18"/>
      <c r="K581" s="104">
        <f t="shared" ref="K581:K587" si="47">SUM(H581:J581)</f>
        <v>152408.79999999999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47743.839999999997</v>
      </c>
      <c r="I582" s="18"/>
      <c r="J582" s="18"/>
      <c r="K582" s="104">
        <f t="shared" si="47"/>
        <v>47743.839999999997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3358.9</v>
      </c>
      <c r="I584" s="18"/>
      <c r="J584" s="18"/>
      <c r="K584" s="104">
        <f t="shared" si="47"/>
        <v>3358.9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450</v>
      </c>
      <c r="I585" s="18"/>
      <c r="J585" s="18"/>
      <c r="K585" s="104">
        <f t="shared" si="47"/>
        <v>450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203961.53999999998</v>
      </c>
      <c r="I588" s="108">
        <f>SUM(I581:I587)</f>
        <v>0</v>
      </c>
      <c r="J588" s="108">
        <f>SUM(J581:J587)</f>
        <v>0</v>
      </c>
      <c r="K588" s="108">
        <f>SUM(K581:K587)</f>
        <v>203961.53999999998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9600</v>
      </c>
      <c r="I593" s="18"/>
      <c r="J593" s="18"/>
      <c r="K593" s="104">
        <f>SUM(H593:J593)</f>
        <v>9600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27861.78-9600+33743.47</f>
        <v>52005.25</v>
      </c>
      <c r="I594" s="18"/>
      <c r="J594" s="18"/>
      <c r="K594" s="104">
        <f>SUM(H594:J594)</f>
        <v>52005.25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61605.25</v>
      </c>
      <c r="I595" s="108">
        <f>SUM(I592:I594)</f>
        <v>0</v>
      </c>
      <c r="J595" s="108">
        <f>SUM(J592:J594)</f>
        <v>0</v>
      </c>
      <c r="K595" s="108">
        <f>SUM(K592:K594)</f>
        <v>61605.25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267322.82000000007</v>
      </c>
      <c r="H607" s="109">
        <f>SUM(F44)</f>
        <v>267322.82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19642.149999999998</v>
      </c>
      <c r="H608" s="109">
        <f>SUM(G44)</f>
        <v>19642.150000000001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13962.05</v>
      </c>
      <c r="H609" s="109">
        <f>SUM(H44)</f>
        <v>13962.050000000001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1480.46</v>
      </c>
      <c r="H611" s="109">
        <f>SUM(J44)</f>
        <v>1480.46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200527.21000000002</v>
      </c>
      <c r="H612" s="109">
        <f>F466</f>
        <v>200527.20999999996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552.06999999999994</v>
      </c>
      <c r="H613" s="109">
        <f>G466</f>
        <v>552.06999999999243</v>
      </c>
      <c r="I613" s="121" t="s">
        <v>108</v>
      </c>
      <c r="J613" s="109">
        <f t="shared" si="49"/>
        <v>7.503331289626658E-12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1480.46</v>
      </c>
      <c r="H616" s="109">
        <f>J466</f>
        <v>1480.46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4959619.6599999992</v>
      </c>
      <c r="H617" s="104">
        <f>SUM(F458)</f>
        <v>4959619.66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121890.64000000001</v>
      </c>
      <c r="H618" s="104">
        <f>SUM(G458)</f>
        <v>121890.64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119207.48999999999</v>
      </c>
      <c r="H619" s="104">
        <f>SUM(H458)</f>
        <v>119207.49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3.68</v>
      </c>
      <c r="H621" s="104">
        <f>SUM(J458)</f>
        <v>3.68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4962633.13</v>
      </c>
      <c r="H622" s="104">
        <f>SUM(F462)</f>
        <v>4962633.13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119207.49000000002</v>
      </c>
      <c r="H623" s="104">
        <f>SUM(H462)</f>
        <v>119207.49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56025.04</v>
      </c>
      <c r="H624" s="104">
        <f>I361</f>
        <v>56025.04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121587.79999999999</v>
      </c>
      <c r="H625" s="104">
        <f>SUM(G462)</f>
        <v>121587.8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3.68</v>
      </c>
      <c r="H627" s="164">
        <f>SUM(J458)</f>
        <v>3.68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1480.46</v>
      </c>
      <c r="H629" s="104">
        <f>SUM(F451)</f>
        <v>1480.46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1480.46</v>
      </c>
      <c r="H632" s="104">
        <f>SUM(I451)</f>
        <v>1480.46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3.68</v>
      </c>
      <c r="H634" s="104">
        <f>H400</f>
        <v>3.68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3.68</v>
      </c>
      <c r="H636" s="104">
        <f>L400</f>
        <v>3.68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203961.53999999998</v>
      </c>
      <c r="H637" s="104">
        <f>L200+L218+L236</f>
        <v>203961.54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61605.25</v>
      </c>
      <c r="H638" s="104">
        <f>(J249+J330)-(J247+J328)</f>
        <v>61605.25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203961.54</v>
      </c>
      <c r="H639" s="104">
        <f>H588</f>
        <v>203961.53999999998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17400</v>
      </c>
      <c r="H642" s="104">
        <f>K255+K337</f>
        <v>17400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5091515.92</v>
      </c>
      <c r="G650" s="19">
        <f>(L221+L301+L351)</f>
        <v>0</v>
      </c>
      <c r="H650" s="19">
        <f>(L239+L320+L352)</f>
        <v>0</v>
      </c>
      <c r="I650" s="19">
        <f>SUM(F650:H650)</f>
        <v>5091515.92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80905.320000000007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80905.320000000007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203961.54</v>
      </c>
      <c r="G652" s="19">
        <f>(L218+L298)-(J218+J298)</f>
        <v>0</v>
      </c>
      <c r="H652" s="19">
        <f>(L236+L317)-(J236+J317)</f>
        <v>0</v>
      </c>
      <c r="I652" s="19">
        <f>SUM(F652:H652)</f>
        <v>203961.54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513271.05</v>
      </c>
      <c r="G653" s="200">
        <f>SUM(G565:G577)+SUM(I592:I594)+L602</f>
        <v>0</v>
      </c>
      <c r="H653" s="200">
        <f>SUM(H565:H577)+SUM(J592:J594)+L603</f>
        <v>0</v>
      </c>
      <c r="I653" s="19">
        <f>SUM(F653:H653)</f>
        <v>513271.05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4293378.01</v>
      </c>
      <c r="G654" s="19">
        <f>G650-SUM(G651:G653)</f>
        <v>0</v>
      </c>
      <c r="H654" s="19">
        <f>H650-SUM(H651:H653)</f>
        <v>0</v>
      </c>
      <c r="I654" s="19">
        <f>I650-SUM(I651:I653)</f>
        <v>4293378.01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258.87</v>
      </c>
      <c r="G655" s="249"/>
      <c r="H655" s="249"/>
      <c r="I655" s="19">
        <f>SUM(F655:H655)</f>
        <v>258.87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16585.07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16585.07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16585.07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16585.07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4200-9D2C-4CB9-BC8F-CBF4FF13814B}">
  <sheetPr>
    <tabColor indexed="20"/>
  </sheetPr>
  <dimension ref="A1:C52"/>
  <sheetViews>
    <sheetView topLeftCell="A4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Hampton Falls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1498614.17</v>
      </c>
      <c r="C9" s="230">
        <f>'DOE25'!G189+'DOE25'!G207+'DOE25'!G225+'DOE25'!G268+'DOE25'!G287+'DOE25'!G306</f>
        <v>501765.54</v>
      </c>
    </row>
    <row r="10" spans="1:3" x14ac:dyDescent="0.2">
      <c r="A10" t="s">
        <v>813</v>
      </c>
      <c r="B10" s="241">
        <f>1415765.61+1350</f>
        <v>1417115.61</v>
      </c>
      <c r="C10" s="241">
        <f>453708.58+1420+3.15-0.21</f>
        <v>455131.52</v>
      </c>
    </row>
    <row r="11" spans="1:3" x14ac:dyDescent="0.2">
      <c r="A11" t="s">
        <v>814</v>
      </c>
      <c r="B11" s="241">
        <f>41576.7+12802.5</f>
        <v>54379.199999999997</v>
      </c>
      <c r="C11" s="241">
        <f>1101.44+43663.35</f>
        <v>44764.79</v>
      </c>
    </row>
    <row r="12" spans="1:3" x14ac:dyDescent="0.2">
      <c r="A12" t="s">
        <v>815</v>
      </c>
      <c r="B12" s="241">
        <v>27119.360000000001</v>
      </c>
      <c r="C12" s="241">
        <v>1869.23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1498614.1700000002</v>
      </c>
      <c r="C13" s="232">
        <f>SUM(C10:C12)</f>
        <v>501765.54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628509.81000000006</v>
      </c>
      <c r="C18" s="230">
        <f>'DOE25'!G190+'DOE25'!G208+'DOE25'!G226+'DOE25'!G269+'DOE25'!G288+'DOE25'!G307</f>
        <v>240691.97</v>
      </c>
    </row>
    <row r="19" spans="1:3" x14ac:dyDescent="0.2">
      <c r="A19" t="s">
        <v>813</v>
      </c>
      <c r="B19" s="241">
        <f>273304.48+72214.96+5094.5</f>
        <v>350613.94</v>
      </c>
      <c r="C19" s="241">
        <f>94463.98-7.45</f>
        <v>94456.53</v>
      </c>
    </row>
    <row r="20" spans="1:3" x14ac:dyDescent="0.2">
      <c r="A20" t="s">
        <v>814</v>
      </c>
      <c r="B20" s="241">
        <f>148469.8+27982.41</f>
        <v>176452.21</v>
      </c>
      <c r="C20" s="241">
        <f>2813.16+116994.84</f>
        <v>119808</v>
      </c>
    </row>
    <row r="21" spans="1:3" x14ac:dyDescent="0.2">
      <c r="A21" t="s">
        <v>815</v>
      </c>
      <c r="B21" s="241">
        <f>81676+19767.66</f>
        <v>101443.66</v>
      </c>
      <c r="C21" s="241">
        <v>26427.439999999999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628509.81000000006</v>
      </c>
      <c r="C22" s="232">
        <f>SUM(C19:C21)</f>
        <v>240691.97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25851</v>
      </c>
      <c r="C36" s="236">
        <f>'DOE25'!G192+'DOE25'!G210+'DOE25'!G228+'DOE25'!G271+'DOE25'!G290+'DOE25'!G309</f>
        <v>1963.34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25851</v>
      </c>
      <c r="C39" s="241">
        <v>1963.34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25851</v>
      </c>
      <c r="C40" s="232">
        <f>SUM(C37:C39)</f>
        <v>1963.34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5F6-84DD-45F7-8D5D-9D8BCAD80A71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Hampton Falls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3519374.6300000004</v>
      </c>
      <c r="D5" s="20">
        <f>SUM('DOE25'!L189:L192)+SUM('DOE25'!L207:L210)+SUM('DOE25'!L225:L228)-F5-G5</f>
        <v>3515231.6200000006</v>
      </c>
      <c r="E5" s="244"/>
      <c r="F5" s="256">
        <f>SUM('DOE25'!J189:J192)+SUM('DOE25'!J207:J210)+SUM('DOE25'!J225:J228)</f>
        <v>3613.01</v>
      </c>
      <c r="G5" s="53">
        <f>SUM('DOE25'!K189:K192)+SUM('DOE25'!K207:K210)+SUM('DOE25'!K225:K228)</f>
        <v>530</v>
      </c>
      <c r="H5" s="260"/>
    </row>
    <row r="6" spans="1:9" x14ac:dyDescent="0.2">
      <c r="A6" s="32">
        <v>2100</v>
      </c>
      <c r="B6" t="s">
        <v>835</v>
      </c>
      <c r="C6" s="246">
        <f t="shared" si="0"/>
        <v>224982.14</v>
      </c>
      <c r="D6" s="20">
        <f>'DOE25'!L194+'DOE25'!L212+'DOE25'!L230-F6-G6</f>
        <v>224047.14</v>
      </c>
      <c r="E6" s="244"/>
      <c r="F6" s="256">
        <f>'DOE25'!J194+'DOE25'!J212+'DOE25'!J230</f>
        <v>800</v>
      </c>
      <c r="G6" s="53">
        <f>'DOE25'!K194+'DOE25'!K212+'DOE25'!K230</f>
        <v>135</v>
      </c>
      <c r="H6" s="260"/>
    </row>
    <row r="7" spans="1:9" x14ac:dyDescent="0.2">
      <c r="A7" s="32">
        <v>2200</v>
      </c>
      <c r="B7" t="s">
        <v>868</v>
      </c>
      <c r="C7" s="246">
        <f t="shared" si="0"/>
        <v>231162.05000000002</v>
      </c>
      <c r="D7" s="20">
        <f>'DOE25'!L195+'DOE25'!L213+'DOE25'!L231-F7-G7</f>
        <v>224317.48</v>
      </c>
      <c r="E7" s="244"/>
      <c r="F7" s="256">
        <f>'DOE25'!J195+'DOE25'!J213+'DOE25'!J231</f>
        <v>6844.57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54630.730000000018</v>
      </c>
      <c r="D8" s="244"/>
      <c r="E8" s="20">
        <f>'DOE25'!L196+'DOE25'!L214+'DOE25'!L232-F8-G8-D9-D11</f>
        <v>48882.830000000016</v>
      </c>
      <c r="F8" s="256">
        <f>'DOE25'!J196+'DOE25'!J214+'DOE25'!J232</f>
        <v>0</v>
      </c>
      <c r="G8" s="53">
        <f>'DOE25'!K196+'DOE25'!K214+'DOE25'!K232</f>
        <v>5747.9</v>
      </c>
      <c r="H8" s="260"/>
    </row>
    <row r="9" spans="1:9" x14ac:dyDescent="0.2">
      <c r="A9" s="32">
        <v>2310</v>
      </c>
      <c r="B9" t="s">
        <v>852</v>
      </c>
      <c r="C9" s="246">
        <f t="shared" si="0"/>
        <v>36512.21</v>
      </c>
      <c r="D9" s="245">
        <v>36512.21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9008.5</v>
      </c>
      <c r="D10" s="244"/>
      <c r="E10" s="245">
        <v>9008.5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26849.62</v>
      </c>
      <c r="D11" s="245">
        <v>26849.62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202311.11</v>
      </c>
      <c r="D12" s="20">
        <f>'DOE25'!L197+'DOE25'!L215+'DOE25'!L233-F12-G12</f>
        <v>201147.11</v>
      </c>
      <c r="E12" s="244"/>
      <c r="F12" s="256">
        <f>'DOE25'!J197+'DOE25'!J215+'DOE25'!J233</f>
        <v>0</v>
      </c>
      <c r="G12" s="53">
        <f>'DOE25'!K197+'DOE25'!K215+'DOE25'!K233</f>
        <v>1164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350697.60000000003</v>
      </c>
      <c r="D14" s="20">
        <f>'DOE25'!L199+'DOE25'!L217+'DOE25'!L235-F14-G14</f>
        <v>333857.40000000002</v>
      </c>
      <c r="E14" s="244"/>
      <c r="F14" s="256">
        <f>'DOE25'!J199+'DOE25'!J217+'DOE25'!J235</f>
        <v>16604.2</v>
      </c>
      <c r="G14" s="53">
        <f>'DOE25'!K199+'DOE25'!K217+'DOE25'!K235</f>
        <v>236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203961.54</v>
      </c>
      <c r="D15" s="20">
        <f>'DOE25'!L200+'DOE25'!L218+'DOE25'!L236-F15-G15</f>
        <v>203961.54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239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239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94512.5</v>
      </c>
      <c r="D25" s="244"/>
      <c r="E25" s="244"/>
      <c r="F25" s="259"/>
      <c r="G25" s="257"/>
      <c r="H25" s="258">
        <f>'DOE25'!L252+'DOE25'!L253+'DOE25'!L333+'DOE25'!L334</f>
        <v>94512.5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68140.199999999983</v>
      </c>
      <c r="D29" s="20">
        <f>'DOE25'!L350+'DOE25'!L351+'DOE25'!L352-'DOE25'!I359-F29-G29</f>
        <v>68140.199999999983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119207.49000000002</v>
      </c>
      <c r="D31" s="20">
        <f>'DOE25'!L282+'DOE25'!L301+'DOE25'!L320+'DOE25'!L325+'DOE25'!L326+'DOE25'!L327-F31-G31</f>
        <v>84814.120000000024</v>
      </c>
      <c r="E31" s="244"/>
      <c r="F31" s="256">
        <f>'DOE25'!J282+'DOE25'!J301+'DOE25'!J320+'DOE25'!J325+'DOE25'!J326+'DOE25'!J327</f>
        <v>33743.47</v>
      </c>
      <c r="G31" s="53">
        <f>'DOE25'!K282+'DOE25'!K301+'DOE25'!K320+'DOE25'!K325+'DOE25'!K326+'DOE25'!K327</f>
        <v>649.90000000000009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4918878.4400000013</v>
      </c>
      <c r="E33" s="247">
        <f>SUM(E5:E31)</f>
        <v>57891.330000000016</v>
      </c>
      <c r="F33" s="247">
        <f>SUM(F5:F31)</f>
        <v>61605.25</v>
      </c>
      <c r="G33" s="247">
        <f>SUM(G5:G31)</f>
        <v>8701.7999999999993</v>
      </c>
      <c r="H33" s="247">
        <f>SUM(H5:H31)</f>
        <v>94512.5</v>
      </c>
    </row>
    <row r="35" spans="2:8" ht="12" thickBot="1" x14ac:dyDescent="0.25">
      <c r="B35" s="254" t="s">
        <v>881</v>
      </c>
      <c r="D35" s="255">
        <f>E33</f>
        <v>57891.330000000016</v>
      </c>
      <c r="E35" s="250"/>
    </row>
    <row r="36" spans="2:8" ht="12" thickTop="1" x14ac:dyDescent="0.2">
      <c r="B36" t="s">
        <v>849</v>
      </c>
      <c r="D36" s="20">
        <f>D33</f>
        <v>4918878.4400000013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1D67-85D6-4D86-A88A-8CC53962C452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Falls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229713.46000000002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1480.46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32408.26</v>
      </c>
      <c r="D12" s="95">
        <f>'DOE25'!G12</f>
        <v>17400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4719.34</v>
      </c>
      <c r="D13" s="95">
        <f>'DOE25'!G13</f>
        <v>1640.05</v>
      </c>
      <c r="E13" s="95">
        <f>'DOE25'!H13</f>
        <v>13962.05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481.76</v>
      </c>
      <c r="D14" s="95">
        <f>'DOE25'!G14</f>
        <v>602.1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267322.82000000007</v>
      </c>
      <c r="D19" s="41">
        <f>SUM(D9:D18)</f>
        <v>19642.149999999998</v>
      </c>
      <c r="E19" s="41">
        <f>SUM(E9:E18)</f>
        <v>13962.05</v>
      </c>
      <c r="F19" s="41">
        <f>SUM(F9:F18)</f>
        <v>0</v>
      </c>
      <c r="G19" s="41">
        <f>SUM(G9:G18)</f>
        <v>1480.46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17400</v>
      </c>
      <c r="D22" s="95">
        <f>'DOE25'!G23</f>
        <v>19090.080000000002</v>
      </c>
      <c r="E22" s="95">
        <f>'DOE25'!H23</f>
        <v>13318.18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50818.22</v>
      </c>
      <c r="D24" s="95">
        <f>'DOE25'!G25</f>
        <v>0</v>
      </c>
      <c r="E24" s="95">
        <f>'DOE25'!H25</f>
        <v>643.87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243.52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-1666.13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66795.61</v>
      </c>
      <c r="D32" s="41">
        <f>SUM(D22:D31)</f>
        <v>19090.080000000002</v>
      </c>
      <c r="E32" s="41">
        <f>SUM(E22:E31)</f>
        <v>13962.050000000001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32544.82</v>
      </c>
      <c r="D36" s="95">
        <f>'DOE25'!G37</f>
        <v>547.89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4.18</v>
      </c>
      <c r="E40" s="95">
        <f>'DOE25'!H41</f>
        <v>0</v>
      </c>
      <c r="F40" s="95">
        <f>'DOE25'!I41</f>
        <v>0</v>
      </c>
      <c r="G40" s="95">
        <f>'DOE25'!J41</f>
        <v>1480.46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167982.39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200527.21000000002</v>
      </c>
      <c r="D42" s="41">
        <f>SUM(D34:D41)</f>
        <v>552.06999999999994</v>
      </c>
      <c r="E42" s="41">
        <f>SUM(E34:E41)</f>
        <v>0</v>
      </c>
      <c r="F42" s="41">
        <f>SUM(F34:F41)</f>
        <v>0</v>
      </c>
      <c r="G42" s="41">
        <f>SUM(G34:G41)</f>
        <v>1480.46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267322.82</v>
      </c>
      <c r="D43" s="41">
        <f>D42+D32</f>
        <v>19642.150000000001</v>
      </c>
      <c r="E43" s="41">
        <f>E42+E32</f>
        <v>13962.050000000001</v>
      </c>
      <c r="F43" s="41">
        <f>F42+F32</f>
        <v>0</v>
      </c>
      <c r="G43" s="41">
        <f>G42+G32</f>
        <v>1480.46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3952850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452.85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3.68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80905.320000000007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3971.6499999999996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4424.5</v>
      </c>
      <c r="D54" s="130">
        <f>SUM(D49:D53)</f>
        <v>80905.320000000007</v>
      </c>
      <c r="E54" s="130">
        <f>SUM(E49:E53)</f>
        <v>0</v>
      </c>
      <c r="F54" s="130">
        <f>SUM(F49:F53)</f>
        <v>0</v>
      </c>
      <c r="G54" s="130">
        <f>SUM(G49:G53)</f>
        <v>3.68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3957274.5</v>
      </c>
      <c r="D55" s="22">
        <f>D48+D54</f>
        <v>80905.320000000007</v>
      </c>
      <c r="E55" s="22">
        <f>E48+E54</f>
        <v>0</v>
      </c>
      <c r="F55" s="22">
        <f>F48+F54</f>
        <v>0</v>
      </c>
      <c r="G55" s="22">
        <f>G48+G54</f>
        <v>3.68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27865.32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670900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10690.68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709456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249012.6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1489.52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249012.6</v>
      </c>
      <c r="D70" s="130">
        <f>SUM(D64:D69)</f>
        <v>1489.52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958468.6</v>
      </c>
      <c r="D73" s="130">
        <f>SUM(D71:D72)+D70+D62</f>
        <v>1489.52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43876.56</v>
      </c>
      <c r="D80" s="95">
        <f>SUM('DOE25'!G145:G153)</f>
        <v>16480.25</v>
      </c>
      <c r="E80" s="95">
        <f>SUM('DOE25'!H145:H153)</f>
        <v>119207.48999999999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5615.55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43876.56</v>
      </c>
      <c r="D83" s="131">
        <f>SUM(D77:D82)</f>
        <v>22095.8</v>
      </c>
      <c r="E83" s="131">
        <f>SUM(E77:E82)</f>
        <v>119207.48999999999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17400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17400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4959619.6599999992</v>
      </c>
      <c r="D96" s="86">
        <f>D55+D73+D83+D95</f>
        <v>121890.64000000001</v>
      </c>
      <c r="E96" s="86">
        <f>E55+E73+E83+E95</f>
        <v>119207.48999999999</v>
      </c>
      <c r="F96" s="86">
        <f>F55+F73+F83+F95</f>
        <v>0</v>
      </c>
      <c r="G96" s="86">
        <f>G55+G73+G95</f>
        <v>3.68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2028992.05</v>
      </c>
      <c r="D101" s="24" t="s">
        <v>312</v>
      </c>
      <c r="E101" s="95">
        <f>('DOE25'!L268)+('DOE25'!L287)+('DOE25'!L306)</f>
        <v>21528.53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1452303.85</v>
      </c>
      <c r="D102" s="24" t="s">
        <v>312</v>
      </c>
      <c r="E102" s="95">
        <f>('DOE25'!L269)+('DOE25'!L288)+('DOE25'!L307)</f>
        <v>82200.210000000021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38078.730000000003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3519374.6300000004</v>
      </c>
      <c r="D107" s="86">
        <f>SUM(D101:D106)</f>
        <v>0</v>
      </c>
      <c r="E107" s="86">
        <f>SUM(E101:E106)</f>
        <v>103728.74000000002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224982.14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231162.05000000002</v>
      </c>
      <c r="D111" s="24" t="s">
        <v>312</v>
      </c>
      <c r="E111" s="95">
        <f>+('DOE25'!L274)+('DOE25'!L293)+('DOE25'!L312)</f>
        <v>14828.849999999999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117992.56</v>
      </c>
      <c r="D112" s="24" t="s">
        <v>312</v>
      </c>
      <c r="E112" s="95">
        <f>+('DOE25'!L275)+('DOE25'!L294)+('DOE25'!L313)</f>
        <v>649.90000000000009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202311.11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350697.60000000003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203961.54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239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121587.79999999999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1331346</v>
      </c>
      <c r="D120" s="86">
        <f>SUM(D110:D119)</f>
        <v>121587.79999999999</v>
      </c>
      <c r="E120" s="86">
        <f>SUM(E110:E119)</f>
        <v>15478.749999999998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49512.5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17400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3.68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-3.68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111912.5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4962633.1300000008</v>
      </c>
      <c r="D137" s="86">
        <f>(D107+D120+D136)</f>
        <v>121587.79999999999</v>
      </c>
      <c r="E137" s="86">
        <f>(E107+E120+E136)</f>
        <v>119207.49000000002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August 2004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August 2024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1468000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1020000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1020000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94512.5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94512.5</v>
      </c>
    </row>
    <row r="151" spans="1:7" x14ac:dyDescent="0.2">
      <c r="A151" s="22" t="s">
        <v>35</v>
      </c>
      <c r="B151" s="137">
        <f>'DOE25'!F488</f>
        <v>975000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975000</v>
      </c>
    </row>
    <row r="152" spans="1:7" x14ac:dyDescent="0.2">
      <c r="A152" s="22" t="s">
        <v>36</v>
      </c>
      <c r="B152" s="137">
        <f>'DOE25'!F489</f>
        <v>407493.75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407493.75</v>
      </c>
    </row>
    <row r="153" spans="1:7" x14ac:dyDescent="0.2">
      <c r="A153" s="22" t="s">
        <v>37</v>
      </c>
      <c r="B153" s="137">
        <f>'DOE25'!F490</f>
        <v>1382493.75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1382493.75</v>
      </c>
    </row>
    <row r="154" spans="1:7" x14ac:dyDescent="0.2">
      <c r="A154" s="22" t="s">
        <v>38</v>
      </c>
      <c r="B154" s="137">
        <f>'DOE25'!F491</f>
        <v>45000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45000</v>
      </c>
    </row>
    <row r="155" spans="1:7" x14ac:dyDescent="0.2">
      <c r="A155" s="22" t="s">
        <v>39</v>
      </c>
      <c r="B155" s="137">
        <f>'DOE25'!F492</f>
        <v>47262.5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47262.5</v>
      </c>
    </row>
    <row r="156" spans="1:7" x14ac:dyDescent="0.2">
      <c r="A156" s="22" t="s">
        <v>269</v>
      </c>
      <c r="B156" s="137">
        <f>'DOE25'!F493</f>
        <v>92262.5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92262.5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21EC-2607-4B62-97AE-2C2BAA617B68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Hampton Falls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16585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16585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2050521</v>
      </c>
      <c r="D10" s="182">
        <f>ROUND((C10/$C$28)*100,1)</f>
        <v>40.5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1534504</v>
      </c>
      <c r="D11" s="182">
        <f>ROUND((C11/$C$28)*100,1)</f>
        <v>30.3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38079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224982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245991</v>
      </c>
      <c r="D16" s="182">
        <f t="shared" si="0"/>
        <v>4.9000000000000004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118881</v>
      </c>
      <c r="D17" s="182">
        <f t="shared" si="0"/>
        <v>2.2999999999999998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202311</v>
      </c>
      <c r="D18" s="182">
        <f t="shared" si="0"/>
        <v>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350698</v>
      </c>
      <c r="D20" s="182">
        <f t="shared" si="0"/>
        <v>6.9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203962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49513</v>
      </c>
      <c r="D25" s="182">
        <f t="shared" si="0"/>
        <v>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40682.679999999993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5060124.68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5060124.68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3952850</v>
      </c>
      <c r="D35" s="182">
        <f t="shared" ref="D35:D40" si="1">ROUND((C35/$C$41)*100,1)</f>
        <v>77.5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4428.1800000001676</v>
      </c>
      <c r="D36" s="182">
        <f t="shared" si="1"/>
        <v>0.1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698765</v>
      </c>
      <c r="D37" s="182">
        <f t="shared" si="1"/>
        <v>13.7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261193</v>
      </c>
      <c r="D38" s="182">
        <f t="shared" si="1"/>
        <v>5.0999999999999996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185180</v>
      </c>
      <c r="D39" s="182">
        <f t="shared" si="1"/>
        <v>3.6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5102416.18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477E-CBDD-4F4B-AAA1-8678583385B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Hampton Falls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2010-08-20T13:44:27Z</cp:lastPrinted>
  <dcterms:created xsi:type="dcterms:W3CDTF">1997-12-04T19:04:30Z</dcterms:created>
  <dcterms:modified xsi:type="dcterms:W3CDTF">2025-01-02T15:04:14Z</dcterms:modified>
</cp:coreProperties>
</file>