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733B4422-FFF2-4BB2-946B-11A3216E4BF4}" xr6:coauthVersionLast="47" xr6:coauthVersionMax="47" xr10:uidLastSave="{00000000-0000-0000-0000-000000000000}"/>
  <workbookProtection workbookPassword="B70A" lockStructure="1"/>
  <bookViews>
    <workbookView xWindow="780" yWindow="780" windowWidth="21600" windowHeight="11505" tabRatio="855" xr2:uid="{A580B55F-B5B0-4095-BAD1-3D5204216A16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8" i="1" l="1"/>
  <c r="J103" i="1" s="1"/>
  <c r="J458" i="1"/>
  <c r="G601" i="1"/>
  <c r="G604" i="1" s="1"/>
  <c r="H581" i="1"/>
  <c r="I516" i="1"/>
  <c r="H516" i="1"/>
  <c r="L516" i="1" s="1"/>
  <c r="G511" i="1"/>
  <c r="F511" i="1"/>
  <c r="H511" i="1"/>
  <c r="I511" i="1"/>
  <c r="I514" i="1" s="1"/>
  <c r="I535" i="1" s="1"/>
  <c r="H25" i="1"/>
  <c r="E24" i="2" s="1"/>
  <c r="H23" i="1"/>
  <c r="E22" i="2" s="1"/>
  <c r="E32" i="2" s="1"/>
  <c r="H462" i="1"/>
  <c r="H464" i="1" s="1"/>
  <c r="H466" i="1" s="1"/>
  <c r="H614" i="1" s="1"/>
  <c r="H458" i="1"/>
  <c r="I350" i="1"/>
  <c r="I354" i="1" s="1"/>
  <c r="G624" i="1" s="1"/>
  <c r="J624" i="1" s="1"/>
  <c r="H350" i="1"/>
  <c r="G350" i="1"/>
  <c r="L350" i="1" s="1"/>
  <c r="H274" i="1"/>
  <c r="I268" i="1"/>
  <c r="H268" i="1"/>
  <c r="G268" i="1"/>
  <c r="F268" i="1"/>
  <c r="F282" i="1" s="1"/>
  <c r="F330" i="1" s="1"/>
  <c r="F344" i="1" s="1"/>
  <c r="H275" i="1"/>
  <c r="L275" i="1" s="1"/>
  <c r="E112" i="2" s="1"/>
  <c r="G269" i="1"/>
  <c r="C18" i="12" s="1"/>
  <c r="A22" i="12" s="1"/>
  <c r="H218" i="1"/>
  <c r="L218" i="1" s="1"/>
  <c r="I194" i="1"/>
  <c r="I203" i="1" s="1"/>
  <c r="I249" i="1" s="1"/>
  <c r="I263" i="1" s="1"/>
  <c r="I197" i="1"/>
  <c r="I195" i="1"/>
  <c r="L195" i="1" s="1"/>
  <c r="H200" i="1"/>
  <c r="H196" i="1"/>
  <c r="H203" i="1" s="1"/>
  <c r="H249" i="1" s="1"/>
  <c r="H263" i="1" s="1"/>
  <c r="H194" i="1"/>
  <c r="G196" i="1"/>
  <c r="G195" i="1"/>
  <c r="G194" i="1"/>
  <c r="G192" i="1"/>
  <c r="L192" i="1" s="1"/>
  <c r="F196" i="1"/>
  <c r="L196" i="1" s="1"/>
  <c r="F194" i="1"/>
  <c r="F192" i="1"/>
  <c r="B36" i="12" s="1"/>
  <c r="H94" i="1"/>
  <c r="H103" i="1" s="1"/>
  <c r="H147" i="1"/>
  <c r="H146" i="1"/>
  <c r="G89" i="1"/>
  <c r="F102" i="1"/>
  <c r="H31" i="1"/>
  <c r="F12" i="1"/>
  <c r="F9" i="1"/>
  <c r="C60" i="2"/>
  <c r="B2" i="13"/>
  <c r="F8" i="13"/>
  <c r="G8" i="13"/>
  <c r="L214" i="1"/>
  <c r="L232" i="1"/>
  <c r="D39" i="13"/>
  <c r="F13" i="13"/>
  <c r="G13" i="13"/>
  <c r="L198" i="1"/>
  <c r="C114" i="2" s="1"/>
  <c r="L216" i="1"/>
  <c r="E13" i="13" s="1"/>
  <c r="C13" i="13" s="1"/>
  <c r="L234" i="1"/>
  <c r="L239" i="1" s="1"/>
  <c r="H650" i="1" s="1"/>
  <c r="F16" i="13"/>
  <c r="G16" i="13"/>
  <c r="L201" i="1"/>
  <c r="E16" i="13" s="1"/>
  <c r="C16" i="13" s="1"/>
  <c r="L219" i="1"/>
  <c r="L237" i="1"/>
  <c r="F5" i="13"/>
  <c r="G5" i="13"/>
  <c r="L189" i="1"/>
  <c r="C10" i="10" s="1"/>
  <c r="L190" i="1"/>
  <c r="C102" i="2" s="1"/>
  <c r="L191" i="1"/>
  <c r="L207" i="1"/>
  <c r="L208" i="1"/>
  <c r="L221" i="1" s="1"/>
  <c r="G650" i="1" s="1"/>
  <c r="L209" i="1"/>
  <c r="L210" i="1"/>
  <c r="L225" i="1"/>
  <c r="L226" i="1"/>
  <c r="L227" i="1"/>
  <c r="L228" i="1"/>
  <c r="F6" i="13"/>
  <c r="D6" i="13" s="1"/>
  <c r="C6" i="13" s="1"/>
  <c r="G6" i="13"/>
  <c r="L194" i="1"/>
  <c r="C15" i="10" s="1"/>
  <c r="L212" i="1"/>
  <c r="L230" i="1"/>
  <c r="F7" i="13"/>
  <c r="G7" i="13"/>
  <c r="L213" i="1"/>
  <c r="L231" i="1"/>
  <c r="F12" i="13"/>
  <c r="D12" i="13" s="1"/>
  <c r="C12" i="13" s="1"/>
  <c r="G12" i="13"/>
  <c r="L197" i="1"/>
  <c r="C18" i="10" s="1"/>
  <c r="L215" i="1"/>
  <c r="L233" i="1"/>
  <c r="F14" i="13"/>
  <c r="G14" i="13"/>
  <c r="L199" i="1"/>
  <c r="L217" i="1"/>
  <c r="L235" i="1"/>
  <c r="C20" i="10" s="1"/>
  <c r="D14" i="13"/>
  <c r="C14" i="13" s="1"/>
  <c r="F15" i="13"/>
  <c r="G15" i="13"/>
  <c r="L200" i="1"/>
  <c r="L236" i="1"/>
  <c r="H652" i="1" s="1"/>
  <c r="F17" i="13"/>
  <c r="G17" i="13"/>
  <c r="L243" i="1"/>
  <c r="D17" i="13"/>
  <c r="F18" i="13"/>
  <c r="G18" i="13"/>
  <c r="L244" i="1"/>
  <c r="D18" i="13" s="1"/>
  <c r="C18" i="13" s="1"/>
  <c r="F19" i="13"/>
  <c r="G19" i="13"/>
  <c r="L245" i="1"/>
  <c r="D19" i="13"/>
  <c r="F29" i="13"/>
  <c r="G29" i="13"/>
  <c r="L351" i="1"/>
  <c r="L352" i="1"/>
  <c r="I359" i="1"/>
  <c r="I361" i="1" s="1"/>
  <c r="H624" i="1" s="1"/>
  <c r="J282" i="1"/>
  <c r="F31" i="13" s="1"/>
  <c r="J301" i="1"/>
  <c r="J320" i="1"/>
  <c r="K282" i="1"/>
  <c r="G31" i="13" s="1"/>
  <c r="K301" i="1"/>
  <c r="K320" i="1"/>
  <c r="L268" i="1"/>
  <c r="E101" i="2" s="1"/>
  <c r="L270" i="1"/>
  <c r="C12" i="10" s="1"/>
  <c r="L271" i="1"/>
  <c r="L273" i="1"/>
  <c r="L274" i="1"/>
  <c r="L276" i="1"/>
  <c r="L277" i="1"/>
  <c r="E114" i="2" s="1"/>
  <c r="L278" i="1"/>
  <c r="L279" i="1"/>
  <c r="L280" i="1"/>
  <c r="L287" i="1"/>
  <c r="L288" i="1"/>
  <c r="L301" i="1" s="1"/>
  <c r="L289" i="1"/>
  <c r="L290" i="1"/>
  <c r="L292" i="1"/>
  <c r="L293" i="1"/>
  <c r="L294" i="1"/>
  <c r="L295" i="1"/>
  <c r="E113" i="2" s="1"/>
  <c r="L296" i="1"/>
  <c r="L297" i="1"/>
  <c r="L298" i="1"/>
  <c r="L299" i="1"/>
  <c r="L306" i="1"/>
  <c r="L307" i="1"/>
  <c r="L308" i="1"/>
  <c r="L309" i="1"/>
  <c r="L311" i="1"/>
  <c r="L312" i="1"/>
  <c r="L313" i="1"/>
  <c r="L314" i="1"/>
  <c r="L315" i="1"/>
  <c r="L316" i="1"/>
  <c r="L317" i="1"/>
  <c r="L318" i="1"/>
  <c r="E117" i="2" s="1"/>
  <c r="L320" i="1"/>
  <c r="L325" i="1"/>
  <c r="L326" i="1"/>
  <c r="L327" i="1"/>
  <c r="L252" i="1"/>
  <c r="L253" i="1"/>
  <c r="L333" i="1"/>
  <c r="E123" i="2" s="1"/>
  <c r="E136" i="2" s="1"/>
  <c r="L334" i="1"/>
  <c r="E124" i="2" s="1"/>
  <c r="H25" i="13"/>
  <c r="H33" i="13" s="1"/>
  <c r="L247" i="1"/>
  <c r="F22" i="13" s="1"/>
  <c r="C22" i="13" s="1"/>
  <c r="L328" i="1"/>
  <c r="C19" i="13"/>
  <c r="C17" i="13"/>
  <c r="C11" i="13"/>
  <c r="C10" i="13"/>
  <c r="C9" i="13"/>
  <c r="L353" i="1"/>
  <c r="B4" i="12"/>
  <c r="B40" i="12"/>
  <c r="C40" i="12"/>
  <c r="B27" i="12"/>
  <c r="C27" i="12"/>
  <c r="B31" i="12"/>
  <c r="A31" i="12" s="1"/>
  <c r="C31" i="12"/>
  <c r="B9" i="12"/>
  <c r="A13" i="12" s="1"/>
  <c r="B13" i="12"/>
  <c r="C9" i="12"/>
  <c r="C13" i="12"/>
  <c r="B18" i="12"/>
  <c r="B22" i="12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3" i="1" s="1"/>
  <c r="C131" i="2" s="1"/>
  <c r="L390" i="1"/>
  <c r="L391" i="1"/>
  <c r="L392" i="1"/>
  <c r="L395" i="1"/>
  <c r="L399" i="1" s="1"/>
  <c r="C132" i="2" s="1"/>
  <c r="L396" i="1"/>
  <c r="L397" i="1"/>
  <c r="L398" i="1"/>
  <c r="L258" i="1"/>
  <c r="J52" i="1"/>
  <c r="J104" i="1" s="1"/>
  <c r="G48" i="2"/>
  <c r="G51" i="2"/>
  <c r="G54" i="2" s="1"/>
  <c r="G55" i="2" s="1"/>
  <c r="G53" i="2"/>
  <c r="F2" i="11"/>
  <c r="L603" i="1"/>
  <c r="H653" i="1"/>
  <c r="L602" i="1"/>
  <c r="G653" i="1"/>
  <c r="L601" i="1"/>
  <c r="F653" i="1" s="1"/>
  <c r="I653" i="1" s="1"/>
  <c r="C40" i="10"/>
  <c r="F52" i="1"/>
  <c r="C35" i="10" s="1"/>
  <c r="G52" i="1"/>
  <c r="H52" i="1"/>
  <c r="I52" i="1"/>
  <c r="I104" i="1" s="1"/>
  <c r="F71" i="1"/>
  <c r="F86" i="1"/>
  <c r="F103" i="1"/>
  <c r="F104" i="1"/>
  <c r="G103" i="1"/>
  <c r="G104" i="1" s="1"/>
  <c r="H71" i="1"/>
  <c r="H104" i="1" s="1"/>
  <c r="H86" i="1"/>
  <c r="E50" i="2" s="1"/>
  <c r="I103" i="1"/>
  <c r="C37" i="10"/>
  <c r="F113" i="1"/>
  <c r="F132" i="1" s="1"/>
  <c r="F128" i="1"/>
  <c r="G113" i="1"/>
  <c r="G132" i="1" s="1"/>
  <c r="G128" i="1"/>
  <c r="H113" i="1"/>
  <c r="H132" i="1" s="1"/>
  <c r="H128" i="1"/>
  <c r="I113" i="1"/>
  <c r="I128" i="1"/>
  <c r="I132" i="1"/>
  <c r="J113" i="1"/>
  <c r="J132" i="1" s="1"/>
  <c r="J128" i="1"/>
  <c r="F139" i="1"/>
  <c r="F154" i="1"/>
  <c r="F161" i="1"/>
  <c r="G139" i="1"/>
  <c r="G161" i="1" s="1"/>
  <c r="G154" i="1"/>
  <c r="H139" i="1"/>
  <c r="H154" i="1"/>
  <c r="H161" i="1"/>
  <c r="I139" i="1"/>
  <c r="F77" i="2" s="1"/>
  <c r="F83" i="2" s="1"/>
  <c r="I154" i="1"/>
  <c r="I161" i="1"/>
  <c r="L242" i="1"/>
  <c r="C23" i="10" s="1"/>
  <c r="L324" i="1"/>
  <c r="E105" i="2" s="1"/>
  <c r="L246" i="1"/>
  <c r="L260" i="1"/>
  <c r="C134" i="2" s="1"/>
  <c r="L261" i="1"/>
  <c r="L341" i="1"/>
  <c r="L342" i="1"/>
  <c r="I655" i="1"/>
  <c r="I660" i="1"/>
  <c r="F652" i="1"/>
  <c r="I659" i="1"/>
  <c r="C6" i="10"/>
  <c r="C5" i="10"/>
  <c r="C42" i="10"/>
  <c r="C32" i="10"/>
  <c r="L366" i="1"/>
  <c r="L367" i="1"/>
  <c r="L368" i="1"/>
  <c r="L369" i="1"/>
  <c r="L370" i="1"/>
  <c r="L371" i="1"/>
  <c r="L372" i="1"/>
  <c r="C29" i="10"/>
  <c r="B2" i="10"/>
  <c r="L336" i="1"/>
  <c r="L337" i="1"/>
  <c r="L338" i="1"/>
  <c r="L339" i="1"/>
  <c r="K343" i="1"/>
  <c r="L511" i="1"/>
  <c r="F539" i="1" s="1"/>
  <c r="L512" i="1"/>
  <c r="F540" i="1" s="1"/>
  <c r="L513" i="1"/>
  <c r="F541" i="1"/>
  <c r="L517" i="1"/>
  <c r="G540" i="1"/>
  <c r="L518" i="1"/>
  <c r="G541" i="1"/>
  <c r="K541" i="1" s="1"/>
  <c r="L521" i="1"/>
  <c r="H539" i="1" s="1"/>
  <c r="L522" i="1"/>
  <c r="H540" i="1"/>
  <c r="L523" i="1"/>
  <c r="H541" i="1" s="1"/>
  <c r="L526" i="1"/>
  <c r="I539" i="1"/>
  <c r="L527" i="1"/>
  <c r="L529" i="1" s="1"/>
  <c r="I540" i="1"/>
  <c r="I542" i="1" s="1"/>
  <c r="L528" i="1"/>
  <c r="I541" i="1"/>
  <c r="L531" i="1"/>
  <c r="J539" i="1"/>
  <c r="L532" i="1"/>
  <c r="L534" i="1" s="1"/>
  <c r="L533" i="1"/>
  <c r="J541" i="1" s="1"/>
  <c r="K262" i="1"/>
  <c r="J262" i="1"/>
  <c r="I262" i="1"/>
  <c r="H262" i="1"/>
  <c r="G262" i="1"/>
  <c r="F262" i="1"/>
  <c r="C124" i="2"/>
  <c r="C123" i="2"/>
  <c r="A1" i="2"/>
  <c r="A2" i="2"/>
  <c r="C9" i="2"/>
  <c r="C19" i="2" s="1"/>
  <c r="D9" i="2"/>
  <c r="E9" i="2"/>
  <c r="F9" i="2"/>
  <c r="I431" i="1"/>
  <c r="J9" i="1" s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I433" i="1"/>
  <c r="J12" i="1"/>
  <c r="G12" i="2"/>
  <c r="C13" i="2"/>
  <c r="D13" i="2"/>
  <c r="E13" i="2"/>
  <c r="F13" i="2"/>
  <c r="I434" i="1"/>
  <c r="J13" i="1"/>
  <c r="G13" i="2" s="1"/>
  <c r="C14" i="2"/>
  <c r="D14" i="2"/>
  <c r="E14" i="2"/>
  <c r="F14" i="2"/>
  <c r="F19" i="2" s="1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 s="1"/>
  <c r="G18" i="2" s="1"/>
  <c r="D19" i="2"/>
  <c r="E19" i="2"/>
  <c r="C22" i="2"/>
  <c r="D22" i="2"/>
  <c r="F22" i="2"/>
  <c r="I440" i="1"/>
  <c r="J23" i="1" s="1"/>
  <c r="C23" i="2"/>
  <c r="D23" i="2"/>
  <c r="D32" i="2" s="1"/>
  <c r="E23" i="2"/>
  <c r="F23" i="2"/>
  <c r="F32" i="2" s="1"/>
  <c r="I441" i="1"/>
  <c r="J24" i="1" s="1"/>
  <c r="G23" i="2" s="1"/>
  <c r="C24" i="2"/>
  <c r="D24" i="2"/>
  <c r="F24" i="2"/>
  <c r="I442" i="1"/>
  <c r="J25" i="1"/>
  <c r="G24" i="2"/>
  <c r="C25" i="2"/>
  <c r="C32" i="2" s="1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E34" i="2"/>
  <c r="F34" i="2"/>
  <c r="F42" i="2" s="1"/>
  <c r="F43" i="2" s="1"/>
  <c r="C35" i="2"/>
  <c r="D35" i="2"/>
  <c r="E35" i="2"/>
  <c r="F35" i="2"/>
  <c r="C36" i="2"/>
  <c r="D36" i="2"/>
  <c r="E36" i="2"/>
  <c r="F36" i="2"/>
  <c r="I446" i="1"/>
  <c r="J37" i="1" s="1"/>
  <c r="C37" i="2"/>
  <c r="D37" i="2"/>
  <c r="D42" i="2" s="1"/>
  <c r="E37" i="2"/>
  <c r="F37" i="2"/>
  <c r="I447" i="1"/>
  <c r="J38" i="1" s="1"/>
  <c r="G37" i="2" s="1"/>
  <c r="C38" i="2"/>
  <c r="D38" i="2"/>
  <c r="E38" i="2"/>
  <c r="F38" i="2"/>
  <c r="I448" i="1"/>
  <c r="J40" i="1"/>
  <c r="G39" i="2"/>
  <c r="C40" i="2"/>
  <c r="D40" i="2"/>
  <c r="E40" i="2"/>
  <c r="F40" i="2"/>
  <c r="I449" i="1"/>
  <c r="J41" i="1"/>
  <c r="G40" i="2" s="1"/>
  <c r="C41" i="2"/>
  <c r="D41" i="2"/>
  <c r="E41" i="2"/>
  <c r="F41" i="2"/>
  <c r="C42" i="2"/>
  <c r="C43" i="2" s="1"/>
  <c r="E42" i="2"/>
  <c r="C48" i="2"/>
  <c r="C55" i="2" s="1"/>
  <c r="D48" i="2"/>
  <c r="D55" i="2" s="1"/>
  <c r="E48" i="2"/>
  <c r="F48" i="2"/>
  <c r="C49" i="2"/>
  <c r="C54" i="2" s="1"/>
  <c r="E49" i="2"/>
  <c r="C50" i="2"/>
  <c r="C51" i="2"/>
  <c r="D51" i="2"/>
  <c r="E51" i="2"/>
  <c r="F51" i="2"/>
  <c r="D52" i="2"/>
  <c r="D54" i="2" s="1"/>
  <c r="C53" i="2"/>
  <c r="D53" i="2"/>
  <c r="E53" i="2"/>
  <c r="F53" i="2"/>
  <c r="F54" i="2" s="1"/>
  <c r="C58" i="2"/>
  <c r="C62" i="2" s="1"/>
  <c r="C59" i="2"/>
  <c r="C61" i="2"/>
  <c r="D61" i="2"/>
  <c r="D62" i="2" s="1"/>
  <c r="D73" i="2" s="1"/>
  <c r="E61" i="2"/>
  <c r="E62" i="2" s="1"/>
  <c r="F61" i="2"/>
  <c r="F62" i="2" s="1"/>
  <c r="G61" i="2"/>
  <c r="G62" i="2"/>
  <c r="C64" i="2"/>
  <c r="C70" i="2" s="1"/>
  <c r="C73" i="2" s="1"/>
  <c r="F64" i="2"/>
  <c r="F70" i="2" s="1"/>
  <c r="F73" i="2" s="1"/>
  <c r="C65" i="2"/>
  <c r="F65" i="2"/>
  <c r="C66" i="2"/>
  <c r="C67" i="2"/>
  <c r="C68" i="2"/>
  <c r="E68" i="2"/>
  <c r="F68" i="2"/>
  <c r="C69" i="2"/>
  <c r="D69" i="2"/>
  <c r="E69" i="2"/>
  <c r="F69" i="2"/>
  <c r="G69" i="2"/>
  <c r="G70" i="2" s="1"/>
  <c r="G73" i="2" s="1"/>
  <c r="D70" i="2"/>
  <c r="E70" i="2"/>
  <c r="C71" i="2"/>
  <c r="D71" i="2"/>
  <c r="E71" i="2"/>
  <c r="C72" i="2"/>
  <c r="E72" i="2"/>
  <c r="C77" i="2"/>
  <c r="C83" i="2" s="1"/>
  <c r="D77" i="2"/>
  <c r="D83" i="2" s="1"/>
  <c r="E77" i="2"/>
  <c r="C79" i="2"/>
  <c r="E79" i="2"/>
  <c r="F79" i="2"/>
  <c r="C80" i="2"/>
  <c r="D80" i="2"/>
  <c r="E80" i="2"/>
  <c r="E83" i="2" s="1"/>
  <c r="F80" i="2"/>
  <c r="C81" i="2"/>
  <c r="D81" i="2"/>
  <c r="E81" i="2"/>
  <c r="F81" i="2"/>
  <c r="C82" i="2"/>
  <c r="C85" i="2"/>
  <c r="C95" i="2" s="1"/>
  <c r="F85" i="2"/>
  <c r="C86" i="2"/>
  <c r="F86" i="2"/>
  <c r="D88" i="2"/>
  <c r="E88" i="2"/>
  <c r="F88" i="2"/>
  <c r="G88" i="2"/>
  <c r="C89" i="2"/>
  <c r="D89" i="2"/>
  <c r="E89" i="2"/>
  <c r="F89" i="2"/>
  <c r="G89" i="2"/>
  <c r="G95" i="2" s="1"/>
  <c r="C90" i="2"/>
  <c r="D90" i="2"/>
  <c r="D95" i="2" s="1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95" i="2"/>
  <c r="F95" i="2"/>
  <c r="C103" i="2"/>
  <c r="E103" i="2"/>
  <c r="E104" i="2"/>
  <c r="E106" i="2"/>
  <c r="D107" i="2"/>
  <c r="F107" i="2"/>
  <c r="G107" i="2"/>
  <c r="C110" i="2"/>
  <c r="E110" i="2"/>
  <c r="E111" i="2"/>
  <c r="C113" i="2"/>
  <c r="E115" i="2"/>
  <c r="E116" i="2"/>
  <c r="C117" i="2"/>
  <c r="F120" i="2"/>
  <c r="G120" i="2"/>
  <c r="C122" i="2"/>
  <c r="E122" i="2"/>
  <c r="F122" i="2"/>
  <c r="F136" i="2" s="1"/>
  <c r="D126" i="2"/>
  <c r="D136" i="2" s="1"/>
  <c r="E126" i="2"/>
  <c r="F126" i="2"/>
  <c r="K411" i="1"/>
  <c r="K426" i="1" s="1"/>
  <c r="G126" i="2" s="1"/>
  <c r="G136" i="2" s="1"/>
  <c r="K419" i="1"/>
  <c r="K425" i="1"/>
  <c r="L255" i="1"/>
  <c r="C127" i="2"/>
  <c r="E127" i="2"/>
  <c r="L256" i="1"/>
  <c r="C128" i="2" s="1"/>
  <c r="L257" i="1"/>
  <c r="C129" i="2" s="1"/>
  <c r="E129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G148" i="2" s="1"/>
  <c r="F148" i="2"/>
  <c r="B149" i="2"/>
  <c r="G149" i="2" s="1"/>
  <c r="C149" i="2"/>
  <c r="D149" i="2"/>
  <c r="E149" i="2"/>
  <c r="F149" i="2"/>
  <c r="B150" i="2"/>
  <c r="C150" i="2"/>
  <c r="D150" i="2"/>
  <c r="E150" i="2"/>
  <c r="G150" i="2" s="1"/>
  <c r="F150" i="2"/>
  <c r="B151" i="2"/>
  <c r="G151" i="2" s="1"/>
  <c r="C151" i="2"/>
  <c r="D151" i="2"/>
  <c r="E151" i="2"/>
  <c r="F151" i="2"/>
  <c r="B152" i="2"/>
  <c r="C152" i="2"/>
  <c r="D152" i="2"/>
  <c r="E152" i="2"/>
  <c r="G152" i="2" s="1"/>
  <c r="F152" i="2"/>
  <c r="F490" i="1"/>
  <c r="B153" i="2" s="1"/>
  <c r="G490" i="1"/>
  <c r="C153" i="2"/>
  <c r="H490" i="1"/>
  <c r="D153" i="2" s="1"/>
  <c r="I490" i="1"/>
  <c r="E153" i="2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B156" i="2"/>
  <c r="G493" i="1"/>
  <c r="C156" i="2" s="1"/>
  <c r="G156" i="2" s="1"/>
  <c r="H493" i="1"/>
  <c r="D156" i="2"/>
  <c r="I493" i="1"/>
  <c r="E156" i="2" s="1"/>
  <c r="J493" i="1"/>
  <c r="F156" i="2"/>
  <c r="F19" i="1"/>
  <c r="G607" i="1" s="1"/>
  <c r="G19" i="1"/>
  <c r="H19" i="1"/>
  <c r="G609" i="1" s="1"/>
  <c r="I19" i="1"/>
  <c r="F33" i="1"/>
  <c r="G33" i="1"/>
  <c r="I33" i="1"/>
  <c r="F43" i="1"/>
  <c r="G43" i="1"/>
  <c r="G44" i="1" s="1"/>
  <c r="H608" i="1" s="1"/>
  <c r="H43" i="1"/>
  <c r="I43" i="1"/>
  <c r="I44" i="1" s="1"/>
  <c r="H610" i="1" s="1"/>
  <c r="F44" i="1"/>
  <c r="H607" i="1" s="1"/>
  <c r="F169" i="1"/>
  <c r="F184" i="1" s="1"/>
  <c r="I169" i="1"/>
  <c r="F175" i="1"/>
  <c r="G175" i="1"/>
  <c r="G184" i="1" s="1"/>
  <c r="H175" i="1"/>
  <c r="H184" i="1" s="1"/>
  <c r="I175" i="1"/>
  <c r="I184" i="1" s="1"/>
  <c r="J175" i="1"/>
  <c r="F180" i="1"/>
  <c r="G180" i="1"/>
  <c r="H180" i="1"/>
  <c r="I180" i="1"/>
  <c r="J184" i="1"/>
  <c r="J203" i="1"/>
  <c r="K203" i="1"/>
  <c r="F221" i="1"/>
  <c r="G221" i="1"/>
  <c r="H221" i="1"/>
  <c r="I221" i="1"/>
  <c r="J221" i="1"/>
  <c r="J249" i="1" s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K249" i="1"/>
  <c r="K263" i="1" s="1"/>
  <c r="L262" i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G329" i="1"/>
  <c r="H329" i="1"/>
  <c r="L329" i="1" s="1"/>
  <c r="I329" i="1"/>
  <c r="J329" i="1"/>
  <c r="K329" i="1"/>
  <c r="F354" i="1"/>
  <c r="G354" i="1"/>
  <c r="H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L374" i="1"/>
  <c r="F385" i="1"/>
  <c r="G385" i="1"/>
  <c r="H385" i="1"/>
  <c r="I385" i="1"/>
  <c r="F393" i="1"/>
  <c r="G393" i="1"/>
  <c r="H393" i="1"/>
  <c r="I393" i="1"/>
  <c r="F399" i="1"/>
  <c r="G399" i="1"/>
  <c r="H399" i="1"/>
  <c r="H400" i="1" s="1"/>
  <c r="H634" i="1" s="1"/>
  <c r="I399" i="1"/>
  <c r="I400" i="1" s="1"/>
  <c r="F400" i="1"/>
  <c r="G400" i="1"/>
  <c r="H635" i="1" s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L425" i="1"/>
  <c r="F438" i="1"/>
  <c r="G629" i="1" s="1"/>
  <c r="J629" i="1" s="1"/>
  <c r="G438" i="1"/>
  <c r="H438" i="1"/>
  <c r="G631" i="1" s="1"/>
  <c r="J631" i="1" s="1"/>
  <c r="F444" i="1"/>
  <c r="F451" i="1" s="1"/>
  <c r="H629" i="1" s="1"/>
  <c r="G444" i="1"/>
  <c r="H444" i="1"/>
  <c r="F450" i="1"/>
  <c r="G450" i="1"/>
  <c r="H450" i="1"/>
  <c r="G451" i="1"/>
  <c r="H630" i="1" s="1"/>
  <c r="H451" i="1"/>
  <c r="H631" i="1" s="1"/>
  <c r="F460" i="1"/>
  <c r="G460" i="1"/>
  <c r="G466" i="1" s="1"/>
  <c r="H613" i="1" s="1"/>
  <c r="H460" i="1"/>
  <c r="I460" i="1"/>
  <c r="J460" i="1"/>
  <c r="J466" i="1" s="1"/>
  <c r="H616" i="1" s="1"/>
  <c r="F464" i="1"/>
  <c r="G464" i="1"/>
  <c r="I464" i="1"/>
  <c r="J464" i="1"/>
  <c r="F466" i="1"/>
  <c r="H612" i="1" s="1"/>
  <c r="I466" i="1"/>
  <c r="H615" i="1" s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F535" i="1" s="1"/>
  <c r="G514" i="1"/>
  <c r="H514" i="1"/>
  <c r="J514" i="1"/>
  <c r="J535" i="1" s="1"/>
  <c r="K514" i="1"/>
  <c r="K535" i="1" s="1"/>
  <c r="L514" i="1"/>
  <c r="F519" i="1"/>
  <c r="G519" i="1"/>
  <c r="G535" i="1" s="1"/>
  <c r="H519" i="1"/>
  <c r="H535" i="1" s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48" i="1"/>
  <c r="L549" i="1"/>
  <c r="F550" i="1"/>
  <c r="F561" i="1" s="1"/>
  <c r="G550" i="1"/>
  <c r="G561" i="1" s="1"/>
  <c r="H550" i="1"/>
  <c r="H561" i="1" s="1"/>
  <c r="I550" i="1"/>
  <c r="I561" i="1" s="1"/>
  <c r="J550" i="1"/>
  <c r="K550" i="1"/>
  <c r="L552" i="1"/>
  <c r="L555" i="1" s="1"/>
  <c r="L553" i="1"/>
  <c r="L554" i="1"/>
  <c r="F555" i="1"/>
  <c r="G555" i="1"/>
  <c r="H555" i="1"/>
  <c r="I555" i="1"/>
  <c r="J555" i="1"/>
  <c r="K555" i="1"/>
  <c r="L557" i="1"/>
  <c r="L558" i="1"/>
  <c r="L559" i="1"/>
  <c r="L560" i="1" s="1"/>
  <c r="F560" i="1"/>
  <c r="G560" i="1"/>
  <c r="H560" i="1"/>
  <c r="I560" i="1"/>
  <c r="J560" i="1"/>
  <c r="J561" i="1" s="1"/>
  <c r="K560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I588" i="1"/>
  <c r="H640" i="1" s="1"/>
  <c r="J588" i="1"/>
  <c r="H641" i="1" s="1"/>
  <c r="J641" i="1" s="1"/>
  <c r="K588" i="1"/>
  <c r="G637" i="1" s="1"/>
  <c r="K592" i="1"/>
  <c r="K595" i="1" s="1"/>
  <c r="G638" i="1" s="1"/>
  <c r="K593" i="1"/>
  <c r="K594" i="1"/>
  <c r="H595" i="1"/>
  <c r="I595" i="1"/>
  <c r="J595" i="1"/>
  <c r="F604" i="1"/>
  <c r="H604" i="1"/>
  <c r="I604" i="1"/>
  <c r="J604" i="1"/>
  <c r="K604" i="1"/>
  <c r="G608" i="1"/>
  <c r="J608" i="1" s="1"/>
  <c r="G610" i="1"/>
  <c r="G612" i="1"/>
  <c r="G614" i="1"/>
  <c r="J614" i="1" s="1"/>
  <c r="G615" i="1"/>
  <c r="J615" i="1" s="1"/>
  <c r="H617" i="1"/>
  <c r="H618" i="1"/>
  <c r="H619" i="1"/>
  <c r="H620" i="1"/>
  <c r="H621" i="1"/>
  <c r="H622" i="1"/>
  <c r="H623" i="1"/>
  <c r="H625" i="1"/>
  <c r="G626" i="1"/>
  <c r="J626" i="1" s="1"/>
  <c r="H626" i="1"/>
  <c r="H627" i="1"/>
  <c r="H628" i="1"/>
  <c r="G630" i="1"/>
  <c r="J630" i="1" s="1"/>
  <c r="G633" i="1"/>
  <c r="H633" i="1"/>
  <c r="J633" i="1"/>
  <c r="G634" i="1"/>
  <c r="G635" i="1"/>
  <c r="J635" i="1" s="1"/>
  <c r="G639" i="1"/>
  <c r="J639" i="1" s="1"/>
  <c r="H639" i="1"/>
  <c r="G641" i="1"/>
  <c r="G642" i="1"/>
  <c r="J642" i="1" s="1"/>
  <c r="H642" i="1"/>
  <c r="G643" i="1"/>
  <c r="J643" i="1" s="1"/>
  <c r="H643" i="1"/>
  <c r="G644" i="1"/>
  <c r="J644" i="1" s="1"/>
  <c r="H644" i="1"/>
  <c r="G645" i="1"/>
  <c r="H645" i="1"/>
  <c r="J645" i="1"/>
  <c r="H185" i="1" l="1"/>
  <c r="G619" i="1" s="1"/>
  <c r="J619" i="1" s="1"/>
  <c r="G137" i="2"/>
  <c r="E54" i="2"/>
  <c r="G185" i="1"/>
  <c r="G618" i="1" s="1"/>
  <c r="J618" i="1" s="1"/>
  <c r="L400" i="1"/>
  <c r="C130" i="2"/>
  <c r="C133" i="2" s="1"/>
  <c r="H638" i="1"/>
  <c r="J638" i="1" s="1"/>
  <c r="J263" i="1"/>
  <c r="E120" i="2"/>
  <c r="C104" i="2"/>
  <c r="C13" i="10"/>
  <c r="D5" i="13"/>
  <c r="J612" i="1"/>
  <c r="F137" i="2"/>
  <c r="C112" i="2"/>
  <c r="E8" i="13"/>
  <c r="C17" i="10"/>
  <c r="J610" i="1"/>
  <c r="E73" i="2"/>
  <c r="F55" i="2"/>
  <c r="F96" i="2" s="1"/>
  <c r="H651" i="1"/>
  <c r="H654" i="1" s="1"/>
  <c r="J607" i="1"/>
  <c r="E55" i="2"/>
  <c r="E96" i="2" s="1"/>
  <c r="K540" i="1"/>
  <c r="L519" i="1"/>
  <c r="L535" i="1" s="1"/>
  <c r="G539" i="1"/>
  <c r="G542" i="1" s="1"/>
  <c r="D96" i="2"/>
  <c r="D43" i="2"/>
  <c r="J19" i="1"/>
  <c r="G611" i="1" s="1"/>
  <c r="G9" i="2"/>
  <c r="G19" i="2" s="1"/>
  <c r="F542" i="1"/>
  <c r="K539" i="1"/>
  <c r="G33" i="13"/>
  <c r="D29" i="13"/>
  <c r="C29" i="13" s="1"/>
  <c r="L354" i="1"/>
  <c r="F651" i="1"/>
  <c r="G651" i="1"/>
  <c r="G654" i="1" s="1"/>
  <c r="D119" i="2"/>
  <c r="D120" i="2" s="1"/>
  <c r="D137" i="2" s="1"/>
  <c r="C96" i="2"/>
  <c r="I185" i="1"/>
  <c r="G620" i="1" s="1"/>
  <c r="J620" i="1" s="1"/>
  <c r="G96" i="2"/>
  <c r="F33" i="13"/>
  <c r="C111" i="2"/>
  <c r="C120" i="2" s="1"/>
  <c r="C16" i="10"/>
  <c r="D7" i="13"/>
  <c r="C7" i="13" s="1"/>
  <c r="J634" i="1"/>
  <c r="L561" i="1"/>
  <c r="H44" i="1"/>
  <c r="H609" i="1" s="1"/>
  <c r="J609" i="1" s="1"/>
  <c r="G153" i="2"/>
  <c r="E43" i="2"/>
  <c r="J43" i="1"/>
  <c r="G36" i="2"/>
  <c r="G42" i="2" s="1"/>
  <c r="C39" i="10"/>
  <c r="L426" i="1"/>
  <c r="G628" i="1" s="1"/>
  <c r="J628" i="1" s="1"/>
  <c r="G22" i="2"/>
  <c r="G32" i="2" s="1"/>
  <c r="J33" i="1"/>
  <c r="C38" i="10"/>
  <c r="F185" i="1"/>
  <c r="G617" i="1" s="1"/>
  <c r="J617" i="1" s="1"/>
  <c r="J185" i="1"/>
  <c r="A40" i="12"/>
  <c r="H542" i="1"/>
  <c r="C36" i="10"/>
  <c r="C41" i="10" s="1"/>
  <c r="C21" i="10"/>
  <c r="D15" i="13"/>
  <c r="C15" i="13" s="1"/>
  <c r="G640" i="1"/>
  <c r="J640" i="1" s="1"/>
  <c r="G652" i="1"/>
  <c r="I652" i="1" s="1"/>
  <c r="H637" i="1"/>
  <c r="J637" i="1" s="1"/>
  <c r="C116" i="2"/>
  <c r="H282" i="1"/>
  <c r="H330" i="1" s="1"/>
  <c r="H344" i="1" s="1"/>
  <c r="L269" i="1"/>
  <c r="K490" i="1"/>
  <c r="G282" i="1"/>
  <c r="G330" i="1" s="1"/>
  <c r="G344" i="1" s="1"/>
  <c r="C115" i="2"/>
  <c r="C26" i="10"/>
  <c r="G613" i="1"/>
  <c r="J613" i="1" s="1"/>
  <c r="I450" i="1"/>
  <c r="K330" i="1"/>
  <c r="K344" i="1" s="1"/>
  <c r="C19" i="10"/>
  <c r="J330" i="1"/>
  <c r="J344" i="1" s="1"/>
  <c r="C25" i="13"/>
  <c r="H33" i="1"/>
  <c r="C101" i="2"/>
  <c r="J540" i="1"/>
  <c r="J542" i="1" s="1"/>
  <c r="L203" i="1"/>
  <c r="G203" i="1"/>
  <c r="G249" i="1" s="1"/>
  <c r="G263" i="1" s="1"/>
  <c r="L343" i="1"/>
  <c r="I444" i="1"/>
  <c r="I451" i="1" s="1"/>
  <c r="H632" i="1" s="1"/>
  <c r="F203" i="1"/>
  <c r="F249" i="1" s="1"/>
  <c r="F263" i="1" s="1"/>
  <c r="C106" i="2"/>
  <c r="C25" i="10"/>
  <c r="C36" i="12"/>
  <c r="C24" i="10"/>
  <c r="C105" i="2"/>
  <c r="L604" i="1"/>
  <c r="I438" i="1"/>
  <c r="G632" i="1" s="1"/>
  <c r="H662" i="1" l="1"/>
  <c r="H657" i="1"/>
  <c r="D40" i="10"/>
  <c r="D35" i="10"/>
  <c r="D37" i="10"/>
  <c r="G662" i="1"/>
  <c r="G657" i="1"/>
  <c r="L249" i="1"/>
  <c r="L263" i="1" s="1"/>
  <c r="G622" i="1" s="1"/>
  <c r="J622" i="1" s="1"/>
  <c r="K542" i="1"/>
  <c r="G627" i="1"/>
  <c r="J627" i="1" s="1"/>
  <c r="H636" i="1"/>
  <c r="J632" i="1"/>
  <c r="D39" i="10"/>
  <c r="C107" i="2"/>
  <c r="C137" i="2" s="1"/>
  <c r="C11" i="10"/>
  <c r="L282" i="1"/>
  <c r="F650" i="1" s="1"/>
  <c r="E102" i="2"/>
  <c r="E107" i="2" s="1"/>
  <c r="E137" i="2" s="1"/>
  <c r="G43" i="2"/>
  <c r="D36" i="10"/>
  <c r="E33" i="13"/>
  <c r="D35" i="13" s="1"/>
  <c r="C8" i="13"/>
  <c r="G616" i="1"/>
  <c r="J616" i="1" s="1"/>
  <c r="J44" i="1"/>
  <c r="H611" i="1" s="1"/>
  <c r="J611" i="1"/>
  <c r="C5" i="13"/>
  <c r="G636" i="1"/>
  <c r="J636" i="1" s="1"/>
  <c r="G621" i="1"/>
  <c r="J621" i="1" s="1"/>
  <c r="D38" i="10"/>
  <c r="C136" i="2"/>
  <c r="C27" i="10"/>
  <c r="G625" i="1"/>
  <c r="J625" i="1" s="1"/>
  <c r="I651" i="1"/>
  <c r="I650" i="1" l="1"/>
  <c r="I654" i="1" s="1"/>
  <c r="F654" i="1"/>
  <c r="D27" i="10"/>
  <c r="D31" i="13"/>
  <c r="L330" i="1"/>
  <c r="L344" i="1" s="1"/>
  <c r="G623" i="1" s="1"/>
  <c r="C28" i="10"/>
  <c r="D41" i="10"/>
  <c r="C31" i="13" l="1"/>
  <c r="D33" i="13"/>
  <c r="D36" i="13" s="1"/>
  <c r="F662" i="1"/>
  <c r="C4" i="10" s="1"/>
  <c r="F657" i="1"/>
  <c r="I662" i="1"/>
  <c r="C7" i="10" s="1"/>
  <c r="I657" i="1"/>
  <c r="J623" i="1"/>
  <c r="H646" i="1"/>
  <c r="D22" i="10"/>
  <c r="C30" i="10"/>
  <c r="D23" i="10"/>
  <c r="D15" i="10"/>
  <c r="D12" i="10"/>
  <c r="D10" i="10"/>
  <c r="D18" i="10"/>
  <c r="D20" i="10"/>
  <c r="D19" i="10"/>
  <c r="D26" i="10"/>
  <c r="D16" i="10"/>
  <c r="D24" i="10"/>
  <c r="D13" i="10"/>
  <c r="D25" i="10"/>
  <c r="D17" i="10"/>
  <c r="D21" i="10"/>
  <c r="D11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CDA3CC25-B862-4A74-AE47-A27738FB4D00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0C64730-A17A-4BD2-A26E-90760864C5D1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BDD53E26-87BA-4D1A-828A-5B003B0246E8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F7E0E38-F41E-404E-B0EF-DF047F866C4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1A4340A4-C2F7-48FF-85DC-01794CED4677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36463788-24D6-4354-BBBA-C5D557135B7B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1A49981E-2920-4926-9DA2-1F8AD255CC2E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D9D456A3-D98A-4715-8BCF-DEFE2B085D9F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6E4F566A-250B-4B65-BAFA-FADDA4C3A2CF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7212B744-07E3-4174-8400-9C830F890EA0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164C8B8C-4C6E-4DF2-AD03-E26149EEDEA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C2714518-3399-4947-8F5B-E21CB77C95C9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<sst xmlns="http://schemas.openxmlformats.org/spreadsheetml/2006/main" count="3858" uniqueCount="895">
  <si>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</si>
  <si>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</si>
  <si>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</si>
  <si>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</si>
  <si>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</si>
  <si>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</si>
  <si>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</si>
  <si>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</si>
  <si>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</si>
  <si>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</si>
  <si>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</si>
  <si>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</si>
  <si>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</si>
  <si>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</si>
  <si>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</si>
  <si>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</si>
  <si>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</si>
  <si>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</si>
  <si>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</si>
  <si>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</si>
  <si>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</si>
  <si>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</si>
  <si>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</si>
  <si>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</si>
  <si>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</si>
  <si>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</si>
  <si>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</si>
  <si>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</si>
  <si>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</si>
  <si>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</si>
  <si>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</si>
  <si>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</si>
  <si>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</si>
  <si>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</si>
  <si>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</si>
  <si>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</si>
  <si>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</si>
  <si>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</si>
  <si>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</si>
  <si>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</si>
  <si>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</si>
  <si>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</si>
  <si>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</si>
  <si>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</si>
  <si>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</si>
  <si>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</si>
  <si>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</si>
  <si>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</si>
  <si>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</si>
  <si>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</si>
  <si>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</si>
  <si>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</si>
  <si>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</si>
  <si>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</si>
  <si>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</si>
  <si>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</si>
  <si>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</si>
  <si>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</si>
  <si>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</si>
  <si>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</si>
  <si>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</si>
  <si>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</si>
  <si>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</si>
  <si>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</si>
  <si>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</si>
  <si>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</si>
  <si>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</si>
  <si>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</si>
  <si>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</si>
  <si>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</si>
  <si>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</si>
  <si>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</si>
  <si>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</si>
  <si>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</si>
  <si>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</si>
  <si>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</si>
  <si>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</si>
  <si>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</si>
  <si>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</si>
  <si>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</si>
  <si>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</si>
  <si>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</si>
  <si>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</si>
  <si>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</si>
  <si>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</si>
  <si>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</si>
  <si>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</si>
  <si>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</si>
  <si>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</si>
  <si>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</si>
  <si>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</si>
  <si>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</si>
  <si>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</si>
  <si>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</si>
  <si>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</si>
  <si>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</si>
  <si>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</si>
  <si>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</si>
  <si>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</si>
  <si>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</si>
  <si>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</si>
  <si>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</si>
  <si>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</si>
  <si>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</si>
  <si>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</si>
  <si>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</si>
  <si>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</si>
  <si>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</si>
  <si>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</si>
  <si>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</si>
  <si>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</si>
  <si>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</si>
  <si>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</si>
  <si>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</si>
  <si>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</si>
  <si>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</si>
  <si>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</si>
  <si>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</si>
  <si>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</si>
  <si>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</si>
  <si>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</si>
  <si>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</si>
  <si>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</si>
  <si>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</si>
  <si>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</si>
  <si>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</si>
  <si>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</si>
  <si>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</si>
  <si>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</si>
  <si>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</si>
  <si>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</si>
  <si>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</si>
  <si>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</si>
  <si>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</si>
  <si>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</si>
  <si>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</si>
  <si>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</si>
  <si>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</si>
  <si>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</si>
  <si>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</si>
  <si>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</si>
  <si>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</si>
  <si>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</si>
  <si>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</si>
  <si>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</si>
  <si>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</si>
  <si>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</si>
  <si>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</si>
  <si>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</si>
  <si>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</si>
  <si>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</si>
  <si>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</si>
  <si>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</si>
  <si>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</si>
  <si>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</si>
  <si>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</si>
  <si>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</si>
  <si>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</si>
  <si>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</si>
  <si>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</si>
  <si>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</si>
  <si>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</si>
  <si>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</si>
  <si>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</si>
  <si>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</si>
  <si>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</si>
  <si>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</si>
  <si>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</si>
  <si>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</si>
  <si>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</si>
  <si>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</si>
  <si>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</si>
  <si>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</si>
  <si>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</si>
  <si>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</si>
  <si>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</si>
  <si>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</si>
  <si>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</si>
  <si>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</si>
  <si>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</si>
  <si>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</si>
  <si>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</si>
  <si>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</si>
  <si>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</si>
  <si>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</si>
  <si>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</si>
  <si>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</si>
  <si>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</si>
  <si>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</si>
  <si>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</si>
  <si>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</si>
  <si>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</si>
  <si>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</si>
  <si>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</si>
  <si>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</si>
  <si>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</si>
  <si>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</si>
  <si>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</si>
  <si>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</si>
  <si>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</si>
  <si>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</si>
  <si>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</si>
  <si>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</si>
  <si>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</si>
  <si>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</si>
  <si>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</si>
  <si>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</si>
  <si>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</si>
  <si>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</si>
  <si>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</si>
  <si>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</si>
  <si>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</si>
  <si>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</si>
  <si>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</si>
  <si>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</si>
  <si>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</si>
  <si>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</si>
  <si>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</si>
  <si>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</si>
  <si>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</si>
  <si>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</si>
  <si>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</si>
  <si>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</si>
  <si>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</si>
  <si>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</si>
  <si>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</si>
  <si>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</si>
  <si>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</si>
  <si>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</si>
  <si>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</si>
  <si>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</si>
  <si>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</si>
  <si>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</si>
  <si>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</si>
  <si>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</si>
  <si>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</si>
  <si>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</si>
  <si>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</si>
  <si>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</si>
  <si>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</si>
  <si>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</si>
  <si>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</si>
  <si>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</si>
  <si>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</si>
  <si>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</si>
  <si>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</si>
  <si>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</si>
  <si>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</si>
  <si>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</si>
  <si>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</si>
  <si>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</si>
  <si>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</si>
  <si>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</si>
  <si>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</si>
  <si>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</si>
  <si>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</si>
  <si>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</si>
  <si>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</si>
  <si>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</si>
  <si>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</si>
  <si>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</si>
  <si>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</si>
  <si>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</si>
  <si>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</si>
  <si>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</si>
  <si>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</si>
  <si>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</si>
  <si>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</si>
  <si>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</si>
  <si>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</si>
  <si>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</si>
  <si>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</si>
  <si>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</si>
  <si>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</si>
  <si>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</si>
  <si>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</si>
  <si>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</si>
  <si>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</si>
  <si>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</si>
  <si>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</si>
  <si>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</si>
  <si>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</si>
  <si>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</si>
  <si>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</si>
  <si>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</si>
  <si>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</si>
  <si>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</si>
  <si>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</si>
  <si>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</si>
  <si>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</si>
  <si>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</si>
  <si>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</si>
  <si>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</si>
  <si>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</si>
  <si>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</si>
  <si>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</si>
  <si>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</si>
  <si>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</si>
  <si>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</si>
  <si>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</si>
  <si>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</si>
  <si>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</si>
  <si>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</si>
  <si>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</si>
  <si>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</si>
  <si>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</si>
  <si>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</si>
  <si>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</si>
  <si>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</si>
  <si>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</si>
  <si>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</si>
  <si>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</si>
  <si>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</si>
  <si>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</si>
  <si>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</si>
  <si>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</si>
  <si>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</si>
  <si>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</si>
  <si>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</si>
  <si>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</si>
  <si>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</si>
  <si>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</si>
  <si>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</si>
  <si>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</si>
  <si>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</si>
  <si>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</si>
  <si>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</si>
  <si>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</si>
  <si>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</si>
  <si>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</si>
  <si>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</si>
  <si>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</si>
  <si>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</si>
  <si>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</si>
  <si>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</si>
  <si>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</si>
  <si>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</si>
  <si>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</si>
  <si>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</si>
  <si>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</si>
  <si>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</si>
  <si>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</si>
  <si>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</si>
  <si>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</si>
  <si>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</si>
  <si>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</si>
  <si>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</si>
  <si>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</si>
  <si>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</si>
  <si>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</si>
  <si>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</si>
  <si>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</si>
  <si>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</si>
  <si>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</si>
  <si>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</si>
  <si>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</si>
  <si>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</si>
  <si>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</si>
  <si>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</si>
  <si>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</si>
  <si>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</si>
  <si>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</si>
  <si>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</si>
  <si>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</si>
  <si>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</si>
  <si>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</si>
  <si>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</si>
  <si>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</si>
  <si>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</si>
  <si>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</si>
  <si>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</si>
  <si>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</si>
  <si>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</si>
  <si>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</si>
  <si>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</si>
  <si>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</si>
  <si>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</si>
  <si>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</si>
  <si>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</si>
  <si>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</si>
  <si>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</si>
  <si>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</si>
  <si>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</si>
  <si>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</si>
  <si>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</si>
  <si>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</si>
  <si>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</si>
  <si>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</si>
  <si>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</si>
  <si>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</si>
  <si>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</si>
  <si>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</si>
  <si>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</si>
  <si>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</si>
  <si>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</si>
  <si>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</si>
  <si>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</si>
  <si>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</si>
  <si>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</si>
  <si>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</si>
  <si>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</si>
  <si>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</si>
  <si>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</si>
  <si>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</si>
  <si>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</si>
  <si>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</si>
  <si>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</si>
  <si>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</si>
  <si>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</si>
  <si>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</si>
  <si>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</si>
  <si>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</si>
  <si>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</si>
  <si>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</si>
  <si>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</si>
  <si>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</si>
  <si>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</si>
  <si>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</si>
  <si>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</si>
  <si>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</si>
  <si>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</si>
  <si>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</si>
  <si>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</si>
  <si>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</si>
  <si>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</si>
  <si>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</si>
  <si>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</si>
  <si>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</si>
  <si>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</si>
  <si>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</si>
  <si>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</si>
  <si>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</si>
  <si>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</si>
  <si>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</si>
  <si>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</si>
  <si>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</si>
  <si>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</si>
  <si>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</si>
  <si>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</si>
  <si>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</si>
  <si>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</si>
  <si>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</si>
  <si>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</si>
  <si>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</si>
  <si>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</si>
  <si>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</si>
  <si>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</si>
  <si>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</si>
  <si>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</si>
  <si>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</si>
  <si>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</si>
  <si>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</si>
  <si>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</si>
  <si>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</si>
  <si>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</si>
  <si>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</si>
  <si>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</si>
  <si>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</si>
  <si>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</si>
  <si>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</si>
  <si>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</si>
  <si>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</si>
  <si>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</si>
  <si>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</si>
  <si>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</si>
  <si>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</si>
  <si>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</si>
  <si>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</si>
  <si>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</si>
  <si>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</si>
  <si>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</si>
  <si>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</si>
  <si>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</si>
  <si>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</si>
  <si>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</si>
  <si>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</si>
  <si>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</si>
  <si>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</si>
  <si>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</si>
  <si>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</si>
  <si>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</si>
  <si>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</si>
  <si>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</si>
  <si>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</si>
  <si>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</si>
  <si>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</si>
  <si>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</si>
  <si>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</si>
  <si>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</si>
  <si>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</si>
  <si>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</si>
  <si>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</si>
  <si>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</si>
  <si>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</si>
  <si>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</si>
  <si>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</si>
  <si>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</si>
  <si>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</si>
  <si>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</si>
  <si>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</si>
  <si>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</si>
  <si>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</si>
  <si>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</si>
  <si>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</si>
  <si>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</si>
  <si>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</si>
  <si>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</si>
  <si>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</si>
  <si>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</si>
  <si>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</si>
  <si>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</si>
  <si>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</si>
  <si>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</si>
  <si>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</si>
  <si>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</si>
  <si>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</si>
  <si>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</si>
  <si>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</si>
  <si>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</si>
  <si>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</si>
  <si>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</si>
  <si>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</si>
  <si>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</si>
  <si>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</si>
  <si>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</si>
  <si>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</si>
  <si>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</si>
  <si>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</si>
  <si>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</si>
  <si>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</si>
  <si>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</si>
  <si>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</si>
  <si>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</si>
  <si>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</si>
  <si>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</si>
  <si>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</si>
  <si>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</si>
  <si>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</si>
  <si>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</si>
  <si>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</si>
  <si>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</si>
  <si>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</si>
  <si>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</si>
  <si>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</si>
  <si>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</si>
  <si>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</si>
  <si>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</si>
  <si>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</si>
  <si>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</si>
  <si>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</si>
  <si>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</si>
  <si>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</si>
  <si>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</si>
  <si>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</si>
  <si>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</si>
  <si>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</si>
  <si>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</si>
  <si>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</si>
  <si>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</si>
  <si>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</si>
  <si>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</si>
  <si>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</si>
  <si>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</si>
  <si>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</si>
  <si>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</si>
  <si>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</si>
  <si>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</si>
  <si>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</si>
  <si>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</si>
  <si>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</si>
  <si>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</si>
  <si>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</si>
  <si>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</si>
  <si>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</si>
  <si>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</si>
  <si>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</si>
  <si>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</si>
  <si>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</si>
  <si>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</si>
  <si>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</si>
  <si>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</si>
  <si>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</si>
  <si>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</si>
  <si>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</si>
  <si>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</si>
  <si>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</si>
  <si>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</si>
  <si>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</si>
  <si>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</si>
  <si>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</si>
  <si>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</si>
  <si>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</si>
  <si>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</si>
  <si>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</si>
  <si>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</si>
  <si>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</si>
  <si>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</si>
  <si>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</si>
  <si>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</si>
  <si>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</si>
  <si>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</si>
  <si>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</si>
  <si>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</si>
  <si>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</si>
  <si>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</si>
  <si>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</si>
  <si>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</si>
  <si>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</si>
  <si>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</si>
  <si>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</si>
  <si>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</si>
  <si>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</si>
  <si>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</si>
  <si>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</si>
  <si>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</si>
  <si>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</si>
  <si>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</si>
  <si>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</si>
  <si>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</si>
  <si>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</si>
  <si>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</si>
  <si>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</si>
  <si>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</si>
  <si>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</si>
  <si>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</si>
  <si>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</si>
  <si>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</si>
  <si>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</si>
  <si>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</si>
  <si>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</si>
  <si>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</si>
  <si>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</si>
  <si>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</si>
  <si>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</si>
  <si>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</si>
  <si>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</si>
  <si>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</si>
  <si>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</si>
  <si>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</si>
  <si>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</si>
  <si>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</si>
  <si>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</si>
  <si>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</si>
  <si>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</si>
  <si>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</si>
  <si>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</si>
  <si>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</si>
  <si>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</si>
  <si>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</si>
  <si>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</si>
  <si>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</si>
  <si>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</si>
  <si>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</si>
  <si>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</si>
  <si>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</si>
  <si>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</si>
  <si>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</si>
  <si>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</si>
  <si>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</si>
  <si>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</si>
  <si>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</si>
  <si>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</si>
  <si>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</si>
  <si>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</si>
  <si>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</si>
  <si>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</si>
  <si>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</si>
  <si>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</si>
  <si>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</si>
  <si>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</si>
  <si>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</si>
  <si>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</si>
  <si>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</si>
  <si>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</si>
  <si>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</si>
  <si>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</si>
  <si>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</si>
  <si>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</si>
  <si>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</si>
  <si>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</si>
  <si>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</si>
  <si>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</si>
  <si>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</si>
  <si>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</si>
  <si>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</si>
  <si>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</si>
  <si>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</si>
  <si>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</si>
  <si>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</si>
  <si>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</si>
  <si>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</si>
  <si>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</si>
  <si>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</si>
  <si>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</si>
  <si>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</si>
  <si>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</si>
  <si>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</si>
  <si>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</si>
  <si>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</si>
  <si>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</si>
  <si>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</si>
  <si>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</si>
  <si>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</si>
  <si>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</si>
  <si>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</si>
  <si>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</si>
  <si>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</si>
  <si>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</si>
  <si>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</si>
  <si>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</si>
  <si>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</si>
  <si>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</si>
  <si>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</si>
  <si>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</si>
  <si>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</si>
  <si>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</si>
  <si>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</si>
  <si>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</si>
  <si>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</si>
  <si>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</si>
  <si>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</si>
  <si>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</si>
  <si>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</si>
  <si>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</si>
  <si>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</si>
  <si>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</si>
  <si>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</si>
  <si>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</si>
  <si>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</si>
  <si>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</si>
  <si>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</si>
  <si>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</si>
  <si>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</si>
  <si>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</si>
  <si>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</si>
  <si>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</si>
  <si>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</si>
  <si>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</si>
  <si>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</si>
  <si>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</si>
  <si>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</si>
  <si>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</si>
  <si>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</si>
  <si>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</si>
  <si>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</si>
  <si>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</si>
  <si>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</si>
  <si>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</si>
  <si>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</si>
  <si>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</si>
  <si>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</si>
  <si>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</si>
  <si>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</si>
  <si>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</si>
  <si>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</si>
  <si>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</si>
  <si>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</si>
  <si>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</si>
  <si>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</si>
  <si>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</si>
  <si>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</si>
  <si>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</si>
  <si>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</si>
  <si>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</si>
  <si>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</si>
  <si>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</si>
  <si>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</si>
  <si>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</si>
  <si>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</si>
  <si>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</si>
  <si>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</si>
  <si>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</si>
  <si>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</si>
  <si>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</si>
  <si>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</si>
  <si>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</si>
  <si>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</si>
  <si>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</si>
  <si>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</si>
  <si>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</si>
  <si>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</si>
  <si>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</si>
  <si>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</si>
  <si>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</si>
  <si>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</si>
  <si>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</si>
  <si>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</si>
  <si>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</si>
  <si>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</si>
  <si>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</si>
  <si>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</si>
  <si>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</si>
  <si>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</si>
  <si>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</si>
  <si>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</si>
  <si>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</si>
  <si>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</si>
  <si>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</si>
  <si>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</si>
  <si>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</si>
  <si>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</si>
  <si>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</si>
  <si>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</si>
  <si>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</si>
  <si>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</si>
  <si>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</si>
  <si>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</si>
  <si>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</si>
  <si>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</si>
  <si>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</si>
  <si>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</si>
  <si>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</si>
  <si>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</si>
  <si>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</si>
  <si>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</si>
  <si>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</si>
  <si>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</si>
  <si>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</si>
  <si>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</si>
  <si>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</si>
  <si>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</si>
  <si>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</si>
  <si>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</si>
  <si>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</si>
  <si>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</si>
  <si>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</si>
  <si>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</si>
  <si>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</si>
  <si>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</si>
  <si>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</si>
  <si>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</si>
  <si>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</si>
  <si>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</si>
  <si>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</si>
  <si>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</si>
  <si>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</si>
  <si>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</si>
  <si>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</si>
  <si>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</si>
  <si>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</si>
  <si>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</si>
  <si>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</si>
  <si>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</si>
  <si>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</si>
  <si>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</si>
  <si>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</si>
  <si>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</si>
  <si>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</si>
  <si>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</si>
  <si>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</si>
  <si>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</si>
  <si>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</si>
  <si>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</si>
  <si>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</si>
  <si>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</si>
  <si>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</si>
  <si>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</si>
  <si>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</si>
  <si>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</si>
  <si>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</si>
  <si>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</si>
  <si>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</si>
  <si>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</si>
  <si>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</si>
  <si>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</si>
  <si>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</si>
  <si>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</si>
  <si>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</si>
  <si>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</si>
  <si>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</si>
  <si>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</si>
  <si>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</si>
  <si>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</si>
  <si>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</si>
  <si>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</si>
  <si>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</si>
  <si>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</si>
  <si>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</si>
  <si>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</si>
  <si>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</si>
  <si>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</si>
  <si>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</si>
  <si>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</si>
  <si>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</si>
  <si>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</si>
  <si>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</si>
  <si>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</si>
  <si>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</si>
  <si>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</si>
  <si>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</si>
  <si>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</si>
  <si>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</si>
  <si>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</si>
  <si>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</si>
  <si>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Harrisville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</si>
</sst>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3E1F-5FB0-4DD9-A2C7-8FBA5B5BC3E3}">
  <sheetPr transitionEvaluation="1" transitionEntry="1" codeName="Sheet1">
    <tabColor indexed="56"/>
  </sheetPr>
  <dimension ref="A1:AQ666"/>
  <sheetViews>
    <sheetView tabSelected="1" zoomScale="90" workbookViewId="0">
      <pane xSplit="5" ySplit="3" topLeftCell="F641" activePane="bottomRight" state="frozen"/>
      <selection pane="topRight" activeCell="F1" sqref="F1"/>
      <selection pane="bottomLeft" activeCell="A4" sqref="A4"/>
      <selection pane="bottomRight" activeCell="F655" sqref="F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235</v>
      </c>
      <c r="C2" s="21">
        <v>235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-7975.76-13196.57</f>
        <v>-21172.33</v>
      </c>
      <c r="G9" s="18"/>
      <c r="H9" s="18">
        <v>231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23665.15</v>
      </c>
      <c r="G10" s="18"/>
      <c r="H10" s="18"/>
      <c r="I10" s="18"/>
      <c r="J10" s="67">
        <f>SUM(I432)</f>
        <v>304754.91000000003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11594.45+7056.21</f>
        <v>18650.66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1002.08</v>
      </c>
      <c r="G13" s="18"/>
      <c r="H13" s="18">
        <v>16565.22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>
        <v>5962.6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22145.56</v>
      </c>
      <c r="G19" s="41">
        <f>SUM(G9:G18)</f>
        <v>0</v>
      </c>
      <c r="H19" s="41">
        <f>SUM(H9:H18)</f>
        <v>22758.82</v>
      </c>
      <c r="I19" s="41">
        <f>SUM(I9:I18)</f>
        <v>0</v>
      </c>
      <c r="J19" s="41">
        <f>SUM(J9:J18)</f>
        <v>304754.91000000003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f>11594.45+7056.21</f>
        <v>18650.66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566.29999999999995</v>
      </c>
      <c r="G24" s="18"/>
      <c r="H24" s="18">
        <v>839.08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5994.83</v>
      </c>
      <c r="G25" s="18"/>
      <c r="H25" s="18">
        <f>64+58.74</f>
        <v>122.74000000000001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1276.8499999999999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f>4067.69+231</f>
        <v>4298.6900000000005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7837.98</v>
      </c>
      <c r="G33" s="41">
        <f>SUM(G23:G32)</f>
        <v>0</v>
      </c>
      <c r="H33" s="41">
        <f>SUM(H23:H32)</f>
        <v>23911.170000000006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6024.04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>
        <v>-1152.3499999999999</v>
      </c>
      <c r="I41" s="18"/>
      <c r="J41" s="13">
        <f>SUM(I449)</f>
        <v>304754.91000000003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8283.5400000000009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14307.580000000002</v>
      </c>
      <c r="G43" s="41">
        <f>SUM(G35:G42)</f>
        <v>0</v>
      </c>
      <c r="H43" s="41">
        <f>SUM(H35:H42)</f>
        <v>-1152.3499999999999</v>
      </c>
      <c r="I43" s="41">
        <f>SUM(I35:I42)</f>
        <v>0</v>
      </c>
      <c r="J43" s="41">
        <f>SUM(J35:J42)</f>
        <v>304754.91000000003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22145.56</v>
      </c>
      <c r="G44" s="41">
        <f>G43+G33</f>
        <v>0</v>
      </c>
      <c r="H44" s="41">
        <f>H43+H33</f>
        <v>22758.820000000007</v>
      </c>
      <c r="I44" s="41">
        <f>I43+I33</f>
        <v>0</v>
      </c>
      <c r="J44" s="41">
        <f>J43+J33</f>
        <v>304754.91000000003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1139892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1139892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3450</v>
      </c>
      <c r="G60" s="24" t="s">
        <v>312</v>
      </c>
      <c r="H60" s="18">
        <v>41748.22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3450</v>
      </c>
      <c r="G71" s="45" t="s">
        <v>312</v>
      </c>
      <c r="H71" s="41">
        <f>SUM(H55:H70)</f>
        <v>41748.22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1600.48</v>
      </c>
      <c r="G88" s="18"/>
      <c r="H88" s="18"/>
      <c r="I88" s="18"/>
      <c r="J88" s="18">
        <f>462.91+278.81</f>
        <v>741.72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6933.94+1391.1+545.6+402.15+517+180</f>
        <v>9969.7899999999991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40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f>169+8428.12</f>
        <v>8597.1200000000008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37097.46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2127.9+2378.7</f>
        <v>4506.6000000000004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43244.54</v>
      </c>
      <c r="G103" s="41">
        <f>SUM(G88:G102)</f>
        <v>9969.7899999999991</v>
      </c>
      <c r="H103" s="41">
        <f>SUM(H88:H102)</f>
        <v>8597.1200000000008</v>
      </c>
      <c r="I103" s="41">
        <f>SUM(I88:I102)</f>
        <v>0</v>
      </c>
      <c r="J103" s="41">
        <f>SUM(J88:J102)</f>
        <v>741.72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1186586.54</v>
      </c>
      <c r="G104" s="41">
        <f>G52+G103</f>
        <v>9969.7899999999991</v>
      </c>
      <c r="H104" s="41">
        <f>H52+H71+H86+H103</f>
        <v>50345.340000000004</v>
      </c>
      <c r="I104" s="41">
        <f>I52+I103</f>
        <v>0</v>
      </c>
      <c r="J104" s="41">
        <f>J52+J103</f>
        <v>741.72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2715.42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498208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1042.58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501966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267.73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267.73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501966</v>
      </c>
      <c r="G132" s="41">
        <f>G113+SUM(G128:G129)</f>
        <v>267.73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v>949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9114.81+5740.32</f>
        <v>14855.13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2351.44+3232.31</f>
        <v>5583.75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5478.69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5710.09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15555.55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15555.55</v>
      </c>
      <c r="G154" s="41">
        <f>SUM(G142:G153)</f>
        <v>5478.69</v>
      </c>
      <c r="H154" s="41">
        <f>SUM(H142:H153)</f>
        <v>27097.969999999998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15555.55</v>
      </c>
      <c r="G161" s="41">
        <f>G139+G154+SUM(G155:G160)</f>
        <v>5478.69</v>
      </c>
      <c r="H161" s="41">
        <f>H139+H154+SUM(H155:H160)</f>
        <v>27097.969999999998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11644.41</v>
      </c>
      <c r="H171" s="18"/>
      <c r="I171" s="18"/>
      <c r="J171" s="18">
        <v>30000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11644.41</v>
      </c>
      <c r="H175" s="41">
        <f>SUM(H171:H174)</f>
        <v>0</v>
      </c>
      <c r="I175" s="41">
        <f>SUM(I171:I174)</f>
        <v>0</v>
      </c>
      <c r="J175" s="41">
        <f>SUM(J171:J174)</f>
        <v>30000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11644.41</v>
      </c>
      <c r="H184" s="41">
        <f>+H175+SUM(H180:H183)</f>
        <v>0</v>
      </c>
      <c r="I184" s="41">
        <f>I169+I175+SUM(I180:I183)</f>
        <v>0</v>
      </c>
      <c r="J184" s="41">
        <f>J175</f>
        <v>30000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1704108.09</v>
      </c>
      <c r="G185" s="47">
        <f>G104+G132+G161+G184</f>
        <v>27360.62</v>
      </c>
      <c r="H185" s="47">
        <f>H104+H132+H161+H184</f>
        <v>77443.31</v>
      </c>
      <c r="I185" s="47">
        <f>I104+I132+I161+I184</f>
        <v>0</v>
      </c>
      <c r="J185" s="47">
        <f>J104+J132+J184</f>
        <v>30741.72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288556.43</v>
      </c>
      <c r="G189" s="18">
        <v>106933.7</v>
      </c>
      <c r="H189" s="18">
        <v>44416.5</v>
      </c>
      <c r="I189" s="18">
        <v>10912.29</v>
      </c>
      <c r="J189" s="18">
        <v>8067.47</v>
      </c>
      <c r="K189" s="18"/>
      <c r="L189" s="19">
        <f>SUM(F189:K189)</f>
        <v>458886.38999999996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78234.789999999994</v>
      </c>
      <c r="G190" s="18">
        <v>41907.730000000003</v>
      </c>
      <c r="H190" s="18">
        <v>29537.9</v>
      </c>
      <c r="I190" s="18">
        <v>519.83000000000004</v>
      </c>
      <c r="J190" s="18"/>
      <c r="K190" s="18"/>
      <c r="L190" s="19">
        <f>SUM(F190:K190)</f>
        <v>150200.24999999997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1360+3120</f>
        <v>4480</v>
      </c>
      <c r="G192" s="18">
        <f>222.25+419.43</f>
        <v>641.68000000000006</v>
      </c>
      <c r="H192" s="18"/>
      <c r="I192" s="18">
        <v>592.84</v>
      </c>
      <c r="J192" s="18"/>
      <c r="K192" s="18">
        <v>110</v>
      </c>
      <c r="L192" s="19">
        <f>SUM(F192:K192)</f>
        <v>5824.52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22608.25+9270.3</f>
        <v>31878.55</v>
      </c>
      <c r="G194" s="18">
        <f>1801.91+738.92</f>
        <v>2540.83</v>
      </c>
      <c r="H194" s="18">
        <f>100+9776.1+10562.6+22519.1+17490.33+8664</f>
        <v>69112.13</v>
      </c>
      <c r="I194" s="18">
        <f>38.22+199.85+37+202.98</f>
        <v>478.04999999999995</v>
      </c>
      <c r="J194" s="18"/>
      <c r="K194" s="18"/>
      <c r="L194" s="19">
        <f t="shared" ref="L194:L200" si="0">SUM(F194:K194)</f>
        <v>104009.56000000001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10650.12</v>
      </c>
      <c r="G195" s="18">
        <f>400+848.9</f>
        <v>1248.9000000000001</v>
      </c>
      <c r="H195" s="18">
        <v>4398.2299999999996</v>
      </c>
      <c r="I195" s="18">
        <f>409.47+2188.11</f>
        <v>2597.58</v>
      </c>
      <c r="J195" s="18"/>
      <c r="K195" s="18">
        <v>449</v>
      </c>
      <c r="L195" s="19">
        <f t="shared" si="0"/>
        <v>19343.830000000002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2677.75+2000</f>
        <v>4677.75</v>
      </c>
      <c r="G196" s="18">
        <f>213.64+159.4</f>
        <v>373.03999999999996</v>
      </c>
      <c r="H196" s="18">
        <f>100.64+250+5000+420+250+132868</f>
        <v>138888.64000000001</v>
      </c>
      <c r="I196" s="18">
        <v>3193.01</v>
      </c>
      <c r="J196" s="18"/>
      <c r="K196" s="18">
        <v>2999.5</v>
      </c>
      <c r="L196" s="19">
        <f t="shared" si="0"/>
        <v>150131.94000000003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57931.88</v>
      </c>
      <c r="G197" s="18">
        <v>35103.160000000003</v>
      </c>
      <c r="H197" s="18">
        <v>3166.59</v>
      </c>
      <c r="I197" s="18">
        <f>949.11+81.15</f>
        <v>1030.26</v>
      </c>
      <c r="J197" s="18"/>
      <c r="K197" s="18">
        <v>560</v>
      </c>
      <c r="L197" s="19">
        <f t="shared" si="0"/>
        <v>97791.89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27953.38</v>
      </c>
      <c r="G199" s="18">
        <v>7367</v>
      </c>
      <c r="H199" s="18">
        <v>33146.400000000001</v>
      </c>
      <c r="I199" s="18">
        <v>30040.62</v>
      </c>
      <c r="J199" s="18">
        <v>247.16</v>
      </c>
      <c r="K199" s="18"/>
      <c r="L199" s="19">
        <f t="shared" si="0"/>
        <v>98754.559999999998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46771+3990+631+15591</f>
        <v>66983</v>
      </c>
      <c r="I200" s="18"/>
      <c r="J200" s="18"/>
      <c r="K200" s="18"/>
      <c r="L200" s="19">
        <f t="shared" si="0"/>
        <v>66983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>
        <v>333.41</v>
      </c>
      <c r="H201" s="18">
        <v>798.25</v>
      </c>
      <c r="I201" s="18"/>
      <c r="J201" s="18"/>
      <c r="K201" s="18"/>
      <c r="L201" s="19">
        <f>SUM(F201:K201)</f>
        <v>1131.6600000000001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504362.89999999997</v>
      </c>
      <c r="G203" s="41">
        <f t="shared" si="1"/>
        <v>196449.44999999998</v>
      </c>
      <c r="H203" s="41">
        <f t="shared" si="1"/>
        <v>390447.64000000007</v>
      </c>
      <c r="I203" s="41">
        <f t="shared" si="1"/>
        <v>49364.479999999996</v>
      </c>
      <c r="J203" s="41">
        <f t="shared" si="1"/>
        <v>8314.630000000001</v>
      </c>
      <c r="K203" s="41">
        <f t="shared" si="1"/>
        <v>4118.5</v>
      </c>
      <c r="L203" s="41">
        <f t="shared" si="1"/>
        <v>1153057.5999999999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122760</v>
      </c>
      <c r="I207" s="18"/>
      <c r="J207" s="18"/>
      <c r="K207" s="18"/>
      <c r="L207" s="19">
        <f>SUM(F207:K207)</f>
        <v>122760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63930.31</v>
      </c>
      <c r="I208" s="18"/>
      <c r="J208" s="18"/>
      <c r="K208" s="18"/>
      <c r="L208" s="19">
        <f>SUM(F208:K208)</f>
        <v>63930.31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15590+1950</f>
        <v>17540</v>
      </c>
      <c r="I218" s="18"/>
      <c r="J218" s="18"/>
      <c r="K218" s="18"/>
      <c r="L218" s="19">
        <f t="shared" si="2"/>
        <v>17540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204230.31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204230.31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273155.3</v>
      </c>
      <c r="I225" s="18"/>
      <c r="J225" s="18"/>
      <c r="K225" s="18"/>
      <c r="L225" s="19">
        <f>SUM(F225:K225)</f>
        <v>273155.3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64179.55</v>
      </c>
      <c r="I226" s="18"/>
      <c r="J226" s="18"/>
      <c r="K226" s="18"/>
      <c r="L226" s="19">
        <f>SUM(F226:K226)</f>
        <v>64179.55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15590</v>
      </c>
      <c r="I236" s="18"/>
      <c r="J236" s="18"/>
      <c r="K236" s="18"/>
      <c r="L236" s="19">
        <f t="shared" si="4"/>
        <v>15590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352924.85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352924.85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504362.89999999997</v>
      </c>
      <c r="G249" s="41">
        <f t="shared" si="8"/>
        <v>196449.44999999998</v>
      </c>
      <c r="H249" s="41">
        <f t="shared" si="8"/>
        <v>947602.8</v>
      </c>
      <c r="I249" s="41">
        <f t="shared" si="8"/>
        <v>49364.479999999996</v>
      </c>
      <c r="J249" s="41">
        <f t="shared" si="8"/>
        <v>8314.630000000001</v>
      </c>
      <c r="K249" s="41">
        <f t="shared" si="8"/>
        <v>4118.5</v>
      </c>
      <c r="L249" s="41">
        <f t="shared" si="8"/>
        <v>1710212.7599999998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11644.41</v>
      </c>
      <c r="L255" s="19">
        <f>SUM(F255:K255)</f>
        <v>11644.41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30000</v>
      </c>
      <c r="L258" s="19">
        <f t="shared" si="9"/>
        <v>30000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41644.410000000003</v>
      </c>
      <c r="L262" s="41">
        <f t="shared" si="9"/>
        <v>41644.410000000003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504362.89999999997</v>
      </c>
      <c r="G263" s="42">
        <f t="shared" si="11"/>
        <v>196449.44999999998</v>
      </c>
      <c r="H263" s="42">
        <f t="shared" si="11"/>
        <v>947602.8</v>
      </c>
      <c r="I263" s="42">
        <f t="shared" si="11"/>
        <v>49364.479999999996</v>
      </c>
      <c r="J263" s="42">
        <f t="shared" si="11"/>
        <v>8314.630000000001</v>
      </c>
      <c r="K263" s="42">
        <f t="shared" si="11"/>
        <v>45762.91</v>
      </c>
      <c r="L263" s="42">
        <f t="shared" si="11"/>
        <v>1751857.1699999997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7000+4337.62+40414.92+7629.15</f>
        <v>59381.689999999995</v>
      </c>
      <c r="G268" s="18">
        <f>535.5+331.84+22.4+13.86+6043.14+400.14+97.2+121.16+3626.66+3027.18+154.66</f>
        <v>14373.74</v>
      </c>
      <c r="H268" s="18">
        <f>2200+200</f>
        <v>2400</v>
      </c>
      <c r="I268" s="18">
        <f>292.63+169.8+275.75+180.65+527.28</f>
        <v>1446.1100000000001</v>
      </c>
      <c r="J268" s="18">
        <v>949</v>
      </c>
      <c r="K268" s="18"/>
      <c r="L268" s="19">
        <f>SUM(F268:K268)</f>
        <v>78550.539999999994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3283.4</v>
      </c>
      <c r="G269" s="18">
        <f>251.18+10.51</f>
        <v>261.69</v>
      </c>
      <c r="H269" s="18"/>
      <c r="I269" s="18"/>
      <c r="J269" s="18"/>
      <c r="K269" s="18"/>
      <c r="L269" s="19">
        <f>SUM(F269:K269)</f>
        <v>3545.09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>
        <v>169</v>
      </c>
      <c r="I271" s="18"/>
      <c r="J271" s="18"/>
      <c r="K271" s="18"/>
      <c r="L271" s="19">
        <f>SUM(F271:K271)</f>
        <v>169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2165</v>
      </c>
      <c r="I273" s="18"/>
      <c r="J273" s="18"/>
      <c r="K273" s="18"/>
      <c r="L273" s="19">
        <f t="shared" ref="L273:L279" si="12">SUM(F273:K273)</f>
        <v>2165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f>2045+3058+165+105</f>
        <v>5373</v>
      </c>
      <c r="I274" s="18"/>
      <c r="J274" s="18"/>
      <c r="K274" s="18"/>
      <c r="L274" s="19">
        <f t="shared" si="12"/>
        <v>5373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>
        <f>497+397</f>
        <v>894</v>
      </c>
      <c r="I275" s="18"/>
      <c r="J275" s="18"/>
      <c r="K275" s="18"/>
      <c r="L275" s="19">
        <f t="shared" si="12"/>
        <v>894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>
        <v>63.5</v>
      </c>
      <c r="I276" s="18"/>
      <c r="J276" s="18"/>
      <c r="K276" s="18"/>
      <c r="L276" s="19">
        <f t="shared" si="12"/>
        <v>63.5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1116.83</v>
      </c>
      <c r="L277" s="19">
        <f t="shared" si="12"/>
        <v>1116.83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6435</v>
      </c>
      <c r="I279" s="18"/>
      <c r="J279" s="18"/>
      <c r="K279" s="18"/>
      <c r="L279" s="19">
        <f t="shared" si="12"/>
        <v>6435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62665.09</v>
      </c>
      <c r="G282" s="42">
        <f t="shared" si="13"/>
        <v>14635.43</v>
      </c>
      <c r="H282" s="42">
        <f t="shared" si="13"/>
        <v>17499.5</v>
      </c>
      <c r="I282" s="42">
        <f t="shared" si="13"/>
        <v>1446.1100000000001</v>
      </c>
      <c r="J282" s="42">
        <f t="shared" si="13"/>
        <v>949</v>
      </c>
      <c r="K282" s="42">
        <f t="shared" si="13"/>
        <v>1116.83</v>
      </c>
      <c r="L282" s="41">
        <f t="shared" si="13"/>
        <v>98311.959999999992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62665.09</v>
      </c>
      <c r="G330" s="41">
        <f t="shared" si="20"/>
        <v>14635.43</v>
      </c>
      <c r="H330" s="41">
        <f t="shared" si="20"/>
        <v>17499.5</v>
      </c>
      <c r="I330" s="41">
        <f t="shared" si="20"/>
        <v>1446.1100000000001</v>
      </c>
      <c r="J330" s="41">
        <f t="shared" si="20"/>
        <v>949</v>
      </c>
      <c r="K330" s="41">
        <f t="shared" si="20"/>
        <v>1116.83</v>
      </c>
      <c r="L330" s="41">
        <f t="shared" si="20"/>
        <v>98311.959999999992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62665.09</v>
      </c>
      <c r="G344" s="41">
        <f>G330</f>
        <v>14635.43</v>
      </c>
      <c r="H344" s="41">
        <f>H330</f>
        <v>17499.5</v>
      </c>
      <c r="I344" s="41">
        <f>I330</f>
        <v>1446.1100000000001</v>
      </c>
      <c r="J344" s="41">
        <f>J330</f>
        <v>949</v>
      </c>
      <c r="K344" s="47">
        <f>K330+K343</f>
        <v>1116.83</v>
      </c>
      <c r="L344" s="41">
        <f>L330+L343</f>
        <v>98311.959999999992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12893.65</v>
      </c>
      <c r="G350" s="18">
        <f>986.35+42.19</f>
        <v>1028.54</v>
      </c>
      <c r="H350" s="18">
        <f>4000+237.6</f>
        <v>4237.6000000000004</v>
      </c>
      <c r="I350" s="18">
        <f>412.67+8353.66</f>
        <v>8766.33</v>
      </c>
      <c r="J350" s="18"/>
      <c r="K350" s="18">
        <v>434.5</v>
      </c>
      <c r="L350" s="13">
        <f>SUM(F350:K350)</f>
        <v>27360.620000000003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12893.65</v>
      </c>
      <c r="G354" s="47">
        <f t="shared" si="22"/>
        <v>1028.54</v>
      </c>
      <c r="H354" s="47">
        <f t="shared" si="22"/>
        <v>4237.6000000000004</v>
      </c>
      <c r="I354" s="47">
        <f t="shared" si="22"/>
        <v>8766.33</v>
      </c>
      <c r="J354" s="47">
        <f t="shared" si="22"/>
        <v>0</v>
      </c>
      <c r="K354" s="47">
        <f t="shared" si="22"/>
        <v>434.5</v>
      </c>
      <c r="L354" s="47">
        <f t="shared" si="22"/>
        <v>27360.620000000003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8353.66</v>
      </c>
      <c r="G359" s="18"/>
      <c r="H359" s="18"/>
      <c r="I359" s="56">
        <f>SUM(F359:H359)</f>
        <v>8353.66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412.67</v>
      </c>
      <c r="G360" s="63"/>
      <c r="H360" s="63"/>
      <c r="I360" s="56">
        <f>SUM(F360:H360)</f>
        <v>412.67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8766.33</v>
      </c>
      <c r="G361" s="47">
        <f>SUM(G359:G360)</f>
        <v>0</v>
      </c>
      <c r="H361" s="47">
        <f>SUM(H359:H360)</f>
        <v>0</v>
      </c>
      <c r="I361" s="47">
        <f>SUM(I359:I360)</f>
        <v>8766.33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30000</v>
      </c>
      <c r="H381" s="18">
        <v>462.91</v>
      </c>
      <c r="I381" s="18"/>
      <c r="J381" s="24" t="s">
        <v>312</v>
      </c>
      <c r="K381" s="24" t="s">
        <v>312</v>
      </c>
      <c r="L381" s="56">
        <f t="shared" si="25"/>
        <v>30462.91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30000</v>
      </c>
      <c r="H385" s="139">
        <f>SUM(H379:H384)</f>
        <v>462.91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30462.91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278.81</v>
      </c>
      <c r="I389" s="18"/>
      <c r="J389" s="24" t="s">
        <v>312</v>
      </c>
      <c r="K389" s="24" t="s">
        <v>312</v>
      </c>
      <c r="L389" s="56">
        <f t="shared" si="26"/>
        <v>278.81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278.81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278.81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30000</v>
      </c>
      <c r="H400" s="47">
        <f>H385+H393+H399</f>
        <v>741.72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30741.72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198479.94</v>
      </c>
      <c r="G432" s="18">
        <v>106274.97</v>
      </c>
      <c r="H432" s="18"/>
      <c r="I432" s="56">
        <f t="shared" si="33"/>
        <v>304754.91000000003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198479.94</v>
      </c>
      <c r="G438" s="13">
        <f>SUM(G431:G437)</f>
        <v>106274.97</v>
      </c>
      <c r="H438" s="13">
        <f>SUM(H431:H437)</f>
        <v>0</v>
      </c>
      <c r="I438" s="13">
        <f>SUM(I431:I437)</f>
        <v>304754.91000000003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198479.94</v>
      </c>
      <c r="G449" s="18">
        <v>106274.97</v>
      </c>
      <c r="H449" s="18"/>
      <c r="I449" s="56">
        <f>SUM(F449:H449)</f>
        <v>304754.91000000003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198479.94</v>
      </c>
      <c r="G450" s="83">
        <f>SUM(G446:G449)</f>
        <v>106274.97</v>
      </c>
      <c r="H450" s="83">
        <f>SUM(H446:H449)</f>
        <v>0</v>
      </c>
      <c r="I450" s="83">
        <f>SUM(I446:I449)</f>
        <v>304754.91000000003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198479.94</v>
      </c>
      <c r="G451" s="42">
        <f>G444+G450</f>
        <v>106274.97</v>
      </c>
      <c r="H451" s="42">
        <f>H444+H450</f>
        <v>0</v>
      </c>
      <c r="I451" s="42">
        <f>I444+I450</f>
        <v>304754.91000000003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62056.66</v>
      </c>
      <c r="G455" s="18">
        <v>0</v>
      </c>
      <c r="H455" s="18">
        <v>19716.3</v>
      </c>
      <c r="I455" s="18">
        <v>0</v>
      </c>
      <c r="J455" s="18">
        <v>274013.19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1704108.09</v>
      </c>
      <c r="G458" s="18">
        <v>27360.62</v>
      </c>
      <c r="H458" s="18">
        <f>27097.97+169+50176.34</f>
        <v>77443.31</v>
      </c>
      <c r="I458" s="18"/>
      <c r="J458" s="18">
        <f>278.81+30000+462.91</f>
        <v>30741.72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1704108.09</v>
      </c>
      <c r="G460" s="53">
        <f>SUM(G458:G459)</f>
        <v>27360.62</v>
      </c>
      <c r="H460" s="53">
        <f>SUM(H458:H459)</f>
        <v>77443.31</v>
      </c>
      <c r="I460" s="53">
        <f>SUM(I458:I459)</f>
        <v>0</v>
      </c>
      <c r="J460" s="53">
        <f>SUM(J458:J459)</f>
        <v>30741.72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1751857.17</v>
      </c>
      <c r="G462" s="18">
        <v>27360.62</v>
      </c>
      <c r="H462" s="18">
        <f>27097.97+169+71044.99</f>
        <v>98311.96</v>
      </c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1751857.17</v>
      </c>
      <c r="G464" s="53">
        <f>SUM(G462:G463)</f>
        <v>27360.62</v>
      </c>
      <c r="H464" s="53">
        <f>SUM(H462:H463)</f>
        <v>98311.96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14307.580000000075</v>
      </c>
      <c r="G466" s="53">
        <f>(G455+G460)- G464</f>
        <v>0</v>
      </c>
      <c r="H466" s="53">
        <f>(H455+H460)- H464</f>
        <v>-1152.3500000000058</v>
      </c>
      <c r="I466" s="53">
        <f>(I455+I460)- I464</f>
        <v>0</v>
      </c>
      <c r="J466" s="53">
        <f>(J455+J460)- J464</f>
        <v>304754.91000000003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54097.88+20436.51+3700.4+3283.4</f>
        <v>81518.189999999988</v>
      </c>
      <c r="G511" s="18">
        <f>28402.53+1200.04+194.4+208.91+5852.68+5798.26+250.91+251.18+10.51</f>
        <v>42169.420000000006</v>
      </c>
      <c r="H511" s="18">
        <f>26559.5+2978.4</f>
        <v>29537.9</v>
      </c>
      <c r="I511" s="18">
        <f>144.03+375.8</f>
        <v>519.83000000000004</v>
      </c>
      <c r="J511" s="18"/>
      <c r="K511" s="18"/>
      <c r="L511" s="88">
        <f>SUM(F511:K511)</f>
        <v>153745.33999999997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v>63930.31</v>
      </c>
      <c r="I512" s="18"/>
      <c r="J512" s="18"/>
      <c r="K512" s="18"/>
      <c r="L512" s="88">
        <f>SUM(F512:K512)</f>
        <v>63930.31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64179.55</v>
      </c>
      <c r="I513" s="18"/>
      <c r="J513" s="18"/>
      <c r="K513" s="18"/>
      <c r="L513" s="88">
        <f>SUM(F513:K513)</f>
        <v>64179.55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81518.189999999988</v>
      </c>
      <c r="G514" s="108">
        <f t="shared" ref="G514:L514" si="35">SUM(G511:G513)</f>
        <v>42169.420000000006</v>
      </c>
      <c r="H514" s="108">
        <f t="shared" si="35"/>
        <v>157647.76</v>
      </c>
      <c r="I514" s="108">
        <f t="shared" si="35"/>
        <v>519.83000000000004</v>
      </c>
      <c r="J514" s="108">
        <f t="shared" si="35"/>
        <v>0</v>
      </c>
      <c r="K514" s="108">
        <f t="shared" si="35"/>
        <v>0</v>
      </c>
      <c r="L514" s="89">
        <f t="shared" si="35"/>
        <v>281855.19999999995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9326.1+12727.6+22519.1+17490.33+8664</f>
        <v>70727.13</v>
      </c>
      <c r="I516" s="18">
        <f>37+202.98</f>
        <v>239.98</v>
      </c>
      <c r="J516" s="18"/>
      <c r="K516" s="18"/>
      <c r="L516" s="88">
        <f>SUM(F516:K516)</f>
        <v>70967.11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70727.13</v>
      </c>
      <c r="I519" s="89">
        <f t="shared" si="36"/>
        <v>239.98</v>
      </c>
      <c r="J519" s="89">
        <f t="shared" si="36"/>
        <v>0</v>
      </c>
      <c r="K519" s="89">
        <f t="shared" si="36"/>
        <v>0</v>
      </c>
      <c r="L519" s="89">
        <f t="shared" si="36"/>
        <v>70967.11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11597</v>
      </c>
      <c r="I521" s="18"/>
      <c r="J521" s="18"/>
      <c r="K521" s="18"/>
      <c r="L521" s="88">
        <f>SUM(F521:K521)</f>
        <v>11597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11597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11597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3990</v>
      </c>
      <c r="I531" s="18"/>
      <c r="J531" s="18"/>
      <c r="K531" s="18"/>
      <c r="L531" s="88">
        <f>SUM(F531:K531)</f>
        <v>3990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1950</v>
      </c>
      <c r="I532" s="18"/>
      <c r="J532" s="18"/>
      <c r="K532" s="18"/>
      <c r="L532" s="88">
        <f>SUM(F532:K532)</f>
        <v>1950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5940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5940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81518.189999999988</v>
      </c>
      <c r="G535" s="89">
        <f t="shared" ref="G535:L535" si="40">G514+G519+G524+G529+G534</f>
        <v>42169.420000000006</v>
      </c>
      <c r="H535" s="89">
        <f t="shared" si="40"/>
        <v>245911.89</v>
      </c>
      <c r="I535" s="89">
        <f t="shared" si="40"/>
        <v>759.81000000000006</v>
      </c>
      <c r="J535" s="89">
        <f t="shared" si="40"/>
        <v>0</v>
      </c>
      <c r="K535" s="89">
        <f t="shared" si="40"/>
        <v>0</v>
      </c>
      <c r="L535" s="89">
        <f t="shared" si="40"/>
        <v>370359.30999999994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153745.33999999997</v>
      </c>
      <c r="G539" s="87">
        <f>L516</f>
        <v>70967.11</v>
      </c>
      <c r="H539" s="87">
        <f>L521</f>
        <v>11597</v>
      </c>
      <c r="I539" s="87">
        <f>L526</f>
        <v>0</v>
      </c>
      <c r="J539" s="87">
        <f>L531</f>
        <v>3990</v>
      </c>
      <c r="K539" s="87">
        <f>SUM(F539:J539)</f>
        <v>240299.44999999995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63930.31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1950</v>
      </c>
      <c r="K540" s="87">
        <f>SUM(F540:J540)</f>
        <v>65880.31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64179.55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64179.55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281855.19999999995</v>
      </c>
      <c r="G542" s="89">
        <f t="shared" si="41"/>
        <v>70967.11</v>
      </c>
      <c r="H542" s="89">
        <f t="shared" si="41"/>
        <v>11597</v>
      </c>
      <c r="I542" s="89">
        <f t="shared" si="41"/>
        <v>0</v>
      </c>
      <c r="J542" s="89">
        <f t="shared" si="41"/>
        <v>5940</v>
      </c>
      <c r="K542" s="89">
        <f t="shared" si="41"/>
        <v>370359.30999999994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122760</v>
      </c>
      <c r="H565" s="18">
        <v>273155.3</v>
      </c>
      <c r="I565" s="87">
        <f>SUM(F565:H565)</f>
        <v>395915.3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26559.5</v>
      </c>
      <c r="G569" s="18">
        <v>63930.31</v>
      </c>
      <c r="H569" s="18">
        <v>64179.55</v>
      </c>
      <c r="I569" s="87">
        <f t="shared" si="46"/>
        <v>154669.35999999999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2978.4</v>
      </c>
      <c r="G572" s="18"/>
      <c r="H572" s="18"/>
      <c r="I572" s="87">
        <f t="shared" si="46"/>
        <v>2978.4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46771+15591</f>
        <v>62362</v>
      </c>
      <c r="I581" s="18">
        <v>15590</v>
      </c>
      <c r="J581" s="18">
        <v>15590</v>
      </c>
      <c r="K581" s="104">
        <f t="shared" ref="K581:K587" si="47">SUM(H581:J581)</f>
        <v>93542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3990</v>
      </c>
      <c r="I582" s="18">
        <v>1950</v>
      </c>
      <c r="J582" s="18"/>
      <c r="K582" s="104">
        <f t="shared" si="47"/>
        <v>5940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631</v>
      </c>
      <c r="I585" s="18"/>
      <c r="J585" s="18"/>
      <c r="K585" s="104">
        <f t="shared" si="47"/>
        <v>631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66983</v>
      </c>
      <c r="I588" s="108">
        <f>SUM(I581:I587)</f>
        <v>17540</v>
      </c>
      <c r="J588" s="108">
        <f>SUM(J581:J587)</f>
        <v>15590</v>
      </c>
      <c r="K588" s="108">
        <f>SUM(K581:K587)</f>
        <v>100113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9263.6299999999992</v>
      </c>
      <c r="I594" s="18"/>
      <c r="J594" s="18"/>
      <c r="K594" s="104">
        <f>SUM(H594:J594)</f>
        <v>9263.6299999999992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9263.6299999999992</v>
      </c>
      <c r="I595" s="108">
        <f>SUM(I592:I594)</f>
        <v>0</v>
      </c>
      <c r="J595" s="108">
        <f>SUM(J592:J594)</f>
        <v>0</v>
      </c>
      <c r="K595" s="108">
        <f>SUM(K592:K594)</f>
        <v>9263.6299999999992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3120</v>
      </c>
      <c r="G601" s="18">
        <f>238.68+170.77+9.98</f>
        <v>419.43000000000006</v>
      </c>
      <c r="H601" s="18"/>
      <c r="I601" s="18"/>
      <c r="J601" s="18"/>
      <c r="K601" s="18"/>
      <c r="L601" s="88">
        <f>SUM(F601:K601)</f>
        <v>3539.4300000000003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3120</v>
      </c>
      <c r="G604" s="108">
        <f t="shared" si="48"/>
        <v>419.43000000000006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3539.4300000000003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22145.56</v>
      </c>
      <c r="H607" s="109">
        <f>SUM(F44)</f>
        <v>22145.56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22758.82</v>
      </c>
      <c r="H609" s="109">
        <f>SUM(H44)</f>
        <v>22758.820000000007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304754.91000000003</v>
      </c>
      <c r="H611" s="109">
        <f>SUM(J44)</f>
        <v>304754.91000000003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14307.580000000002</v>
      </c>
      <c r="H612" s="109">
        <f>F466</f>
        <v>14307.580000000075</v>
      </c>
      <c r="I612" s="121" t="s">
        <v>106</v>
      </c>
      <c r="J612" s="109">
        <f t="shared" ref="J612:J645" si="49">G612-H612</f>
        <v>-7.2759576141834259E-11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-1152.3499999999999</v>
      </c>
      <c r="H614" s="109">
        <f>H466</f>
        <v>-1152.3500000000058</v>
      </c>
      <c r="I614" s="121" t="s">
        <v>110</v>
      </c>
      <c r="J614" s="109">
        <f t="shared" si="49"/>
        <v>5.9117155615240335E-12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304754.91000000003</v>
      </c>
      <c r="H616" s="109">
        <f>J466</f>
        <v>304754.91000000003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1704108.09</v>
      </c>
      <c r="H617" s="104">
        <f>SUM(F458)</f>
        <v>1704108.09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27360.62</v>
      </c>
      <c r="H618" s="104">
        <f>SUM(G458)</f>
        <v>27360.62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77443.31</v>
      </c>
      <c r="H619" s="104">
        <f>SUM(H458)</f>
        <v>77443.31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30741.72</v>
      </c>
      <c r="H621" s="104">
        <f>SUM(J458)</f>
        <v>30741.72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1751857.1699999997</v>
      </c>
      <c r="H622" s="104">
        <f>SUM(F462)</f>
        <v>1751857.17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98311.959999999992</v>
      </c>
      <c r="H623" s="104">
        <f>SUM(H462)</f>
        <v>98311.96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8766.33</v>
      </c>
      <c r="H624" s="104">
        <f>I361</f>
        <v>8766.33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27360.620000000003</v>
      </c>
      <c r="H625" s="104">
        <f>SUM(G462)</f>
        <v>27360.62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30741.72</v>
      </c>
      <c r="H627" s="164">
        <f>SUM(J458)</f>
        <v>30741.72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198479.94</v>
      </c>
      <c r="H629" s="104">
        <f>SUM(F451)</f>
        <v>198479.94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106274.97</v>
      </c>
      <c r="H630" s="104">
        <f>SUM(G451)</f>
        <v>106274.97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304754.91000000003</v>
      </c>
      <c r="H632" s="104">
        <f>SUM(I451)</f>
        <v>304754.91000000003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741.72</v>
      </c>
      <c r="H634" s="104">
        <f>H400</f>
        <v>741.72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30000</v>
      </c>
      <c r="H635" s="104">
        <f>G400</f>
        <v>30000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30741.72</v>
      </c>
      <c r="H636" s="104">
        <f>L400</f>
        <v>30741.72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100113</v>
      </c>
      <c r="H637" s="104">
        <f>L200+L218+L236</f>
        <v>100113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9263.6299999999992</v>
      </c>
      <c r="H638" s="104">
        <f>(J249+J330)-(J247+J328)</f>
        <v>9263.630000000001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66983</v>
      </c>
      <c r="H639" s="104">
        <f>H588</f>
        <v>66983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17540</v>
      </c>
      <c r="H640" s="104">
        <f>I588</f>
        <v>17540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15590</v>
      </c>
      <c r="H641" s="104">
        <f>J588</f>
        <v>15590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11644.41</v>
      </c>
      <c r="H642" s="104">
        <f>K255+K337</f>
        <v>11644.41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30000</v>
      </c>
      <c r="H645" s="104">
        <f>K258+K339</f>
        <v>30000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1278730.18</v>
      </c>
      <c r="G650" s="19">
        <f>(L221+L301+L351)</f>
        <v>204230.31</v>
      </c>
      <c r="H650" s="19">
        <f>(L239+L320+L352)</f>
        <v>352924.85</v>
      </c>
      <c r="I650" s="19">
        <f>SUM(F650:H650)</f>
        <v>1835885.3399999999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9969.7899999999991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9969.7899999999991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73418</v>
      </c>
      <c r="G652" s="19">
        <f>(L218+L298)-(J218+J298)</f>
        <v>17540</v>
      </c>
      <c r="H652" s="19">
        <f>(L236+L317)-(J236+J317)</f>
        <v>15590</v>
      </c>
      <c r="I652" s="19">
        <f>SUM(F652:H652)</f>
        <v>106548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42340.959999999999</v>
      </c>
      <c r="G653" s="200">
        <f>SUM(G565:G577)+SUM(I592:I594)+L602</f>
        <v>186690.31</v>
      </c>
      <c r="H653" s="200">
        <f>SUM(H565:H577)+SUM(J592:J594)+L603</f>
        <v>337334.85</v>
      </c>
      <c r="I653" s="19">
        <f>SUM(F653:H653)</f>
        <v>566366.12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1153001.43</v>
      </c>
      <c r="G654" s="19">
        <f>G650-SUM(G651:G653)</f>
        <v>0</v>
      </c>
      <c r="H654" s="19">
        <f>H650-SUM(H651:H653)</f>
        <v>0</v>
      </c>
      <c r="I654" s="19">
        <f>I650-SUM(I651:I653)</f>
        <v>1153001.4299999997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42.1</v>
      </c>
      <c r="G655" s="249"/>
      <c r="H655" s="249"/>
      <c r="I655" s="19">
        <f>SUM(F655:H655)</f>
        <v>42.1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27387.21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27387.21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27387.21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27387.21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ABC2-B87F-4D49-B7C6-F1E783D746F7}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Harrisville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347938.12</v>
      </c>
      <c r="C9" s="230">
        <f>'DOE25'!G189+'DOE25'!G207+'DOE25'!G225+'DOE25'!G268+'DOE25'!G287+'DOE25'!G306</f>
        <v>121307.44</v>
      </c>
    </row>
    <row r="10" spans="1:3" x14ac:dyDescent="0.2">
      <c r="A10" t="s">
        <v>813</v>
      </c>
      <c r="B10" s="241">
        <v>340308.97</v>
      </c>
      <c r="C10" s="241">
        <v>118647.56</v>
      </c>
    </row>
    <row r="11" spans="1:3" x14ac:dyDescent="0.2">
      <c r="A11" t="s">
        <v>814</v>
      </c>
      <c r="B11" s="241">
        <v>7629.15</v>
      </c>
      <c r="C11" s="241">
        <v>2659.88</v>
      </c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347938.12</v>
      </c>
      <c r="C13" s="232">
        <f>SUM(C10:C12)</f>
        <v>121307.44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81518.189999999988</v>
      </c>
      <c r="C18" s="230">
        <f>'DOE25'!G190+'DOE25'!G208+'DOE25'!G226+'DOE25'!G269+'DOE25'!G288+'DOE25'!G307</f>
        <v>42169.420000000006</v>
      </c>
    </row>
    <row r="19" spans="1:3" x14ac:dyDescent="0.2">
      <c r="A19" t="s">
        <v>813</v>
      </c>
      <c r="B19" s="241">
        <v>57381.279999999999</v>
      </c>
      <c r="C19" s="241">
        <v>29683.38</v>
      </c>
    </row>
    <row r="20" spans="1:3" x14ac:dyDescent="0.2">
      <c r="A20" t="s">
        <v>814</v>
      </c>
      <c r="B20" s="241">
        <v>24136.91</v>
      </c>
      <c r="C20" s="241">
        <v>12486.04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81518.19</v>
      </c>
      <c r="C22" s="232">
        <f>SUM(C19:C21)</f>
        <v>42169.42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4480</v>
      </c>
      <c r="C36" s="236">
        <f>'DOE25'!G192+'DOE25'!G210+'DOE25'!G228+'DOE25'!G271+'DOE25'!G290+'DOE25'!G309</f>
        <v>641.68000000000006</v>
      </c>
    </row>
    <row r="37" spans="1:3" x14ac:dyDescent="0.2">
      <c r="A37" t="s">
        <v>813</v>
      </c>
      <c r="B37" s="241">
        <v>4480</v>
      </c>
      <c r="C37" s="241">
        <v>641.67999999999995</v>
      </c>
    </row>
    <row r="38" spans="1:3" x14ac:dyDescent="0.2">
      <c r="A38" t="s">
        <v>814</v>
      </c>
      <c r="B38" s="241">
        <v>0</v>
      </c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4480</v>
      </c>
      <c r="C40" s="232">
        <f>SUM(C37:C39)</f>
        <v>641.67999999999995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9073-5934-4B7A-BCC5-D2524FC25ADF}">
  <sheetPr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Harrisville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1138936.3199999998</v>
      </c>
      <c r="D5" s="20">
        <f>SUM('DOE25'!L189:L192)+SUM('DOE25'!L207:L210)+SUM('DOE25'!L225:L228)-F5-G5</f>
        <v>1130758.8499999999</v>
      </c>
      <c r="E5" s="244"/>
      <c r="F5" s="256">
        <f>SUM('DOE25'!J189:J192)+SUM('DOE25'!J207:J210)+SUM('DOE25'!J225:J228)</f>
        <v>8067.47</v>
      </c>
      <c r="G5" s="53">
        <f>SUM('DOE25'!K189:K192)+SUM('DOE25'!K207:K210)+SUM('DOE25'!K225:K228)</f>
        <v>110</v>
      </c>
      <c r="H5" s="260"/>
    </row>
    <row r="6" spans="1:9" x14ac:dyDescent="0.2">
      <c r="A6" s="32">
        <v>2100</v>
      </c>
      <c r="B6" t="s">
        <v>835</v>
      </c>
      <c r="C6" s="246">
        <f t="shared" si="0"/>
        <v>104009.56000000001</v>
      </c>
      <c r="D6" s="20">
        <f>'DOE25'!L194+'DOE25'!L212+'DOE25'!L230-F6-G6</f>
        <v>104009.56000000001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19343.830000000002</v>
      </c>
      <c r="D7" s="20">
        <f>'DOE25'!L195+'DOE25'!L213+'DOE25'!L231-F7-G7</f>
        <v>18894.830000000002</v>
      </c>
      <c r="E7" s="244"/>
      <c r="F7" s="256">
        <f>'DOE25'!J195+'DOE25'!J213+'DOE25'!J231</f>
        <v>0</v>
      </c>
      <c r="G7" s="53">
        <f>'DOE25'!K195+'DOE25'!K213+'DOE25'!K231</f>
        <v>449</v>
      </c>
      <c r="H7" s="260"/>
    </row>
    <row r="8" spans="1:9" x14ac:dyDescent="0.2">
      <c r="A8" s="32">
        <v>2300</v>
      </c>
      <c r="B8" t="s">
        <v>836</v>
      </c>
      <c r="C8" s="246">
        <f t="shared" si="0"/>
        <v>110740.41000000002</v>
      </c>
      <c r="D8" s="244"/>
      <c r="E8" s="20">
        <f>'DOE25'!L196+'DOE25'!L214+'DOE25'!L232-F8-G8-D9-D11</f>
        <v>107740.91000000002</v>
      </c>
      <c r="F8" s="256">
        <f>'DOE25'!J196+'DOE25'!J214+'DOE25'!J232</f>
        <v>0</v>
      </c>
      <c r="G8" s="53">
        <f>'DOE25'!K196+'DOE25'!K214+'DOE25'!K232</f>
        <v>2999.5</v>
      </c>
      <c r="H8" s="260"/>
    </row>
    <row r="9" spans="1:9" x14ac:dyDescent="0.2">
      <c r="A9" s="32">
        <v>2310</v>
      </c>
      <c r="B9" t="s">
        <v>852</v>
      </c>
      <c r="C9" s="246">
        <f t="shared" si="0"/>
        <v>9184.5400000000009</v>
      </c>
      <c r="D9" s="245">
        <v>9184.5400000000009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5000</v>
      </c>
      <c r="D10" s="244"/>
      <c r="E10" s="245">
        <v>5000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30206.99</v>
      </c>
      <c r="D11" s="245">
        <v>30206.99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97791.89</v>
      </c>
      <c r="D12" s="20">
        <f>'DOE25'!L197+'DOE25'!L215+'DOE25'!L233-F12-G12</f>
        <v>97231.89</v>
      </c>
      <c r="E12" s="244"/>
      <c r="F12" s="256">
        <f>'DOE25'!J197+'DOE25'!J215+'DOE25'!J233</f>
        <v>0</v>
      </c>
      <c r="G12" s="53">
        <f>'DOE25'!K197+'DOE25'!K215+'DOE25'!K233</f>
        <v>560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98754.559999999998</v>
      </c>
      <c r="D14" s="20">
        <f>'DOE25'!L199+'DOE25'!L217+'DOE25'!L235-F14-G14</f>
        <v>98507.4</v>
      </c>
      <c r="E14" s="244"/>
      <c r="F14" s="256">
        <f>'DOE25'!J199+'DOE25'!J217+'DOE25'!J235</f>
        <v>247.16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100113</v>
      </c>
      <c r="D15" s="20">
        <f>'DOE25'!L200+'DOE25'!L218+'DOE25'!L236-F15-G15</f>
        <v>100113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1131.6600000000001</v>
      </c>
      <c r="D16" s="244"/>
      <c r="E16" s="20">
        <f>'DOE25'!L201+'DOE25'!L219+'DOE25'!L237-F16-G16</f>
        <v>1131.6600000000001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19006.960000000003</v>
      </c>
      <c r="D29" s="20">
        <f>'DOE25'!L350+'DOE25'!L351+'DOE25'!L352-'DOE25'!I359-F29-G29</f>
        <v>18572.460000000003</v>
      </c>
      <c r="E29" s="244"/>
      <c r="F29" s="256">
        <f>'DOE25'!J350+'DOE25'!J351+'DOE25'!J352</f>
        <v>0</v>
      </c>
      <c r="G29" s="53">
        <f>'DOE25'!K350+'DOE25'!K351+'DOE25'!K352</f>
        <v>434.5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98311.959999999992</v>
      </c>
      <c r="D31" s="20">
        <f>'DOE25'!L282+'DOE25'!L301+'DOE25'!L320+'DOE25'!L325+'DOE25'!L326+'DOE25'!L327-F31-G31</f>
        <v>96246.12999999999</v>
      </c>
      <c r="E31" s="244"/>
      <c r="F31" s="256">
        <f>'DOE25'!J282+'DOE25'!J301+'DOE25'!J320+'DOE25'!J325+'DOE25'!J326+'DOE25'!J327</f>
        <v>949</v>
      </c>
      <c r="G31" s="53">
        <f>'DOE25'!K282+'DOE25'!K301+'DOE25'!K320+'DOE25'!K325+'DOE25'!K326+'DOE25'!K327</f>
        <v>1116.83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1703725.6499999997</v>
      </c>
      <c r="E33" s="247">
        <f>SUM(E5:E31)</f>
        <v>113872.57000000002</v>
      </c>
      <c r="F33" s="247">
        <f>SUM(F5:F31)</f>
        <v>9263.630000000001</v>
      </c>
      <c r="G33" s="247">
        <f>SUM(G5:G31)</f>
        <v>5669.83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113872.57000000002</v>
      </c>
      <c r="E35" s="250"/>
    </row>
    <row r="36" spans="2:8" ht="12" thickTop="1" x14ac:dyDescent="0.2">
      <c r="B36" t="s">
        <v>849</v>
      </c>
      <c r="D36" s="20">
        <f>D33</f>
        <v>1703725.6499999997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DD10-7B39-4534-9870-203BF7836E65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Harrisville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-21172.33</v>
      </c>
      <c r="D9" s="95">
        <f>'DOE25'!G9</f>
        <v>0</v>
      </c>
      <c r="E9" s="95">
        <f>'DOE25'!H9</f>
        <v>231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23665.15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304754.91000000003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18650.66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1002.08</v>
      </c>
      <c r="D13" s="95">
        <f>'DOE25'!G13</f>
        <v>0</v>
      </c>
      <c r="E13" s="95">
        <f>'DOE25'!H13</f>
        <v>16565.22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5962.6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22145.56</v>
      </c>
      <c r="D19" s="41">
        <f>SUM(D9:D18)</f>
        <v>0</v>
      </c>
      <c r="E19" s="41">
        <f>SUM(E9:E18)</f>
        <v>22758.82</v>
      </c>
      <c r="F19" s="41">
        <f>SUM(F9:F18)</f>
        <v>0</v>
      </c>
      <c r="G19" s="41">
        <f>SUM(G9:G18)</f>
        <v>304754.91000000003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18650.66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566.29999999999995</v>
      </c>
      <c r="D23" s="95">
        <f>'DOE25'!G24</f>
        <v>0</v>
      </c>
      <c r="E23" s="95">
        <f>'DOE25'!H24</f>
        <v>839.08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5994.83</v>
      </c>
      <c r="D24" s="95">
        <f>'DOE25'!G25</f>
        <v>0</v>
      </c>
      <c r="E24" s="95">
        <f>'DOE25'!H25</f>
        <v>122.74000000000001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1276.8499999999999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4298.6900000000005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7837.98</v>
      </c>
      <c r="D32" s="41">
        <f>SUM(D22:D31)</f>
        <v>0</v>
      </c>
      <c r="E32" s="41">
        <f>SUM(E22:E31)</f>
        <v>23911.170000000006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6024.04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-1152.3499999999999</v>
      </c>
      <c r="F40" s="95">
        <f>'DOE25'!I41</f>
        <v>0</v>
      </c>
      <c r="G40" s="95">
        <f>'DOE25'!J41</f>
        <v>304754.91000000003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8283.5400000000009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14307.580000000002</v>
      </c>
      <c r="D42" s="41">
        <f>SUM(D34:D41)</f>
        <v>0</v>
      </c>
      <c r="E42" s="41">
        <f>SUM(E34:E41)</f>
        <v>-1152.3499999999999</v>
      </c>
      <c r="F42" s="41">
        <f>SUM(F34:F41)</f>
        <v>0</v>
      </c>
      <c r="G42" s="41">
        <f>SUM(G34:G41)</f>
        <v>304754.91000000003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22145.56</v>
      </c>
      <c r="D43" s="41">
        <f>D42+D32</f>
        <v>0</v>
      </c>
      <c r="E43" s="41">
        <f>E42+E32</f>
        <v>22758.820000000007</v>
      </c>
      <c r="F43" s="41">
        <f>F42+F32</f>
        <v>0</v>
      </c>
      <c r="G43" s="41">
        <f>G42+G32</f>
        <v>304754.91000000003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1139892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3450</v>
      </c>
      <c r="D49" s="24" t="s">
        <v>312</v>
      </c>
      <c r="E49" s="95">
        <f>'DOE25'!H71</f>
        <v>41748.22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1600.48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741.72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9969.7899999999991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41644.06</v>
      </c>
      <c r="D53" s="95">
        <f>SUM('DOE25'!G90:G102)</f>
        <v>0</v>
      </c>
      <c r="E53" s="95">
        <f>SUM('DOE25'!H90:H102)</f>
        <v>8597.1200000000008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46694.539999999994</v>
      </c>
      <c r="D54" s="130">
        <f>SUM(D49:D53)</f>
        <v>9969.7899999999991</v>
      </c>
      <c r="E54" s="130">
        <f>SUM(E49:E53)</f>
        <v>50345.340000000004</v>
      </c>
      <c r="F54" s="130">
        <f>SUM(F49:F53)</f>
        <v>0</v>
      </c>
      <c r="G54" s="130">
        <f>SUM(G49:G53)</f>
        <v>741.72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1186586.54</v>
      </c>
      <c r="D55" s="22">
        <f>D48+D54</f>
        <v>9969.7899999999991</v>
      </c>
      <c r="E55" s="22">
        <f>E48+E54</f>
        <v>50345.340000000004</v>
      </c>
      <c r="F55" s="22">
        <f>F48+F54</f>
        <v>0</v>
      </c>
      <c r="G55" s="22">
        <f>G48+G54</f>
        <v>741.72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2715.42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498208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1042.58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501966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267.73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267.73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501966</v>
      </c>
      <c r="D73" s="130">
        <f>SUM(D71:D72)+D70+D62</f>
        <v>267.73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949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15555.55</v>
      </c>
      <c r="D80" s="95">
        <f>SUM('DOE25'!G145:G153)</f>
        <v>5478.69</v>
      </c>
      <c r="E80" s="95">
        <f>SUM('DOE25'!H145:H153)</f>
        <v>26148.969999999998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15555.55</v>
      </c>
      <c r="D83" s="131">
        <f>SUM(D77:D82)</f>
        <v>5478.69</v>
      </c>
      <c r="E83" s="131">
        <f>SUM(E77:E82)</f>
        <v>27097.969999999998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11644.41</v>
      </c>
      <c r="E88" s="95">
        <f>'DOE25'!H171</f>
        <v>0</v>
      </c>
      <c r="F88" s="95">
        <f>'DOE25'!I171</f>
        <v>0</v>
      </c>
      <c r="G88" s="95">
        <f>'DOE25'!J171</f>
        <v>30000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11644.41</v>
      </c>
      <c r="E95" s="86">
        <f>SUM(E85:E94)</f>
        <v>0</v>
      </c>
      <c r="F95" s="86">
        <f>SUM(F85:F94)</f>
        <v>0</v>
      </c>
      <c r="G95" s="86">
        <f>SUM(G85:G94)</f>
        <v>30000</v>
      </c>
    </row>
    <row r="96" spans="1:7" ht="12.75" thickTop="1" thickBot="1" x14ac:dyDescent="0.25">
      <c r="A96" s="33" t="s">
        <v>797</v>
      </c>
      <c r="C96" s="86">
        <f>C55+C73+C83+C95</f>
        <v>1704108.09</v>
      </c>
      <c r="D96" s="86">
        <f>D55+D73+D83+D95</f>
        <v>27360.62</v>
      </c>
      <c r="E96" s="86">
        <f>E55+E73+E83+E95</f>
        <v>77443.31</v>
      </c>
      <c r="F96" s="86">
        <f>F55+F73+F83+F95</f>
        <v>0</v>
      </c>
      <c r="G96" s="86">
        <f>G55+G73+G95</f>
        <v>30741.72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854801.69</v>
      </c>
      <c r="D101" s="24" t="s">
        <v>312</v>
      </c>
      <c r="E101" s="95">
        <f>('DOE25'!L268)+('DOE25'!L287)+('DOE25'!L306)</f>
        <v>78550.539999999994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278310.11</v>
      </c>
      <c r="D102" s="24" t="s">
        <v>312</v>
      </c>
      <c r="E102" s="95">
        <f>('DOE25'!L269)+('DOE25'!L288)+('DOE25'!L307)</f>
        <v>3545.09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5824.52</v>
      </c>
      <c r="D104" s="24" t="s">
        <v>312</v>
      </c>
      <c r="E104" s="95">
        <f>+('DOE25'!L271)+('DOE25'!L290)+('DOE25'!L309)</f>
        <v>169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1138936.3199999998</v>
      </c>
      <c r="D107" s="86">
        <f>SUM(D101:D106)</f>
        <v>0</v>
      </c>
      <c r="E107" s="86">
        <f>SUM(E101:E106)</f>
        <v>82264.62999999999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104009.56000000001</v>
      </c>
      <c r="D110" s="24" t="s">
        <v>312</v>
      </c>
      <c r="E110" s="95">
        <f>+('DOE25'!L273)+('DOE25'!L292)+('DOE25'!L311)</f>
        <v>2165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19343.830000000002</v>
      </c>
      <c r="D111" s="24" t="s">
        <v>312</v>
      </c>
      <c r="E111" s="95">
        <f>+('DOE25'!L274)+('DOE25'!L293)+('DOE25'!L312)</f>
        <v>5373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150131.94000000003</v>
      </c>
      <c r="D112" s="24" t="s">
        <v>312</v>
      </c>
      <c r="E112" s="95">
        <f>+('DOE25'!L275)+('DOE25'!L294)+('DOE25'!L313)</f>
        <v>894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97791.89</v>
      </c>
      <c r="D113" s="24" t="s">
        <v>312</v>
      </c>
      <c r="E113" s="95">
        <f>+('DOE25'!L276)+('DOE25'!L295)+('DOE25'!L314)</f>
        <v>63.5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1116.83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98754.559999999998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100113</v>
      </c>
      <c r="D116" s="24" t="s">
        <v>312</v>
      </c>
      <c r="E116" s="95">
        <f>+('DOE25'!L279)+('DOE25'!L298)+('DOE25'!L317)</f>
        <v>6435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1131.6600000000001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27360.620000000003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571276.44000000006</v>
      </c>
      <c r="D120" s="86">
        <f>SUM(D110:D119)</f>
        <v>27360.620000000003</v>
      </c>
      <c r="E120" s="86">
        <f>SUM(E110:E119)</f>
        <v>16047.33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11644.41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30462.91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278.81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-741.72000000000116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41644.409999999996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1751857.1699999997</v>
      </c>
      <c r="D137" s="86">
        <f>(D107+D120+D136)</f>
        <v>27360.620000000003</v>
      </c>
      <c r="E137" s="86">
        <f>(E107+E120+E136)</f>
        <v>98311.959999999992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BCD10-4AD8-4FE2-B29C-140B5B68B02B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Harrisville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27387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27387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933352</v>
      </c>
      <c r="D10" s="182">
        <f>ROUND((C10/$C$28)*100,1)</f>
        <v>51.1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281855</v>
      </c>
      <c r="D11" s="182">
        <f>ROUND((C11/$C$28)*100,1)</f>
        <v>15.4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5994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106175</v>
      </c>
      <c r="D15" s="182">
        <f t="shared" ref="D15:D27" si="0">ROUND((C15/$C$28)*100,1)</f>
        <v>5.8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24717</v>
      </c>
      <c r="D16" s="182">
        <f t="shared" si="0"/>
        <v>1.4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152158</v>
      </c>
      <c r="D17" s="182">
        <f t="shared" si="0"/>
        <v>8.3000000000000007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97855</v>
      </c>
      <c r="D18" s="182">
        <f t="shared" si="0"/>
        <v>5.4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1117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98755</v>
      </c>
      <c r="D20" s="182">
        <f t="shared" si="0"/>
        <v>5.4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106548</v>
      </c>
      <c r="D21" s="182">
        <f t="shared" si="0"/>
        <v>5.8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17391.21</v>
      </c>
      <c r="D27" s="182">
        <f t="shared" si="0"/>
        <v>1</v>
      </c>
    </row>
    <row r="28" spans="1:4" x14ac:dyDescent="0.2">
      <c r="B28" s="187" t="s">
        <v>754</v>
      </c>
      <c r="C28" s="180">
        <f>SUM(C10:C27)</f>
        <v>1825917.21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1825917.21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1139892</v>
      </c>
      <c r="D35" s="182">
        <f t="shared" ref="D35:D40" si="1">ROUND((C35/$C$41)*100,1)</f>
        <v>63.8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97781.600000000093</v>
      </c>
      <c r="D36" s="182">
        <f t="shared" si="1"/>
        <v>5.5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500923</v>
      </c>
      <c r="D37" s="182">
        <f t="shared" si="1"/>
        <v>28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1310</v>
      </c>
      <c r="D38" s="182">
        <f t="shared" si="1"/>
        <v>0.1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48132</v>
      </c>
      <c r="D39" s="182">
        <f t="shared" si="1"/>
        <v>2.7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1788038.6</v>
      </c>
      <c r="D41" s="184">
        <f>SUM(D35:D40)</f>
        <v>100.1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43694-AAE8-4E19-A420-7BBABC02D68E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Harrisville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2010-10-06T11:56:17Z</cp:lastPrinted>
  <dcterms:created xsi:type="dcterms:W3CDTF">1997-12-04T19:04:30Z</dcterms:created>
  <dcterms:modified xsi:type="dcterms:W3CDTF">2025-01-02T15:03:27Z</dcterms:modified>
</cp:coreProperties>
</file>