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5902112F-A91F-43CF-853F-0FBF539E3C00}" xr6:coauthVersionLast="47" xr6:coauthVersionMax="47" xr10:uidLastSave="{00000000-0000-0000-0000-000000000000}"/>
  <workbookProtection workbookPassword="B70A" lockStructure="1"/>
  <bookViews>
    <workbookView xWindow="1470" yWindow="1470" windowWidth="21600" windowHeight="11505" tabRatio="855" xr2:uid="{7983E846-AB47-4F34-91AD-0ABA8BEBE03E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6" i="1" l="1"/>
  <c r="H293" i="1"/>
  <c r="H274" i="1"/>
  <c r="H237" i="1"/>
  <c r="L237" i="1" s="1"/>
  <c r="H236" i="1"/>
  <c r="H235" i="1"/>
  <c r="H233" i="1"/>
  <c r="H232" i="1"/>
  <c r="H231" i="1"/>
  <c r="H230" i="1"/>
  <c r="H228" i="1"/>
  <c r="L228" i="1" s="1"/>
  <c r="C13" i="10" s="1"/>
  <c r="H227" i="1"/>
  <c r="H239" i="1" s="1"/>
  <c r="H226" i="1"/>
  <c r="H225" i="1"/>
  <c r="H219" i="1"/>
  <c r="H218" i="1"/>
  <c r="H217" i="1"/>
  <c r="H214" i="1"/>
  <c r="H213" i="1"/>
  <c r="H212" i="1"/>
  <c r="H210" i="1"/>
  <c r="H208" i="1"/>
  <c r="H221" i="1" s="1"/>
  <c r="H201" i="1"/>
  <c r="H200" i="1"/>
  <c r="H203" i="1" s="1"/>
  <c r="H249" i="1" s="1"/>
  <c r="H263" i="1" s="1"/>
  <c r="H199" i="1"/>
  <c r="H194" i="1"/>
  <c r="H196" i="1"/>
  <c r="H195" i="1"/>
  <c r="H190" i="1"/>
  <c r="L190" i="1" s="1"/>
  <c r="H189" i="1"/>
  <c r="L189" i="1" s="1"/>
  <c r="H147" i="1"/>
  <c r="H351" i="1"/>
  <c r="H352" i="1"/>
  <c r="H350" i="1"/>
  <c r="H354" i="1" s="1"/>
  <c r="H533" i="1"/>
  <c r="L533" i="1" s="1"/>
  <c r="J541" i="1" s="1"/>
  <c r="H531" i="1"/>
  <c r="H534" i="1" s="1"/>
  <c r="I517" i="1"/>
  <c r="I516" i="1"/>
  <c r="H513" i="1"/>
  <c r="H512" i="1"/>
  <c r="H511" i="1"/>
  <c r="J489" i="1"/>
  <c r="J488" i="1"/>
  <c r="H485" i="1"/>
  <c r="G492" i="1"/>
  <c r="G489" i="1"/>
  <c r="C152" i="2" s="1"/>
  <c r="F492" i="1"/>
  <c r="B155" i="2" s="1"/>
  <c r="G155" i="2" s="1"/>
  <c r="F489" i="1"/>
  <c r="B152" i="2" s="1"/>
  <c r="G152" i="2" s="1"/>
  <c r="I488" i="1"/>
  <c r="H488" i="1"/>
  <c r="G488" i="1"/>
  <c r="F488" i="1"/>
  <c r="H462" i="1"/>
  <c r="H458" i="1"/>
  <c r="F462" i="1"/>
  <c r="H94" i="1"/>
  <c r="G150" i="1"/>
  <c r="G124" i="1"/>
  <c r="D69" i="2" s="1"/>
  <c r="D70" i="2" s="1"/>
  <c r="G89" i="1"/>
  <c r="D52" i="2" s="1"/>
  <c r="D54" i="2" s="1"/>
  <c r="F88" i="1"/>
  <c r="C51" i="2" s="1"/>
  <c r="J88" i="1"/>
  <c r="H31" i="1"/>
  <c r="H23" i="1"/>
  <c r="F9" i="1"/>
  <c r="F30" i="1"/>
  <c r="C60" i="2"/>
  <c r="B2" i="13"/>
  <c r="F8" i="13"/>
  <c r="G8" i="13"/>
  <c r="L196" i="1"/>
  <c r="E8" i="13" s="1"/>
  <c r="L214" i="1"/>
  <c r="C112" i="2" s="1"/>
  <c r="L232" i="1"/>
  <c r="D39" i="13"/>
  <c r="F13" i="13"/>
  <c r="G13" i="13"/>
  <c r="L198" i="1"/>
  <c r="E13" i="13" s="1"/>
  <c r="C13" i="13" s="1"/>
  <c r="L216" i="1"/>
  <c r="L234" i="1"/>
  <c r="F16" i="13"/>
  <c r="G16" i="13"/>
  <c r="L201" i="1"/>
  <c r="L219" i="1"/>
  <c r="F5" i="13"/>
  <c r="G5" i="13"/>
  <c r="G33" i="13" s="1"/>
  <c r="L191" i="1"/>
  <c r="L192" i="1"/>
  <c r="L207" i="1"/>
  <c r="L221" i="1" s="1"/>
  <c r="G650" i="1" s="1"/>
  <c r="L208" i="1"/>
  <c r="L209" i="1"/>
  <c r="L210" i="1"/>
  <c r="L225" i="1"/>
  <c r="L226" i="1"/>
  <c r="F6" i="13"/>
  <c r="G6" i="13"/>
  <c r="L194" i="1"/>
  <c r="D6" i="13" s="1"/>
  <c r="C6" i="13" s="1"/>
  <c r="L212" i="1"/>
  <c r="L230" i="1"/>
  <c r="F7" i="13"/>
  <c r="G7" i="13"/>
  <c r="L195" i="1"/>
  <c r="D7" i="13" s="1"/>
  <c r="C7" i="13" s="1"/>
  <c r="L213" i="1"/>
  <c r="C16" i="10" s="1"/>
  <c r="L231" i="1"/>
  <c r="F12" i="13"/>
  <c r="G12" i="13"/>
  <c r="L197" i="1"/>
  <c r="D12" i="13" s="1"/>
  <c r="C12" i="13" s="1"/>
  <c r="L215" i="1"/>
  <c r="L233" i="1"/>
  <c r="F14" i="13"/>
  <c r="G14" i="13"/>
  <c r="L199" i="1"/>
  <c r="D14" i="13" s="1"/>
  <c r="C14" i="13" s="1"/>
  <c r="L217" i="1"/>
  <c r="L235" i="1"/>
  <c r="F15" i="13"/>
  <c r="G15" i="13"/>
  <c r="L218" i="1"/>
  <c r="G640" i="1" s="1"/>
  <c r="L236" i="1"/>
  <c r="H652" i="1" s="1"/>
  <c r="F17" i="13"/>
  <c r="G17" i="13"/>
  <c r="D17" i="13" s="1"/>
  <c r="C17" i="13" s="1"/>
  <c r="L243" i="1"/>
  <c r="F18" i="13"/>
  <c r="G18" i="13"/>
  <c r="L244" i="1"/>
  <c r="D18" i="13" s="1"/>
  <c r="C18" i="13" s="1"/>
  <c r="F19" i="13"/>
  <c r="G19" i="13"/>
  <c r="L245" i="1"/>
  <c r="D19" i="13" s="1"/>
  <c r="C19" i="13" s="1"/>
  <c r="F29" i="13"/>
  <c r="G29" i="13"/>
  <c r="L351" i="1"/>
  <c r="L352" i="1"/>
  <c r="I359" i="1"/>
  <c r="J282" i="1"/>
  <c r="J301" i="1"/>
  <c r="J330" i="1" s="1"/>
  <c r="J344" i="1" s="1"/>
  <c r="J320" i="1"/>
  <c r="F31" i="13"/>
  <c r="K282" i="1"/>
  <c r="K301" i="1"/>
  <c r="K320" i="1"/>
  <c r="G31" i="13" s="1"/>
  <c r="L268" i="1"/>
  <c r="L269" i="1"/>
  <c r="L282" i="1" s="1"/>
  <c r="L270" i="1"/>
  <c r="L271" i="1"/>
  <c r="L273" i="1"/>
  <c r="L274" i="1"/>
  <c r="L275" i="1"/>
  <c r="L276" i="1"/>
  <c r="E113" i="2" s="1"/>
  <c r="L277" i="1"/>
  <c r="L278" i="1"/>
  <c r="L279" i="1"/>
  <c r="E116" i="2" s="1"/>
  <c r="L280" i="1"/>
  <c r="L287" i="1"/>
  <c r="L288" i="1"/>
  <c r="L289" i="1"/>
  <c r="L290" i="1"/>
  <c r="L292" i="1"/>
  <c r="L301" i="1" s="1"/>
  <c r="L293" i="1"/>
  <c r="E111" i="2" s="1"/>
  <c r="L294" i="1"/>
  <c r="L295" i="1"/>
  <c r="L296" i="1"/>
  <c r="L297" i="1"/>
  <c r="C20" i="10" s="1"/>
  <c r="L298" i="1"/>
  <c r="L299" i="1"/>
  <c r="L306" i="1"/>
  <c r="L307" i="1"/>
  <c r="L308" i="1"/>
  <c r="L309" i="1"/>
  <c r="L320" i="1" s="1"/>
  <c r="L311" i="1"/>
  <c r="L312" i="1"/>
  <c r="L313" i="1"/>
  <c r="L314" i="1"/>
  <c r="L315" i="1"/>
  <c r="C19" i="10" s="1"/>
  <c r="L316" i="1"/>
  <c r="L317" i="1"/>
  <c r="L318" i="1"/>
  <c r="L325" i="1"/>
  <c r="L326" i="1"/>
  <c r="L327" i="1"/>
  <c r="E106" i="2" s="1"/>
  <c r="L252" i="1"/>
  <c r="H25" i="13" s="1"/>
  <c r="L253" i="1"/>
  <c r="L333" i="1"/>
  <c r="L343" i="1" s="1"/>
  <c r="L334" i="1"/>
  <c r="L247" i="1"/>
  <c r="L328" i="1"/>
  <c r="C29" i="10" s="1"/>
  <c r="F22" i="13"/>
  <c r="C22" i="13" s="1"/>
  <c r="F33" i="13"/>
  <c r="C11" i="13"/>
  <c r="C10" i="13"/>
  <c r="C9" i="13"/>
  <c r="L353" i="1"/>
  <c r="B4" i="12"/>
  <c r="B36" i="12"/>
  <c r="A40" i="12" s="1"/>
  <c r="C36" i="12"/>
  <c r="B40" i="12"/>
  <c r="C40" i="12"/>
  <c r="B27" i="12"/>
  <c r="A31" i="12" s="1"/>
  <c r="C27" i="12"/>
  <c r="B31" i="12"/>
  <c r="C31" i="12"/>
  <c r="B9" i="12"/>
  <c r="A13" i="12" s="1"/>
  <c r="B13" i="12"/>
  <c r="C9" i="12"/>
  <c r="C13" i="12"/>
  <c r="B18" i="12"/>
  <c r="B22" i="12"/>
  <c r="A22" i="12" s="1"/>
  <c r="C18" i="12"/>
  <c r="C22" i="12"/>
  <c r="B1" i="12"/>
  <c r="L379" i="1"/>
  <c r="L380" i="1"/>
  <c r="L381" i="1"/>
  <c r="L385" i="1" s="1"/>
  <c r="L382" i="1"/>
  <c r="L383" i="1"/>
  <c r="L384" i="1"/>
  <c r="L387" i="1"/>
  <c r="L388" i="1"/>
  <c r="L389" i="1"/>
  <c r="L390" i="1"/>
  <c r="L391" i="1"/>
  <c r="L392" i="1"/>
  <c r="L393" i="1"/>
  <c r="C131" i="2"/>
  <c r="L395" i="1"/>
  <c r="L399" i="1" s="1"/>
  <c r="C132" i="2" s="1"/>
  <c r="L396" i="1"/>
  <c r="L397" i="1"/>
  <c r="L398" i="1"/>
  <c r="L258" i="1"/>
  <c r="J52" i="1"/>
  <c r="G48" i="2"/>
  <c r="G55" i="2" s="1"/>
  <c r="G96" i="2" s="1"/>
  <c r="G51" i="2"/>
  <c r="G53" i="2"/>
  <c r="G54" i="2"/>
  <c r="F2" i="11"/>
  <c r="L603" i="1"/>
  <c r="H653" i="1" s="1"/>
  <c r="L602" i="1"/>
  <c r="G653" i="1" s="1"/>
  <c r="L601" i="1"/>
  <c r="F653" i="1" s="1"/>
  <c r="C40" i="10"/>
  <c r="F52" i="1"/>
  <c r="C35" i="10" s="1"/>
  <c r="G52" i="1"/>
  <c r="D48" i="2" s="1"/>
  <c r="H52" i="1"/>
  <c r="E48" i="2" s="1"/>
  <c r="E55" i="2" s="1"/>
  <c r="I52" i="1"/>
  <c r="F71" i="1"/>
  <c r="C49" i="2" s="1"/>
  <c r="F86" i="1"/>
  <c r="H71" i="1"/>
  <c r="H86" i="1"/>
  <c r="H103" i="1"/>
  <c r="H104" i="1"/>
  <c r="I103" i="1"/>
  <c r="I104" i="1"/>
  <c r="J103" i="1"/>
  <c r="J104" i="1" s="1"/>
  <c r="J185" i="1" s="1"/>
  <c r="C37" i="10"/>
  <c r="F113" i="1"/>
  <c r="F128" i="1"/>
  <c r="F132" i="1"/>
  <c r="G113" i="1"/>
  <c r="G128" i="1"/>
  <c r="G132" i="1"/>
  <c r="C38" i="10" s="1"/>
  <c r="H113" i="1"/>
  <c r="H128" i="1"/>
  <c r="H132" i="1"/>
  <c r="I113" i="1"/>
  <c r="I128" i="1"/>
  <c r="I132" i="1"/>
  <c r="J113" i="1"/>
  <c r="J128" i="1"/>
  <c r="J132" i="1"/>
  <c r="F139" i="1"/>
  <c r="F161" i="1" s="1"/>
  <c r="F154" i="1"/>
  <c r="G139" i="1"/>
  <c r="G154" i="1"/>
  <c r="G161" i="1" s="1"/>
  <c r="H139" i="1"/>
  <c r="E77" i="2" s="1"/>
  <c r="E83" i="2" s="1"/>
  <c r="H154" i="1"/>
  <c r="I139" i="1"/>
  <c r="I154" i="1"/>
  <c r="I161" i="1"/>
  <c r="C15" i="10"/>
  <c r="L242" i="1"/>
  <c r="L324" i="1"/>
  <c r="C23" i="10"/>
  <c r="L246" i="1"/>
  <c r="C25" i="10"/>
  <c r="L260" i="1"/>
  <c r="L261" i="1"/>
  <c r="L341" i="1"/>
  <c r="E134" i="2" s="1"/>
  <c r="L342" i="1"/>
  <c r="I655" i="1"/>
  <c r="I660" i="1"/>
  <c r="I659" i="1"/>
  <c r="C42" i="10"/>
  <c r="C32" i="10"/>
  <c r="L366" i="1"/>
  <c r="F122" i="2" s="1"/>
  <c r="F136" i="2" s="1"/>
  <c r="F137" i="2" s="1"/>
  <c r="L367" i="1"/>
  <c r="L368" i="1"/>
  <c r="L369" i="1"/>
  <c r="L370" i="1"/>
  <c r="L371" i="1"/>
  <c r="L372" i="1"/>
  <c r="B2" i="10"/>
  <c r="L336" i="1"/>
  <c r="L337" i="1"/>
  <c r="E127" i="2" s="1"/>
  <c r="L338" i="1"/>
  <c r="L339" i="1"/>
  <c r="K343" i="1"/>
  <c r="L511" i="1"/>
  <c r="F539" i="1" s="1"/>
  <c r="L512" i="1"/>
  <c r="F540" i="1"/>
  <c r="K540" i="1" s="1"/>
  <c r="L513" i="1"/>
  <c r="L514" i="1" s="1"/>
  <c r="F541" i="1"/>
  <c r="L516" i="1"/>
  <c r="G539" i="1"/>
  <c r="L517" i="1"/>
  <c r="G540" i="1"/>
  <c r="L518" i="1"/>
  <c r="G541" i="1" s="1"/>
  <c r="L521" i="1"/>
  <c r="H539" i="1"/>
  <c r="H542" i="1" s="1"/>
  <c r="L522" i="1"/>
  <c r="L524" i="1" s="1"/>
  <c r="H540" i="1"/>
  <c r="L523" i="1"/>
  <c r="H541" i="1"/>
  <c r="L526" i="1"/>
  <c r="I539" i="1"/>
  <c r="L527" i="1"/>
  <c r="I540" i="1" s="1"/>
  <c r="I542" i="1" s="1"/>
  <c r="L528" i="1"/>
  <c r="I541" i="1"/>
  <c r="L532" i="1"/>
  <c r="J540" i="1"/>
  <c r="E124" i="2"/>
  <c r="E123" i="2"/>
  <c r="K262" i="1"/>
  <c r="J262" i="1"/>
  <c r="I262" i="1"/>
  <c r="H262" i="1"/>
  <c r="L262" i="1" s="1"/>
  <c r="G262" i="1"/>
  <c r="F262" i="1"/>
  <c r="C124" i="2"/>
  <c r="A1" i="2"/>
  <c r="A2" i="2"/>
  <c r="C9" i="2"/>
  <c r="C19" i="2" s="1"/>
  <c r="D9" i="2"/>
  <c r="D19" i="2" s="1"/>
  <c r="E9" i="2"/>
  <c r="E19" i="2" s="1"/>
  <c r="F9" i="2"/>
  <c r="I431" i="1"/>
  <c r="J9" i="1"/>
  <c r="G9" i="2" s="1"/>
  <c r="C10" i="2"/>
  <c r="D10" i="2"/>
  <c r="E10" i="2"/>
  <c r="F10" i="2"/>
  <c r="I432" i="1"/>
  <c r="J10" i="1"/>
  <c r="G10" i="2"/>
  <c r="C11" i="2"/>
  <c r="C12" i="2"/>
  <c r="D12" i="2"/>
  <c r="E12" i="2"/>
  <c r="F12" i="2"/>
  <c r="F19" i="2" s="1"/>
  <c r="I433" i="1"/>
  <c r="J12" i="1"/>
  <c r="G12" i="2" s="1"/>
  <c r="C13" i="2"/>
  <c r="D13" i="2"/>
  <c r="E13" i="2"/>
  <c r="F13" i="2"/>
  <c r="I434" i="1"/>
  <c r="J13" i="1" s="1"/>
  <c r="C14" i="2"/>
  <c r="D14" i="2"/>
  <c r="E14" i="2"/>
  <c r="F14" i="2"/>
  <c r="I435" i="1"/>
  <c r="J14" i="1" s="1"/>
  <c r="G14" i="2" s="1"/>
  <c r="F15" i="2"/>
  <c r="C16" i="2"/>
  <c r="D16" i="2"/>
  <c r="E16" i="2"/>
  <c r="F16" i="2"/>
  <c r="C17" i="2"/>
  <c r="D17" i="2"/>
  <c r="E17" i="2"/>
  <c r="F17" i="2"/>
  <c r="I436" i="1"/>
  <c r="J17" i="1" s="1"/>
  <c r="G17" i="2" s="1"/>
  <c r="C18" i="2"/>
  <c r="D18" i="2"/>
  <c r="E18" i="2"/>
  <c r="F18" i="2"/>
  <c r="I437" i="1"/>
  <c r="J18" i="1"/>
  <c r="G18" i="2" s="1"/>
  <c r="C22" i="2"/>
  <c r="D22" i="2"/>
  <c r="E22" i="2"/>
  <c r="F22" i="2"/>
  <c r="I440" i="1"/>
  <c r="J23" i="1"/>
  <c r="G22" i="2" s="1"/>
  <c r="C23" i="2"/>
  <c r="D23" i="2"/>
  <c r="E23" i="2"/>
  <c r="F23" i="2"/>
  <c r="F32" i="2" s="1"/>
  <c r="I441" i="1"/>
  <c r="J24" i="1"/>
  <c r="G23" i="2"/>
  <c r="C24" i="2"/>
  <c r="C32" i="2" s="1"/>
  <c r="D24" i="2"/>
  <c r="E24" i="2"/>
  <c r="F24" i="2"/>
  <c r="I442" i="1"/>
  <c r="J25" i="1"/>
  <c r="G24" i="2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D32" i="2" s="1"/>
  <c r="E30" i="2"/>
  <c r="F30" i="2"/>
  <c r="C31" i="2"/>
  <c r="D31" i="2"/>
  <c r="E31" i="2"/>
  <c r="F31" i="2"/>
  <c r="I443" i="1"/>
  <c r="J32" i="1" s="1"/>
  <c r="G31" i="2" s="1"/>
  <c r="E32" i="2"/>
  <c r="C34" i="2"/>
  <c r="C42" i="2" s="1"/>
  <c r="D34" i="2"/>
  <c r="E34" i="2"/>
  <c r="F34" i="2"/>
  <c r="C35" i="2"/>
  <c r="D35" i="2"/>
  <c r="E35" i="2"/>
  <c r="F35" i="2"/>
  <c r="C36" i="2"/>
  <c r="D36" i="2"/>
  <c r="D42" i="2" s="1"/>
  <c r="E36" i="2"/>
  <c r="F36" i="2"/>
  <c r="I446" i="1"/>
  <c r="J37" i="1" s="1"/>
  <c r="C37" i="2"/>
  <c r="D37" i="2"/>
  <c r="E37" i="2"/>
  <c r="E42" i="2" s="1"/>
  <c r="E43" i="2" s="1"/>
  <c r="F37" i="2"/>
  <c r="I447" i="1"/>
  <c r="J38" i="1"/>
  <c r="G37" i="2"/>
  <c r="C38" i="2"/>
  <c r="D38" i="2"/>
  <c r="E38" i="2"/>
  <c r="F38" i="2"/>
  <c r="I448" i="1"/>
  <c r="J40" i="1"/>
  <c r="G39" i="2" s="1"/>
  <c r="C40" i="2"/>
  <c r="D40" i="2"/>
  <c r="E40" i="2"/>
  <c r="F40" i="2"/>
  <c r="F42" i="2" s="1"/>
  <c r="I449" i="1"/>
  <c r="J41" i="1" s="1"/>
  <c r="G40" i="2" s="1"/>
  <c r="C41" i="2"/>
  <c r="D41" i="2"/>
  <c r="E41" i="2"/>
  <c r="F41" i="2"/>
  <c r="F48" i="2"/>
  <c r="F55" i="2" s="1"/>
  <c r="E49" i="2"/>
  <c r="C50" i="2"/>
  <c r="E50" i="2"/>
  <c r="D51" i="2"/>
  <c r="E51" i="2"/>
  <c r="F51" i="2"/>
  <c r="F54" i="2" s="1"/>
  <c r="C53" i="2"/>
  <c r="D53" i="2"/>
  <c r="E53" i="2"/>
  <c r="F53" i="2"/>
  <c r="E54" i="2"/>
  <c r="C58" i="2"/>
  <c r="C62" i="2" s="1"/>
  <c r="C59" i="2"/>
  <c r="C61" i="2"/>
  <c r="D61" i="2"/>
  <c r="D62" i="2" s="1"/>
  <c r="E61" i="2"/>
  <c r="E62" i="2" s="1"/>
  <c r="F61" i="2"/>
  <c r="F62" i="2" s="1"/>
  <c r="G61" i="2"/>
  <c r="G62" i="2" s="1"/>
  <c r="C64" i="2"/>
  <c r="C70" i="2" s="1"/>
  <c r="F64" i="2"/>
  <c r="C65" i="2"/>
  <c r="F65" i="2"/>
  <c r="C66" i="2"/>
  <c r="C67" i="2"/>
  <c r="C68" i="2"/>
  <c r="E68" i="2"/>
  <c r="F68" i="2"/>
  <c r="C69" i="2"/>
  <c r="E69" i="2"/>
  <c r="F69" i="2"/>
  <c r="G69" i="2"/>
  <c r="E70" i="2"/>
  <c r="F70" i="2"/>
  <c r="G70" i="2"/>
  <c r="G73" i="2" s="1"/>
  <c r="C71" i="2"/>
  <c r="D71" i="2"/>
  <c r="E71" i="2"/>
  <c r="C72" i="2"/>
  <c r="E72" i="2"/>
  <c r="C77" i="2"/>
  <c r="C83" i="2" s="1"/>
  <c r="D77" i="2"/>
  <c r="D83" i="2" s="1"/>
  <c r="F77" i="2"/>
  <c r="C79" i="2"/>
  <c r="E79" i="2"/>
  <c r="F79" i="2"/>
  <c r="C80" i="2"/>
  <c r="D80" i="2"/>
  <c r="E80" i="2"/>
  <c r="F80" i="2"/>
  <c r="C81" i="2"/>
  <c r="D81" i="2"/>
  <c r="E81" i="2"/>
  <c r="F81" i="2"/>
  <c r="C82" i="2"/>
  <c r="F83" i="2"/>
  <c r="C85" i="2"/>
  <c r="F85" i="2"/>
  <c r="F95" i="2" s="1"/>
  <c r="C86" i="2"/>
  <c r="C95" i="2" s="1"/>
  <c r="F86" i="2"/>
  <c r="D88" i="2"/>
  <c r="D95" i="2" s="1"/>
  <c r="E88" i="2"/>
  <c r="E95" i="2" s="1"/>
  <c r="F88" i="2"/>
  <c r="G88" i="2"/>
  <c r="C89" i="2"/>
  <c r="D89" i="2"/>
  <c r="E89" i="2"/>
  <c r="F89" i="2"/>
  <c r="G89" i="2"/>
  <c r="C90" i="2"/>
  <c r="D90" i="2"/>
  <c r="E90" i="2"/>
  <c r="G90" i="2"/>
  <c r="G95" i="2" s="1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E101" i="2"/>
  <c r="E102" i="2"/>
  <c r="E103" i="2"/>
  <c r="C105" i="2"/>
  <c r="E105" i="2"/>
  <c r="C106" i="2"/>
  <c r="D107" i="2"/>
  <c r="F107" i="2"/>
  <c r="G107" i="2"/>
  <c r="C111" i="2"/>
  <c r="E112" i="2"/>
  <c r="C114" i="2"/>
  <c r="C115" i="2"/>
  <c r="E117" i="2"/>
  <c r="F120" i="2"/>
  <c r="G120" i="2"/>
  <c r="C122" i="2"/>
  <c r="D126" i="2"/>
  <c r="E126" i="2"/>
  <c r="F126" i="2"/>
  <c r="K411" i="1"/>
  <c r="K426" i="1" s="1"/>
  <c r="G126" i="2" s="1"/>
  <c r="G136" i="2" s="1"/>
  <c r="K419" i="1"/>
  <c r="K425" i="1"/>
  <c r="L255" i="1"/>
  <c r="C127" i="2"/>
  <c r="L256" i="1"/>
  <c r="C128" i="2"/>
  <c r="L257" i="1"/>
  <c r="C129" i="2"/>
  <c r="E129" i="2"/>
  <c r="C134" i="2"/>
  <c r="C135" i="2"/>
  <c r="E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G149" i="2" s="1"/>
  <c r="C149" i="2"/>
  <c r="D149" i="2"/>
  <c r="E149" i="2"/>
  <c r="F149" i="2"/>
  <c r="B150" i="2"/>
  <c r="G150" i="2" s="1"/>
  <c r="C150" i="2"/>
  <c r="D150" i="2"/>
  <c r="E150" i="2"/>
  <c r="F150" i="2"/>
  <c r="B151" i="2"/>
  <c r="G151" i="2" s="1"/>
  <c r="C151" i="2"/>
  <c r="D151" i="2"/>
  <c r="E151" i="2"/>
  <c r="F151" i="2"/>
  <c r="D152" i="2"/>
  <c r="E152" i="2"/>
  <c r="F152" i="2"/>
  <c r="G490" i="1"/>
  <c r="C153" i="2"/>
  <c r="H490" i="1"/>
  <c r="D153" i="2"/>
  <c r="I490" i="1"/>
  <c r="E153" i="2" s="1"/>
  <c r="J490" i="1"/>
  <c r="F153" i="2"/>
  <c r="B154" i="2"/>
  <c r="G154" i="2" s="1"/>
  <c r="C154" i="2"/>
  <c r="D154" i="2"/>
  <c r="E154" i="2"/>
  <c r="F154" i="2"/>
  <c r="C155" i="2"/>
  <c r="D155" i="2"/>
  <c r="E155" i="2"/>
  <c r="F155" i="2"/>
  <c r="G493" i="1"/>
  <c r="C156" i="2"/>
  <c r="H493" i="1"/>
  <c r="D156" i="2" s="1"/>
  <c r="I493" i="1"/>
  <c r="E156" i="2"/>
  <c r="J493" i="1"/>
  <c r="F156" i="2"/>
  <c r="F19" i="1"/>
  <c r="G19" i="1"/>
  <c r="G608" i="1" s="1"/>
  <c r="J608" i="1" s="1"/>
  <c r="H19" i="1"/>
  <c r="I19" i="1"/>
  <c r="G610" i="1" s="1"/>
  <c r="J610" i="1" s="1"/>
  <c r="F33" i="1"/>
  <c r="F44" i="1" s="1"/>
  <c r="H607" i="1" s="1"/>
  <c r="J607" i="1" s="1"/>
  <c r="G33" i="1"/>
  <c r="H33" i="1"/>
  <c r="I33" i="1"/>
  <c r="F43" i="1"/>
  <c r="G612" i="1" s="1"/>
  <c r="J612" i="1" s="1"/>
  <c r="G43" i="1"/>
  <c r="H43" i="1"/>
  <c r="I43" i="1"/>
  <c r="I44" i="1" s="1"/>
  <c r="H610" i="1" s="1"/>
  <c r="G44" i="1"/>
  <c r="H608" i="1" s="1"/>
  <c r="H44" i="1"/>
  <c r="H609" i="1" s="1"/>
  <c r="J609" i="1" s="1"/>
  <c r="F169" i="1"/>
  <c r="F184" i="1" s="1"/>
  <c r="I169" i="1"/>
  <c r="F175" i="1"/>
  <c r="G175" i="1"/>
  <c r="H175" i="1"/>
  <c r="I175" i="1"/>
  <c r="J175" i="1"/>
  <c r="F180" i="1"/>
  <c r="G180" i="1"/>
  <c r="G184" i="1" s="1"/>
  <c r="H180" i="1"/>
  <c r="H184" i="1" s="1"/>
  <c r="I180" i="1"/>
  <c r="I184" i="1"/>
  <c r="J184" i="1"/>
  <c r="I185" i="1"/>
  <c r="G620" i="1" s="1"/>
  <c r="J620" i="1" s="1"/>
  <c r="F203" i="1"/>
  <c r="F249" i="1" s="1"/>
  <c r="F263" i="1" s="1"/>
  <c r="G203" i="1"/>
  <c r="I203" i="1"/>
  <c r="I249" i="1" s="1"/>
  <c r="I263" i="1" s="1"/>
  <c r="J203" i="1"/>
  <c r="K203" i="1"/>
  <c r="F221" i="1"/>
  <c r="G221" i="1"/>
  <c r="I221" i="1"/>
  <c r="J221" i="1"/>
  <c r="J249" i="1" s="1"/>
  <c r="K221" i="1"/>
  <c r="K249" i="1" s="1"/>
  <c r="K263" i="1" s="1"/>
  <c r="F239" i="1"/>
  <c r="G239" i="1"/>
  <c r="I239" i="1"/>
  <c r="J239" i="1"/>
  <c r="K239" i="1"/>
  <c r="F248" i="1"/>
  <c r="G248" i="1"/>
  <c r="H248" i="1"/>
  <c r="I248" i="1"/>
  <c r="J248" i="1"/>
  <c r="K248" i="1"/>
  <c r="L248" i="1"/>
  <c r="G249" i="1"/>
  <c r="G263" i="1"/>
  <c r="F282" i="1"/>
  <c r="G282" i="1"/>
  <c r="H282" i="1"/>
  <c r="H330" i="1" s="1"/>
  <c r="H344" i="1" s="1"/>
  <c r="I282" i="1"/>
  <c r="F301" i="1"/>
  <c r="G301" i="1"/>
  <c r="H301" i="1"/>
  <c r="I301" i="1"/>
  <c r="I330" i="1" s="1"/>
  <c r="I344" i="1" s="1"/>
  <c r="F320" i="1"/>
  <c r="F330" i="1" s="1"/>
  <c r="F344" i="1" s="1"/>
  <c r="G320" i="1"/>
  <c r="H320" i="1"/>
  <c r="I320" i="1"/>
  <c r="F329" i="1"/>
  <c r="G329" i="1"/>
  <c r="H329" i="1"/>
  <c r="I329" i="1"/>
  <c r="J329" i="1"/>
  <c r="K329" i="1"/>
  <c r="L329" i="1"/>
  <c r="G330" i="1"/>
  <c r="G344" i="1" s="1"/>
  <c r="F354" i="1"/>
  <c r="G354" i="1"/>
  <c r="I354" i="1"/>
  <c r="G624" i="1" s="1"/>
  <c r="J624" i="1" s="1"/>
  <c r="J354" i="1"/>
  <c r="K354" i="1"/>
  <c r="I360" i="1"/>
  <c r="F361" i="1"/>
  <c r="G361" i="1"/>
  <c r="H361" i="1"/>
  <c r="I361" i="1"/>
  <c r="H624" i="1" s="1"/>
  <c r="L373" i="1"/>
  <c r="F374" i="1"/>
  <c r="G374" i="1"/>
  <c r="H374" i="1"/>
  <c r="I374" i="1"/>
  <c r="J374" i="1"/>
  <c r="K374" i="1"/>
  <c r="F385" i="1"/>
  <c r="G385" i="1"/>
  <c r="H385" i="1"/>
  <c r="H400" i="1" s="1"/>
  <c r="H634" i="1" s="1"/>
  <c r="J634" i="1" s="1"/>
  <c r="I385" i="1"/>
  <c r="F393" i="1"/>
  <c r="F400" i="1" s="1"/>
  <c r="H633" i="1" s="1"/>
  <c r="J633" i="1" s="1"/>
  <c r="G393" i="1"/>
  <c r="H393" i="1"/>
  <c r="I393" i="1"/>
  <c r="F399" i="1"/>
  <c r="G399" i="1"/>
  <c r="G400" i="1" s="1"/>
  <c r="H635" i="1" s="1"/>
  <c r="J635" i="1" s="1"/>
  <c r="H399" i="1"/>
  <c r="I399" i="1"/>
  <c r="I400" i="1"/>
  <c r="L405" i="1"/>
  <c r="L406" i="1"/>
  <c r="L407" i="1"/>
  <c r="L408" i="1"/>
  <c r="L409" i="1"/>
  <c r="L410" i="1"/>
  <c r="F411" i="1"/>
  <c r="G411" i="1"/>
  <c r="H411" i="1"/>
  <c r="H426" i="1" s="1"/>
  <c r="I411" i="1"/>
  <c r="I426" i="1" s="1"/>
  <c r="J411" i="1"/>
  <c r="J426" i="1" s="1"/>
  <c r="L411" i="1"/>
  <c r="L426" i="1" s="1"/>
  <c r="G628" i="1" s="1"/>
  <c r="J628" i="1" s="1"/>
  <c r="L413" i="1"/>
  <c r="L414" i="1"/>
  <c r="L415" i="1"/>
  <c r="L416" i="1"/>
  <c r="L417" i="1"/>
  <c r="L418" i="1"/>
  <c r="F419" i="1"/>
  <c r="G419" i="1"/>
  <c r="H419" i="1"/>
  <c r="I419" i="1"/>
  <c r="J419" i="1"/>
  <c r="L419" i="1"/>
  <c r="L421" i="1"/>
  <c r="L422" i="1"/>
  <c r="L423" i="1"/>
  <c r="L424" i="1"/>
  <c r="F425" i="1"/>
  <c r="G425" i="1"/>
  <c r="H425" i="1"/>
  <c r="I425" i="1"/>
  <c r="J425" i="1"/>
  <c r="L425" i="1"/>
  <c r="F426" i="1"/>
  <c r="G426" i="1"/>
  <c r="F438" i="1"/>
  <c r="G438" i="1"/>
  <c r="G630" i="1" s="1"/>
  <c r="H438" i="1"/>
  <c r="F444" i="1"/>
  <c r="G444" i="1"/>
  <c r="G451" i="1" s="1"/>
  <c r="H630" i="1" s="1"/>
  <c r="H444" i="1"/>
  <c r="H451" i="1" s="1"/>
  <c r="H631" i="1" s="1"/>
  <c r="J631" i="1" s="1"/>
  <c r="I444" i="1"/>
  <c r="F450" i="1"/>
  <c r="G450" i="1"/>
  <c r="H450" i="1"/>
  <c r="F451" i="1"/>
  <c r="F460" i="1"/>
  <c r="F466" i="1" s="1"/>
  <c r="H612" i="1" s="1"/>
  <c r="G460" i="1"/>
  <c r="G466" i="1" s="1"/>
  <c r="H613" i="1" s="1"/>
  <c r="J613" i="1" s="1"/>
  <c r="H460" i="1"/>
  <c r="H466" i="1" s="1"/>
  <c r="H614" i="1" s="1"/>
  <c r="J614" i="1" s="1"/>
  <c r="I460" i="1"/>
  <c r="I466" i="1" s="1"/>
  <c r="H615" i="1" s="1"/>
  <c r="J615" i="1" s="1"/>
  <c r="J460" i="1"/>
  <c r="F464" i="1"/>
  <c r="G464" i="1"/>
  <c r="H464" i="1"/>
  <c r="I464" i="1"/>
  <c r="J464" i="1"/>
  <c r="J466" i="1"/>
  <c r="H616" i="1" s="1"/>
  <c r="K485" i="1"/>
  <c r="K486" i="1"/>
  <c r="K487" i="1"/>
  <c r="K488" i="1"/>
  <c r="K491" i="1"/>
  <c r="F507" i="1"/>
  <c r="G507" i="1"/>
  <c r="H507" i="1"/>
  <c r="I507" i="1"/>
  <c r="F514" i="1"/>
  <c r="G514" i="1"/>
  <c r="G535" i="1" s="1"/>
  <c r="H514" i="1"/>
  <c r="I514" i="1"/>
  <c r="J514" i="1"/>
  <c r="J535" i="1" s="1"/>
  <c r="K514" i="1"/>
  <c r="K535" i="1" s="1"/>
  <c r="F519" i="1"/>
  <c r="G519" i="1"/>
  <c r="H519" i="1"/>
  <c r="I519" i="1"/>
  <c r="I535" i="1" s="1"/>
  <c r="J519" i="1"/>
  <c r="K519" i="1"/>
  <c r="L519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L529" i="1"/>
  <c r="F534" i="1"/>
  <c r="G534" i="1"/>
  <c r="I534" i="1"/>
  <c r="J534" i="1"/>
  <c r="K534" i="1"/>
  <c r="F535" i="1"/>
  <c r="L547" i="1"/>
  <c r="L548" i="1"/>
  <c r="L550" i="1" s="1"/>
  <c r="L561" i="1" s="1"/>
  <c r="L549" i="1"/>
  <c r="F550" i="1"/>
  <c r="F561" i="1" s="1"/>
  <c r="G550" i="1"/>
  <c r="G561" i="1" s="1"/>
  <c r="H550" i="1"/>
  <c r="H561" i="1" s="1"/>
  <c r="I550" i="1"/>
  <c r="J550" i="1"/>
  <c r="K550" i="1"/>
  <c r="K561" i="1" s="1"/>
  <c r="L552" i="1"/>
  <c r="L555" i="1" s="1"/>
  <c r="L553" i="1"/>
  <c r="L554" i="1"/>
  <c r="F555" i="1"/>
  <c r="G555" i="1"/>
  <c r="H555" i="1"/>
  <c r="I555" i="1"/>
  <c r="I561" i="1" s="1"/>
  <c r="J555" i="1"/>
  <c r="J561" i="1" s="1"/>
  <c r="K555" i="1"/>
  <c r="L557" i="1"/>
  <c r="L558" i="1"/>
  <c r="L559" i="1"/>
  <c r="F560" i="1"/>
  <c r="G560" i="1"/>
  <c r="H560" i="1"/>
  <c r="I560" i="1"/>
  <c r="J560" i="1"/>
  <c r="K560" i="1"/>
  <c r="L560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K582" i="1"/>
  <c r="K583" i="1"/>
  <c r="K584" i="1"/>
  <c r="K585" i="1"/>
  <c r="K586" i="1"/>
  <c r="K587" i="1"/>
  <c r="H588" i="1"/>
  <c r="I588" i="1"/>
  <c r="H640" i="1" s="1"/>
  <c r="J588" i="1"/>
  <c r="K592" i="1"/>
  <c r="K595" i="1" s="1"/>
  <c r="G638" i="1" s="1"/>
  <c r="K593" i="1"/>
  <c r="K594" i="1"/>
  <c r="H595" i="1"/>
  <c r="I595" i="1"/>
  <c r="J595" i="1"/>
  <c r="F604" i="1"/>
  <c r="G604" i="1"/>
  <c r="H604" i="1"/>
  <c r="I604" i="1"/>
  <c r="J604" i="1"/>
  <c r="K604" i="1"/>
  <c r="G607" i="1"/>
  <c r="G609" i="1"/>
  <c r="G613" i="1"/>
  <c r="G614" i="1"/>
  <c r="G615" i="1"/>
  <c r="H617" i="1"/>
  <c r="H618" i="1"/>
  <c r="H619" i="1"/>
  <c r="H620" i="1"/>
  <c r="H621" i="1"/>
  <c r="H622" i="1"/>
  <c r="H623" i="1"/>
  <c r="H625" i="1"/>
  <c r="H626" i="1"/>
  <c r="H627" i="1"/>
  <c r="H628" i="1"/>
  <c r="G629" i="1"/>
  <c r="H629" i="1"/>
  <c r="J629" i="1"/>
  <c r="G631" i="1"/>
  <c r="G633" i="1"/>
  <c r="G634" i="1"/>
  <c r="G635" i="1"/>
  <c r="H639" i="1"/>
  <c r="H641" i="1"/>
  <c r="G642" i="1"/>
  <c r="H642" i="1"/>
  <c r="J642" i="1" s="1"/>
  <c r="G643" i="1"/>
  <c r="H643" i="1"/>
  <c r="J643" i="1"/>
  <c r="G644" i="1"/>
  <c r="H644" i="1"/>
  <c r="J644" i="1"/>
  <c r="G645" i="1"/>
  <c r="H645" i="1"/>
  <c r="J645" i="1"/>
  <c r="C54" i="2" l="1"/>
  <c r="E96" i="2"/>
  <c r="C8" i="13"/>
  <c r="D73" i="2"/>
  <c r="J263" i="1"/>
  <c r="H638" i="1"/>
  <c r="J638" i="1" s="1"/>
  <c r="D55" i="2"/>
  <c r="C133" i="2"/>
  <c r="C25" i="13"/>
  <c r="H33" i="13"/>
  <c r="E16" i="13"/>
  <c r="C16" i="13" s="1"/>
  <c r="H535" i="1"/>
  <c r="G13" i="2"/>
  <c r="J19" i="1"/>
  <c r="G611" i="1" s="1"/>
  <c r="G137" i="2"/>
  <c r="G36" i="2"/>
  <c r="G42" i="2" s="1"/>
  <c r="J43" i="1"/>
  <c r="C43" i="2"/>
  <c r="G542" i="1"/>
  <c r="G636" i="1"/>
  <c r="G621" i="1"/>
  <c r="J621" i="1" s="1"/>
  <c r="F96" i="2"/>
  <c r="L330" i="1"/>
  <c r="L344" i="1" s="1"/>
  <c r="G623" i="1" s="1"/>
  <c r="J623" i="1" s="1"/>
  <c r="D31" i="13"/>
  <c r="C31" i="13" s="1"/>
  <c r="J640" i="1"/>
  <c r="K541" i="1"/>
  <c r="I653" i="1"/>
  <c r="L203" i="1"/>
  <c r="C101" i="2"/>
  <c r="C10" i="10"/>
  <c r="D43" i="2"/>
  <c r="G19" i="2"/>
  <c r="C130" i="2"/>
  <c r="L400" i="1"/>
  <c r="C102" i="2"/>
  <c r="C11" i="10"/>
  <c r="J630" i="1"/>
  <c r="F73" i="2"/>
  <c r="E73" i="2"/>
  <c r="G32" i="2"/>
  <c r="C73" i="2"/>
  <c r="F542" i="1"/>
  <c r="C104" i="2"/>
  <c r="F43" i="2"/>
  <c r="C39" i="10"/>
  <c r="L531" i="1"/>
  <c r="C24" i="10"/>
  <c r="L200" i="1"/>
  <c r="L604" i="1"/>
  <c r="F490" i="1"/>
  <c r="C117" i="2"/>
  <c r="E104" i="2"/>
  <c r="E107" i="2" s="1"/>
  <c r="I438" i="1"/>
  <c r="G632" i="1" s="1"/>
  <c r="F493" i="1"/>
  <c r="E110" i="2"/>
  <c r="K492" i="1"/>
  <c r="L374" i="1"/>
  <c r="G626" i="1" s="1"/>
  <c r="J626" i="1" s="1"/>
  <c r="C110" i="2"/>
  <c r="C123" i="2"/>
  <c r="C136" i="2" s="1"/>
  <c r="H161" i="1"/>
  <c r="H185" i="1" s="1"/>
  <c r="G619" i="1" s="1"/>
  <c r="J619" i="1" s="1"/>
  <c r="G103" i="1"/>
  <c r="G104" i="1" s="1"/>
  <c r="G185" i="1" s="1"/>
  <c r="G618" i="1" s="1"/>
  <c r="J618" i="1" s="1"/>
  <c r="E122" i="2"/>
  <c r="E136" i="2" s="1"/>
  <c r="E115" i="2"/>
  <c r="F104" i="1"/>
  <c r="F185" i="1" s="1"/>
  <c r="G617" i="1" s="1"/>
  <c r="J617" i="1" s="1"/>
  <c r="C48" i="2"/>
  <c r="C55" i="2" s="1"/>
  <c r="C26" i="10"/>
  <c r="F103" i="1"/>
  <c r="L227" i="1"/>
  <c r="G641" i="1"/>
  <c r="J641" i="1" s="1"/>
  <c r="K489" i="1"/>
  <c r="I450" i="1"/>
  <c r="I451" i="1" s="1"/>
  <c r="H632" i="1" s="1"/>
  <c r="K330" i="1"/>
  <c r="K344" i="1" s="1"/>
  <c r="J33" i="1"/>
  <c r="E114" i="2"/>
  <c r="L350" i="1"/>
  <c r="C18" i="10"/>
  <c r="G652" i="1"/>
  <c r="C17" i="10"/>
  <c r="C113" i="2"/>
  <c r="C103" i="2" l="1"/>
  <c r="C12" i="10"/>
  <c r="J611" i="1"/>
  <c r="E120" i="2"/>
  <c r="E137" i="2" s="1"/>
  <c r="L534" i="1"/>
  <c r="L535" i="1" s="1"/>
  <c r="J539" i="1"/>
  <c r="C96" i="2"/>
  <c r="K493" i="1"/>
  <c r="B156" i="2"/>
  <c r="G156" i="2" s="1"/>
  <c r="C107" i="2"/>
  <c r="C36" i="10"/>
  <c r="J632" i="1"/>
  <c r="F650" i="1"/>
  <c r="D29" i="13"/>
  <c r="C29" i="13" s="1"/>
  <c r="H651" i="1"/>
  <c r="L354" i="1"/>
  <c r="F651" i="1"/>
  <c r="G651" i="1"/>
  <c r="G654" i="1" s="1"/>
  <c r="D119" i="2"/>
  <c r="D120" i="2" s="1"/>
  <c r="D137" i="2" s="1"/>
  <c r="J636" i="1"/>
  <c r="E33" i="13"/>
  <c r="D35" i="13" s="1"/>
  <c r="K490" i="1"/>
  <c r="B153" i="2"/>
  <c r="G153" i="2" s="1"/>
  <c r="D5" i="13"/>
  <c r="L239" i="1"/>
  <c r="H650" i="1" s="1"/>
  <c r="H636" i="1"/>
  <c r="G627" i="1"/>
  <c r="J627" i="1" s="1"/>
  <c r="D15" i="13"/>
  <c r="C15" i="13" s="1"/>
  <c r="F652" i="1"/>
  <c r="I652" i="1" s="1"/>
  <c r="H637" i="1"/>
  <c r="J637" i="1" s="1"/>
  <c r="C21" i="10"/>
  <c r="C116" i="2"/>
  <c r="C120" i="2" s="1"/>
  <c r="G639" i="1"/>
  <c r="J639" i="1" s="1"/>
  <c r="G616" i="1"/>
  <c r="J616" i="1" s="1"/>
  <c r="J44" i="1"/>
  <c r="H611" i="1" s="1"/>
  <c r="D96" i="2"/>
  <c r="G43" i="2"/>
  <c r="J542" i="1" l="1"/>
  <c r="K539" i="1"/>
  <c r="K542" i="1" s="1"/>
  <c r="H654" i="1"/>
  <c r="C5" i="13"/>
  <c r="D33" i="13"/>
  <c r="D36" i="13" s="1"/>
  <c r="L249" i="1"/>
  <c r="L263" i="1" s="1"/>
  <c r="G622" i="1" s="1"/>
  <c r="F654" i="1"/>
  <c r="I650" i="1"/>
  <c r="I654" i="1" s="1"/>
  <c r="C41" i="10"/>
  <c r="D36" i="10" s="1"/>
  <c r="C137" i="2"/>
  <c r="I651" i="1"/>
  <c r="G662" i="1"/>
  <c r="C5" i="10" s="1"/>
  <c r="G657" i="1"/>
  <c r="G625" i="1"/>
  <c r="J625" i="1" s="1"/>
  <c r="C27" i="10"/>
  <c r="I657" i="1" l="1"/>
  <c r="I662" i="1"/>
  <c r="C7" i="10" s="1"/>
  <c r="D37" i="10"/>
  <c r="D38" i="10"/>
  <c r="D40" i="10"/>
  <c r="D35" i="10"/>
  <c r="D39" i="10"/>
  <c r="F662" i="1"/>
  <c r="C4" i="10" s="1"/>
  <c r="F657" i="1"/>
  <c r="D27" i="10"/>
  <c r="J622" i="1"/>
  <c r="H646" i="1"/>
  <c r="H657" i="1"/>
  <c r="H662" i="1"/>
  <c r="C6" i="10" s="1"/>
  <c r="C28" i="10"/>
  <c r="D41" i="10" l="1"/>
  <c r="C30" i="10"/>
  <c r="D23" i="10"/>
  <c r="D22" i="10"/>
  <c r="D13" i="10"/>
  <c r="D20" i="10"/>
  <c r="D15" i="10"/>
  <c r="D16" i="10"/>
  <c r="D19" i="10"/>
  <c r="D25" i="10"/>
  <c r="D17" i="10"/>
  <c r="D26" i="10"/>
  <c r="D18" i="10"/>
  <c r="D10" i="10"/>
  <c r="D24" i="10"/>
  <c r="D11" i="10"/>
  <c r="D12" i="10"/>
  <c r="D21" i="10"/>
  <c r="D28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E5ECE059-0E64-4AE1-B731-5CBD689D13D7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56FBEFB1-859C-45F4-AB73-46BB591A34F3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5E54AD22-4DD6-4532-8302-3F661FB36470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A94F9E7F-5FF9-4772-A034-11AD77EA5424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A51B4A7A-F6B8-4511-9D7A-23CDC0F20D65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BAE1BB99-1349-44EA-B85B-E1BF672FDFA8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F05AF540-532F-4C44-BD17-69A54356E20C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3A7DD7BB-7A30-4302-904B-6FE9174D6098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06D1FC6C-3D71-486E-824A-90F3242B0F3D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F7C90F1F-7AD5-4019-ADDF-4FAB5EBC17D1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8726734B-E5DC-4862-8081-72909B0A9E69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63688539-FDE6-40DF-B18A-42C612890035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<sst xmlns="http://schemas.openxmlformats.org/spreadsheetml/2006/main" count="3875" uniqueCount="912">
  <si>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</si>
  <si>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</si>
  <si>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</si>
  <si>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</si>
  <si>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</si>
  <si>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</si>
  <si>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</si>
  <si>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</si>
  <si>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</si>
  <si>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</si>
  <si>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</si>
  <si>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</si>
  <si>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</si>
  <si>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</si>
  <si>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</si>
  <si>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</si>
  <si>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</si>
  <si>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</si>
  <si>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</si>
  <si>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</si>
  <si>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</si>
  <si>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</si>
  <si>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</si>
  <si>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</si>
  <si>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</si>
  <si>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</si>
  <si>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</si>
  <si>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</si>
  <si>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</si>
  <si>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</si>
  <si>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</si>
  <si>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</si>
  <si>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</si>
  <si>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</si>
  <si>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</si>
  <si>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</si>
  <si>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</si>
  <si>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</si>
  <si>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</si>
  <si>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</si>
  <si>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</si>
  <si>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</si>
  <si>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</si>
  <si>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</si>
  <si>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</si>
  <si>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</si>
  <si>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</si>
  <si>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</si>
  <si>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</si>
  <si>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</si>
  <si>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</si>
  <si>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</si>
  <si>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</si>
  <si>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</si>
  <si>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</si>
  <si>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</si>
  <si>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</si>
  <si>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</si>
  <si>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</si>
  <si>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</si>
  <si>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</si>
  <si>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</si>
  <si>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</si>
  <si>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</si>
  <si>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</si>
  <si>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</si>
  <si>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</si>
  <si>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</si>
  <si>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</si>
  <si>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</si>
  <si>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</si>
  <si>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</si>
  <si>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</si>
  <si>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</si>
  <si>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</si>
  <si>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</si>
  <si>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</si>
  <si>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</si>
  <si>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</si>
  <si>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</si>
  <si>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</si>
  <si>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</si>
  <si>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</si>
  <si>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</si>
  <si>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</si>
  <si>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</si>
  <si>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</si>
  <si>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</si>
  <si>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</si>
  <si>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</si>
  <si>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</si>
  <si>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</si>
  <si>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</si>
  <si>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</si>
  <si>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</si>
  <si>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</si>
  <si>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</si>
  <si>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</si>
  <si>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</si>
  <si>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</si>
  <si>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</si>
  <si>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</si>
  <si>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</si>
  <si>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</si>
  <si>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</si>
  <si>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</si>
  <si>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</si>
  <si>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</si>
  <si>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</si>
  <si>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</si>
  <si>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</si>
  <si>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</si>
  <si>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</si>
  <si>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</si>
  <si>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</si>
  <si>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</si>
  <si>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</si>
  <si>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</si>
  <si>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</si>
  <si>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</si>
  <si>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</si>
  <si>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</si>
  <si>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</si>
  <si>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</si>
  <si>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</si>
  <si>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</si>
  <si>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</si>
  <si>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</si>
  <si>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</si>
  <si>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</si>
  <si>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</si>
  <si>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</si>
  <si>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</si>
  <si>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</si>
  <si>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</si>
  <si>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</si>
  <si>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</si>
  <si>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</si>
  <si>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</si>
  <si>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</si>
  <si>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</si>
  <si>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</si>
  <si>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</si>
  <si>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</si>
  <si>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</si>
  <si>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</si>
  <si>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</si>
  <si>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</si>
  <si>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</si>
  <si>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</si>
  <si>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</si>
  <si>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</si>
  <si>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</si>
  <si>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</si>
  <si>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</si>
  <si>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</si>
  <si>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</si>
  <si>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</si>
  <si>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</si>
  <si>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</si>
  <si>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</si>
  <si>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</si>
  <si>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</si>
  <si>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</si>
  <si>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</si>
  <si>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</si>
  <si>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</si>
  <si>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</si>
  <si>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</si>
  <si>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</si>
  <si>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</si>
  <si>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</si>
  <si>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</si>
  <si>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</si>
  <si>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</si>
  <si>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</si>
  <si>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</si>
  <si>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</si>
  <si>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</si>
  <si>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</si>
  <si>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</si>
  <si>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</si>
  <si>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</si>
  <si>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</si>
  <si>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</si>
  <si>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</si>
  <si>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</si>
  <si>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</si>
  <si>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</si>
  <si>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</si>
  <si>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</si>
  <si>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</si>
  <si>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</si>
  <si>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</si>
  <si>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</si>
  <si>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</si>
  <si>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</si>
  <si>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</si>
  <si>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</si>
  <si>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</si>
  <si>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</si>
  <si>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</si>
  <si>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</si>
  <si>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</si>
  <si>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</si>
  <si>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</si>
  <si>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</si>
  <si>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</si>
  <si>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</si>
  <si>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</si>
  <si>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</si>
  <si>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</si>
  <si>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</si>
  <si>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</si>
  <si>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</si>
  <si>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</si>
  <si>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</si>
  <si>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</si>
  <si>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</si>
  <si>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</si>
  <si>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</si>
  <si>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</si>
  <si>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</si>
  <si>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</si>
  <si>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</si>
  <si>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</si>
  <si>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</si>
  <si>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</si>
  <si>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</si>
  <si>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</si>
  <si>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</si>
  <si>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</si>
  <si>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</si>
  <si>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</si>
  <si>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</si>
  <si>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</si>
  <si>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</si>
  <si>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</si>
  <si>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</si>
  <si>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</si>
  <si>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</si>
  <si>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</si>
  <si>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</si>
  <si>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</si>
  <si>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</si>
  <si>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</si>
  <si>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</si>
  <si>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</si>
  <si>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</si>
  <si>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</si>
  <si>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</si>
  <si>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</si>
  <si>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</si>
  <si>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</si>
  <si>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</si>
  <si>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</si>
  <si>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</si>
  <si>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</si>
  <si>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</si>
  <si>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</si>
  <si>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</si>
  <si>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</si>
  <si>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</si>
  <si>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</si>
  <si>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</si>
  <si>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</si>
  <si>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</si>
  <si>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</si>
  <si>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</si>
  <si>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</si>
  <si>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</si>
  <si>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</si>
  <si>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</si>
  <si>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</si>
  <si>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</si>
  <si>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</si>
  <si>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</si>
  <si>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</si>
  <si>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</si>
  <si>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</si>
  <si>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</si>
  <si>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</si>
  <si>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</si>
  <si>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</si>
  <si>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</si>
  <si>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</si>
  <si>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</si>
  <si>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</si>
  <si>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</si>
  <si>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</si>
  <si>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</si>
  <si>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</si>
  <si>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</si>
  <si>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</si>
  <si>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</si>
  <si>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</si>
  <si>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</si>
  <si>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</si>
  <si>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</si>
  <si>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</si>
  <si>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</si>
  <si>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</si>
  <si>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</si>
  <si>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</si>
  <si>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</si>
  <si>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</si>
  <si>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</si>
  <si>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</si>
  <si>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</si>
  <si>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</si>
  <si>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</si>
  <si>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</si>
  <si>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</si>
  <si>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</si>
  <si>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</si>
  <si>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</si>
  <si>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</si>
  <si>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</si>
  <si>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</si>
  <si>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</si>
  <si>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</si>
  <si>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</si>
  <si>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</si>
  <si>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</si>
  <si>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</si>
  <si>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</si>
  <si>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</si>
  <si>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</si>
  <si>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</si>
  <si>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</si>
  <si>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</si>
  <si>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</si>
  <si>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</si>
  <si>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</si>
  <si>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</si>
  <si>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</si>
  <si>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</si>
  <si>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</si>
  <si>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</si>
  <si>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</si>
  <si>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</si>
  <si>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</si>
  <si>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</si>
  <si>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</si>
  <si>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</si>
  <si>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</si>
  <si>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</si>
  <si>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</si>
  <si>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</si>
  <si>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</si>
  <si>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</si>
  <si>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</si>
  <si>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</si>
  <si>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</si>
  <si>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</si>
  <si>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</si>
  <si>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</si>
  <si>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</si>
  <si>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</si>
  <si>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</si>
  <si>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</si>
  <si>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</si>
  <si>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</si>
  <si>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</si>
  <si>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</si>
  <si>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</si>
  <si>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</si>
  <si>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</si>
  <si>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</si>
  <si>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</si>
  <si>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</si>
  <si>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</si>
  <si>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</si>
  <si>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</si>
  <si>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</si>
  <si>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</si>
  <si>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</si>
  <si>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</si>
  <si>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</si>
  <si>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</si>
  <si>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</si>
  <si>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</si>
  <si>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</si>
  <si>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</si>
  <si>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</si>
  <si>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</si>
  <si>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</si>
  <si>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</si>
  <si>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</si>
  <si>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</si>
  <si>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</si>
  <si>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</si>
  <si>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</si>
  <si>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</si>
  <si>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</si>
  <si>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</si>
  <si>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</si>
  <si>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</si>
  <si>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</si>
  <si>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</si>
  <si>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</si>
  <si>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</si>
  <si>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</si>
  <si>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</si>
  <si>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</si>
  <si>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</si>
  <si>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</si>
  <si>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</si>
  <si>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</si>
  <si>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</si>
  <si>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</si>
  <si>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</si>
  <si>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</si>
  <si>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</si>
  <si>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</si>
  <si>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</si>
  <si>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</si>
  <si>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</si>
  <si>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</si>
  <si>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</si>
  <si>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</si>
  <si>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</si>
  <si>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</si>
  <si>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</si>
  <si>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</si>
  <si>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</si>
  <si>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</si>
  <si>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</si>
  <si>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</si>
  <si>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</si>
  <si>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</si>
  <si>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</si>
  <si>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</si>
  <si>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</si>
  <si>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</si>
  <si>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</si>
  <si>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</si>
  <si>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</si>
  <si>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</si>
  <si>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</si>
  <si>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</si>
  <si>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</si>
  <si>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</si>
  <si>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</si>
  <si>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</si>
  <si>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</si>
  <si>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</si>
  <si>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</si>
  <si>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</si>
  <si>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</si>
  <si>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</si>
  <si>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</si>
  <si>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</si>
  <si>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</si>
  <si>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</si>
  <si>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</si>
  <si>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</si>
  <si>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</si>
  <si>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</si>
  <si>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</si>
  <si>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</si>
  <si>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</si>
  <si>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</si>
  <si>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</si>
  <si>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</si>
  <si>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</si>
  <si>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</si>
  <si>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</si>
  <si>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</si>
  <si>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</si>
  <si>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</si>
  <si>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</si>
  <si>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</si>
  <si>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</si>
  <si>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</si>
  <si>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</si>
  <si>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</si>
  <si>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</si>
  <si>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</si>
  <si>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</si>
  <si>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</si>
  <si>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</si>
  <si>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</si>
  <si>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</si>
  <si>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</si>
  <si>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</si>
  <si>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</si>
  <si>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</si>
  <si>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</si>
  <si>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</si>
  <si>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</si>
  <si>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</si>
  <si>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</si>
  <si>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</si>
  <si>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</si>
  <si>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</si>
  <si>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</si>
  <si>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</si>
  <si>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</si>
  <si>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</si>
  <si>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</si>
  <si>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</si>
  <si>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</si>
  <si>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</si>
  <si>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</si>
  <si>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</si>
  <si>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</si>
  <si>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</si>
  <si>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</si>
  <si>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</si>
  <si>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</si>
  <si>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</si>
  <si>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</si>
  <si>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</si>
  <si>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</si>
  <si>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</si>
  <si>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</si>
  <si>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</si>
  <si>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</si>
  <si>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</si>
  <si>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</si>
  <si>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</si>
  <si>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</si>
  <si>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</si>
  <si>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</si>
  <si>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</si>
  <si>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</si>
  <si>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</si>
  <si>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</si>
  <si>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</si>
  <si>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</si>
  <si>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</si>
  <si>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</si>
  <si>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</si>
  <si>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</si>
  <si>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</si>
  <si>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</si>
  <si>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</si>
  <si>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</si>
  <si>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</si>
  <si>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</si>
  <si>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</si>
  <si>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</si>
  <si>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</si>
  <si>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</si>
  <si>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</si>
  <si>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</si>
  <si>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</si>
  <si>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</si>
  <si>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</si>
  <si>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</si>
  <si>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</si>
  <si>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</si>
  <si>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</si>
  <si>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</si>
  <si>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</si>
  <si>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</si>
  <si>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</si>
  <si>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</si>
  <si>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</si>
  <si>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</si>
  <si>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</si>
  <si>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</si>
  <si>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</si>
  <si>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</si>
  <si>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</si>
  <si>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</si>
  <si>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</si>
  <si>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</si>
  <si>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</si>
  <si>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</si>
  <si>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</si>
  <si>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</si>
  <si>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</si>
  <si>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</si>
  <si>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</si>
  <si>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</si>
  <si>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</si>
  <si>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</si>
  <si>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</si>
  <si>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</si>
  <si>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</si>
  <si>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</si>
  <si>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</si>
  <si>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</si>
  <si>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</si>
  <si>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</si>
  <si>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</si>
  <si>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</si>
  <si>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</si>
  <si>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</si>
  <si>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</si>
  <si>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</si>
  <si>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</si>
  <si>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</si>
  <si>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</si>
  <si>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</si>
  <si>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</si>
  <si>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</si>
  <si>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</si>
  <si>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</si>
  <si>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</si>
  <si>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</si>
  <si>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</si>
  <si>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</si>
  <si>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</si>
  <si>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</si>
  <si>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</si>
  <si>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</si>
  <si>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</si>
  <si>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</si>
  <si>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</si>
  <si>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</si>
  <si>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</si>
  <si>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</si>
  <si>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</si>
  <si>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</si>
  <si>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</si>
  <si>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</si>
  <si>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</si>
  <si>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</si>
  <si>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</si>
  <si>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</si>
  <si>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</si>
  <si>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</si>
  <si>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</si>
  <si>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</si>
  <si>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</si>
  <si>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</si>
  <si>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</si>
  <si>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</si>
  <si>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</si>
  <si>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</si>
  <si>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</si>
  <si>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</si>
  <si>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</si>
  <si>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</si>
  <si>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</si>
  <si>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</si>
  <si>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</si>
  <si>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</si>
  <si>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</si>
  <si>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</si>
  <si>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</si>
  <si>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</si>
  <si>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</si>
  <si>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</si>
  <si>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</si>
  <si>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</si>
  <si>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</si>
  <si>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</si>
  <si>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</si>
  <si>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</si>
  <si>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</si>
  <si>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</si>
  <si>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</si>
  <si>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</si>
  <si>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</si>
  <si>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</si>
  <si>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</si>
  <si>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</si>
  <si>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</si>
  <si>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</si>
  <si>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</si>
  <si>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</si>
  <si>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</si>
  <si>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</si>
  <si>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</si>
  <si>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</si>
  <si>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</si>
  <si>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</si>
  <si>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</si>
  <si>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</si>
  <si>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</si>
  <si>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</si>
  <si>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</si>
  <si>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</si>
  <si>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</si>
  <si>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</si>
  <si>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</si>
  <si>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</si>
  <si>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</si>
  <si>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</si>
  <si>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</si>
  <si>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</si>
  <si>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</si>
  <si>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</si>
  <si>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</si>
  <si>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</si>
  <si>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</si>
  <si>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</si>
  <si>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</si>
  <si>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</si>
  <si>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</si>
  <si>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</si>
  <si>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</si>
  <si>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</si>
  <si>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</si>
  <si>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</si>
  <si>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</si>
  <si>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</si>
  <si>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</si>
  <si>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</si>
  <si>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</si>
  <si>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</si>
  <si>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</si>
  <si>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</si>
  <si>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</si>
  <si>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</si>
  <si>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</si>
  <si>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</si>
  <si>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</si>
  <si>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</si>
  <si>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</si>
  <si>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</si>
  <si>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</si>
  <si>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</si>
  <si>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</si>
  <si>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</si>
  <si>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</si>
  <si>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</si>
  <si>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</si>
  <si>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</si>
  <si>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</si>
  <si>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</si>
  <si>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</si>
  <si>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</si>
  <si>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</si>
  <si>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</si>
  <si>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</si>
  <si>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</si>
  <si>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</si>
  <si>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</si>
  <si>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</si>
  <si>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</si>
  <si>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</si>
  <si>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</si>
  <si>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</si>
  <si>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</si>
  <si>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</si>
  <si>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</si>
  <si>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</si>
  <si>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</si>
  <si>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</si>
  <si>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</si>
  <si>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</si>
  <si>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</si>
  <si>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</si>
  <si>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</si>
  <si>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</si>
  <si>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</si>
  <si>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</si>
  <si>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</si>
  <si>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</si>
  <si>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</si>
  <si>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</si>
  <si>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</si>
  <si>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</si>
  <si>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</si>
  <si>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</si>
  <si>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</si>
  <si>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</si>
  <si>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</si>
  <si>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</si>
  <si>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</si>
  <si>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</si>
  <si>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</si>
  <si>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</si>
  <si>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</si>
  <si>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</si>
  <si>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</si>
  <si>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</si>
  <si>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</si>
  <si>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</si>
  <si>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</si>
  <si>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</si>
  <si>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</si>
  <si>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</si>
  <si>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</si>
  <si>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</si>
  <si>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</si>
  <si>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</si>
  <si>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</si>
  <si>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</si>
  <si>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</si>
  <si>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</si>
  <si>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</si>
  <si>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</si>
  <si>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</si>
  <si>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</si>
  <si>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</si>
  <si>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</si>
  <si>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</si>
  <si>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</si>
  <si>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</si>
  <si>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</si>
  <si>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</si>
  <si>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</si>
  <si>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</si>
  <si>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</si>
  <si>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</si>
  <si>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</si>
  <si>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</si>
  <si>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</si>
  <si>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</si>
  <si>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</si>
  <si>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</si>
  <si>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</si>
  <si>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</si>
  <si>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</si>
  <si>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</si>
  <si>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</si>
  <si>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</si>
  <si>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</si>
  <si>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</si>
  <si>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</si>
  <si>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</si>
  <si>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</si>
  <si>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</si>
  <si>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</si>
  <si>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</si>
  <si>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</si>
  <si>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</si>
  <si>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</si>
  <si>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</si>
  <si>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</si>
  <si>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</si>
  <si>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</si>
  <si>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</si>
  <si>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</si>
  <si>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</si>
  <si>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</si>
  <si>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</si>
  <si>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</si>
  <si>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</si>
  <si>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</si>
  <si>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</si>
  <si>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</si>
  <si>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</si>
  <si>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</si>
  <si>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</si>
  <si>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</si>
  <si>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</si>
  <si>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</si>
  <si>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</si>
  <si>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</si>
  <si>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</si>
  <si>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</si>
  <si>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</si>
  <si>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</si>
  <si>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</si>
  <si>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</si>
  <si>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</si>
  <si>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</si>
  <si>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</si>
  <si>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</si>
  <si>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</si>
  <si>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</si>
  <si>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</si>
  <si>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</si>
  <si>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</si>
  <si>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</si>
  <si>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</si>
  <si>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</si>
  <si>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</si>
  <si>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</si>
  <si>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</si>
  <si>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</si>
  <si>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</si>
  <si>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</si>
  <si>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</si>
  <si>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</si>
  <si>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</si>
  <si>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</si>
  <si>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</si>
  <si>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</si>
  <si>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</si>
  <si>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</si>
  <si>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</si>
  <si>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</si>
  <si>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</si>
  <si>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</si>
  <si>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</si>
  <si>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</si>
  <si>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</si>
  <si>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</si>
  <si>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</si>
  <si>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</si>
  <si>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</si>
  <si>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</si>
  <si>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</si>
  <si>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</si>
  <si>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</si>
  <si>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</si>
  <si>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Haverhill received $99,364.94 in vocational tuition from the State, not $104,300.70 as listed on the DOE listing.</t>
  </si>
  <si>
    <t xml:space="preserve">  The difference is $4,935.76, which is what Benton received, and is listed on the State listing.</t>
  </si>
  <si>
    <t>6,7</t>
  </si>
  <si>
    <t>Haverhill hires a food service management company, so we don't purchase our own supplies and food</t>
  </si>
  <si>
    <t xml:space="preserve">AUDIT ADJUST 6/30/09; 7/1 EQUITY 264,442.37 </t>
  </si>
  <si>
    <t>RECLASSED ENCUMBRANCE TO ACCOUNTS PAYABLE</t>
  </si>
  <si>
    <t>02/92</t>
  </si>
  <si>
    <t>7/91</t>
  </si>
  <si>
    <t>08/21/03</t>
  </si>
  <si>
    <t>7/6/2005</t>
  </si>
  <si>
    <t>3/2/2009</t>
  </si>
  <si>
    <t>8/2011</t>
  </si>
  <si>
    <t>1/2011</t>
  </si>
  <si>
    <t>08/21/2018</t>
  </si>
  <si>
    <t>7/5/2021</t>
  </si>
  <si>
    <t>3/1/2019</t>
  </si>
  <si>
    <t>additional debt page added</t>
  </si>
  <si>
    <t>HAVERHILL COOPERATIVE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</si>
</sst>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" fillId="0" borderId="0" xfId="0" applyNumberFormat="1" applyFont="1" applyAlignment="1" applyProtection="1">
      <alignment horizontal="center"/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7FE4E-2C94-44DB-B084-24839BC3C838}">
  <sheetPr transitionEvaluation="1" transitionEntry="1" codeName="Sheet1">
    <tabColor indexed="56"/>
  </sheetPr>
  <dimension ref="A1:AQ666"/>
  <sheetViews>
    <sheetView tabSelected="1" topLeftCell="A633" zoomScale="75" workbookViewId="0">
      <selection activeCell="H661" sqref="H66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911</v>
      </c>
      <c r="B2" s="21">
        <v>238</v>
      </c>
      <c r="C2" s="21">
        <v>0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f>304446.38+500</f>
        <v>304946.38</v>
      </c>
      <c r="G9" s="18"/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380006.38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49079.49</v>
      </c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346593.9</v>
      </c>
      <c r="G13" s="18">
        <v>23109.759999999998</v>
      </c>
      <c r="H13" s="18">
        <v>62326.32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18394.13</v>
      </c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4309.5</v>
      </c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723323.4</v>
      </c>
      <c r="G19" s="41">
        <f>SUM(G9:G18)</f>
        <v>23109.759999999998</v>
      </c>
      <c r="H19" s="41">
        <f>SUM(H9:H18)</f>
        <v>62326.32</v>
      </c>
      <c r="I19" s="41">
        <f>SUM(I9:I18)</f>
        <v>0</v>
      </c>
      <c r="J19" s="41">
        <f>SUM(J9:J18)</f>
        <v>380006.38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>
        <v>10838.86</v>
      </c>
      <c r="H23" s="18">
        <f>42362.34-4121.71</f>
        <v>38240.629999999997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82546.259999999995</v>
      </c>
      <c r="G25" s="18">
        <v>12270.9</v>
      </c>
      <c r="H25" s="18">
        <v>7834.25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>
        <v>180000</v>
      </c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12817.82</v>
      </c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f>980.56+1066.19+88.22+19.51</f>
        <v>2154.48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>
        <f>12129.73+4121.71</f>
        <v>16251.439999999999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277518.56</v>
      </c>
      <c r="G33" s="41">
        <f>SUM(G23:G32)</f>
        <v>23109.760000000002</v>
      </c>
      <c r="H33" s="41">
        <f>SUM(H23:H32)</f>
        <v>62326.319999999992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139804.85999999999</v>
      </c>
      <c r="G37" s="18"/>
      <c r="H37" s="18">
        <v>236.78</v>
      </c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>
        <v>50000</v>
      </c>
      <c r="G41" s="18"/>
      <c r="H41" s="18">
        <v>-236.78</v>
      </c>
      <c r="I41" s="18"/>
      <c r="J41" s="13">
        <f>SUM(I449)</f>
        <v>380006.38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255999.98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445804.83999999997</v>
      </c>
      <c r="G43" s="41">
        <f>SUM(G35:G42)</f>
        <v>0</v>
      </c>
      <c r="H43" s="41">
        <f>SUM(H35:H42)</f>
        <v>0</v>
      </c>
      <c r="I43" s="41">
        <f>SUM(I35:I42)</f>
        <v>0</v>
      </c>
      <c r="J43" s="41">
        <f>SUM(J35:J42)</f>
        <v>380006.38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723323.39999999991</v>
      </c>
      <c r="G44" s="41">
        <f>G43+G33</f>
        <v>23109.760000000002</v>
      </c>
      <c r="H44" s="41">
        <f>H43+H33</f>
        <v>62326.319999999992</v>
      </c>
      <c r="I44" s="41">
        <f>I43+I33</f>
        <v>0</v>
      </c>
      <c r="J44" s="41">
        <f>J43+J33</f>
        <v>380006.38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4172324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4172324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3353.96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>
        <v>1275</v>
      </c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>
        <v>17680</v>
      </c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1697601.11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226072.98</v>
      </c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1945983.05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f>7627.96+12954.81</f>
        <v>20582.77</v>
      </c>
      <c r="G88" s="18"/>
      <c r="H88" s="18"/>
      <c r="I88" s="18"/>
      <c r="J88" s="18">
        <f>45.56+78.36+8.3+10.42</f>
        <v>142.63999999999999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f>27234.61+58393.08+50090.97</f>
        <v>135718.66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>
        <v>4228.87</v>
      </c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35940.5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>
        <v>530.07000000000005</v>
      </c>
      <c r="G94" s="18"/>
      <c r="H94" s="18">
        <f>440+2804.46+10000+35416.52+536.81+5153.75</f>
        <v>54351.539999999994</v>
      </c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>
        <v>400</v>
      </c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>
        <v>13718.9</v>
      </c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>
        <v>6658.7</v>
      </c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48429.63</v>
      </c>
      <c r="G102" s="18">
        <v>5273.98</v>
      </c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130489.44</v>
      </c>
      <c r="G103" s="41">
        <f>SUM(G88:G102)</f>
        <v>140992.64000000001</v>
      </c>
      <c r="H103" s="41">
        <f>SUM(H88:H102)</f>
        <v>54351.539999999994</v>
      </c>
      <c r="I103" s="41">
        <f>SUM(I88:I102)</f>
        <v>0</v>
      </c>
      <c r="J103" s="41">
        <f>SUM(J88:J102)</f>
        <v>142.63999999999999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6248796.4900000002</v>
      </c>
      <c r="G104" s="41">
        <f>G52+G103</f>
        <v>140992.64000000001</v>
      </c>
      <c r="H104" s="41">
        <f>H52+H71+H86+H103</f>
        <v>54351.539999999994</v>
      </c>
      <c r="I104" s="41">
        <f>I52+I103</f>
        <v>0</v>
      </c>
      <c r="J104" s="41">
        <f>J52+J103</f>
        <v>142.63999999999999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2774527.73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781312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1064499.27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4620339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432515.05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238402.3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>
        <v>99364.94</v>
      </c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6685.76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f>1053.34+1165.09+1046.33</f>
        <v>3264.7599999999998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>
        <v>7350</v>
      </c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784318.05</v>
      </c>
      <c r="G128" s="41">
        <f>SUM(G115:G127)</f>
        <v>3264.7599999999998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5404657.0499999998</v>
      </c>
      <c r="G132" s="41">
        <f>G113+SUM(G128:G129)</f>
        <v>3264.7599999999998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385731.76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f>723894.56+5153.75-H146-H94</f>
        <v>288965.01000000007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f>46375.01+60287.9+45386.72</f>
        <v>152049.63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266878.90000000002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266878.90000000002</v>
      </c>
      <c r="G154" s="41">
        <f>SUM(G142:G153)</f>
        <v>152049.63</v>
      </c>
      <c r="H154" s="41">
        <f>SUM(H142:H153)</f>
        <v>674696.77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>
        <v>1840.24</v>
      </c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268719.14</v>
      </c>
      <c r="G161" s="41">
        <f>G139+G154+SUM(G155:G160)</f>
        <v>152049.63</v>
      </c>
      <c r="H161" s="41">
        <f>H139+H154+SUM(H155:H160)</f>
        <v>674696.77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31833.78</v>
      </c>
      <c r="H171" s="18"/>
      <c r="I171" s="18"/>
      <c r="J171" s="18">
        <v>100000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>
        <v>102.72</v>
      </c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102.72</v>
      </c>
      <c r="G175" s="41">
        <f>SUM(G171:G174)</f>
        <v>31833.78</v>
      </c>
      <c r="H175" s="41">
        <f>SUM(H171:H174)</f>
        <v>0</v>
      </c>
      <c r="I175" s="41">
        <f>SUM(I171:I174)</f>
        <v>0</v>
      </c>
      <c r="J175" s="41">
        <f>SUM(J171:J174)</f>
        <v>100000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>
        <v>73000</v>
      </c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73000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73102.720000000001</v>
      </c>
      <c r="G184" s="41">
        <f>G175+SUM(G180:G183)</f>
        <v>31833.78</v>
      </c>
      <c r="H184" s="41">
        <f>+H175+SUM(H180:H183)</f>
        <v>0</v>
      </c>
      <c r="I184" s="41">
        <f>I169+I175+SUM(I180:I183)</f>
        <v>0</v>
      </c>
      <c r="J184" s="41">
        <f>J175</f>
        <v>100000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11995275.4</v>
      </c>
      <c r="G185" s="47">
        <f>G104+G132+G161+G184</f>
        <v>328140.81000000006</v>
      </c>
      <c r="H185" s="47">
        <f>H104+H132+H161+H184</f>
        <v>729048.31</v>
      </c>
      <c r="I185" s="47">
        <f>I104+I132+I161+I184</f>
        <v>0</v>
      </c>
      <c r="J185" s="47">
        <f>J104+J132+J184</f>
        <v>100142.64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686202.52</v>
      </c>
      <c r="G189" s="18">
        <v>214102.08</v>
      </c>
      <c r="H189" s="18">
        <f>52511.76+170.9</f>
        <v>52682.66</v>
      </c>
      <c r="I189" s="18">
        <v>47734.99</v>
      </c>
      <c r="J189" s="18">
        <v>3075.96</v>
      </c>
      <c r="K189" s="18">
        <v>1883</v>
      </c>
      <c r="L189" s="19">
        <f>SUM(F189:K189)</f>
        <v>1005681.21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401655.43</v>
      </c>
      <c r="G190" s="18">
        <v>141660.91</v>
      </c>
      <c r="H190" s="18">
        <f>5925.12+45957.16</f>
        <v>51882.280000000006</v>
      </c>
      <c r="I190" s="18">
        <v>7621.83</v>
      </c>
      <c r="J190" s="18">
        <v>99</v>
      </c>
      <c r="K190" s="18">
        <v>77.5</v>
      </c>
      <c r="L190" s="19">
        <f>SUM(F190:K190)</f>
        <v>602996.94999999995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15563.72</v>
      </c>
      <c r="G192" s="18">
        <v>2253.1799999999998</v>
      </c>
      <c r="H192" s="18"/>
      <c r="I192" s="18">
        <v>69.31</v>
      </c>
      <c r="J192" s="18"/>
      <c r="K192" s="18"/>
      <c r="L192" s="19">
        <f>SUM(F192:K192)</f>
        <v>17886.21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83354.720000000001</v>
      </c>
      <c r="G194" s="18">
        <v>28438.5</v>
      </c>
      <c r="H194" s="18">
        <f>133566.1+1101.71</f>
        <v>134667.81</v>
      </c>
      <c r="I194" s="18">
        <v>2122.4299999999998</v>
      </c>
      <c r="J194" s="18">
        <v>878.71</v>
      </c>
      <c r="K194" s="18"/>
      <c r="L194" s="19">
        <f t="shared" ref="L194:L200" si="0">SUM(F194:K194)</f>
        <v>249462.16999999998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20806.060000000001</v>
      </c>
      <c r="G195" s="18">
        <v>27775.22</v>
      </c>
      <c r="H195" s="18">
        <f>24256.5+473.4</f>
        <v>24729.9</v>
      </c>
      <c r="I195" s="18"/>
      <c r="J195" s="18"/>
      <c r="K195" s="18"/>
      <c r="L195" s="19">
        <f t="shared" si="0"/>
        <v>73311.179999999993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2568.41</v>
      </c>
      <c r="G196" s="18">
        <v>200.56</v>
      </c>
      <c r="H196" s="18">
        <f>148455.54+7066.03</f>
        <v>155521.57</v>
      </c>
      <c r="I196" s="18">
        <v>317.97000000000003</v>
      </c>
      <c r="J196" s="18"/>
      <c r="K196" s="18">
        <v>1170.43</v>
      </c>
      <c r="L196" s="19">
        <f t="shared" si="0"/>
        <v>159778.94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106541.05</v>
      </c>
      <c r="G197" s="18">
        <v>29831.64</v>
      </c>
      <c r="H197" s="18">
        <v>6032.63</v>
      </c>
      <c r="I197" s="18">
        <v>879.4</v>
      </c>
      <c r="J197" s="18">
        <v>587.20000000000005</v>
      </c>
      <c r="K197" s="18"/>
      <c r="L197" s="19">
        <f t="shared" si="0"/>
        <v>143871.92000000001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42987.27</v>
      </c>
      <c r="G199" s="18">
        <v>19105.93</v>
      </c>
      <c r="H199" s="18">
        <f>52484.97+2170.89</f>
        <v>54655.86</v>
      </c>
      <c r="I199" s="18">
        <v>64091.68</v>
      </c>
      <c r="J199" s="18">
        <v>2518.37</v>
      </c>
      <c r="K199" s="18">
        <v>93</v>
      </c>
      <c r="L199" s="19">
        <f t="shared" si="0"/>
        <v>183452.11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v>4902.47</v>
      </c>
      <c r="G200" s="18">
        <v>1111.9000000000001</v>
      </c>
      <c r="H200" s="18">
        <f>489.5+97734.94</f>
        <v>98224.44</v>
      </c>
      <c r="I200" s="18">
        <v>1060.55</v>
      </c>
      <c r="J200" s="18"/>
      <c r="K200" s="18">
        <v>200.02</v>
      </c>
      <c r="L200" s="19">
        <f t="shared" si="0"/>
        <v>105499.38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>
        <f>21888.32+7013.96</f>
        <v>28902.28</v>
      </c>
      <c r="I201" s="18">
        <v>591.65</v>
      </c>
      <c r="J201" s="18">
        <v>3226.7</v>
      </c>
      <c r="K201" s="18">
        <v>55.25</v>
      </c>
      <c r="L201" s="19">
        <f>SUM(F201:K201)</f>
        <v>32775.880000000005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1364581.65</v>
      </c>
      <c r="G203" s="41">
        <f t="shared" si="1"/>
        <v>464479.92000000004</v>
      </c>
      <c r="H203" s="41">
        <f t="shared" si="1"/>
        <v>607299.43000000005</v>
      </c>
      <c r="I203" s="41">
        <f t="shared" si="1"/>
        <v>124489.81</v>
      </c>
      <c r="J203" s="41">
        <f t="shared" si="1"/>
        <v>10385.939999999999</v>
      </c>
      <c r="K203" s="41">
        <f t="shared" si="1"/>
        <v>3479.2000000000003</v>
      </c>
      <c r="L203" s="41">
        <f t="shared" si="1"/>
        <v>2574715.9499999993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v>1128995.1399999999</v>
      </c>
      <c r="G207" s="18">
        <v>345636.02</v>
      </c>
      <c r="H207" s="18">
        <v>8964.75</v>
      </c>
      <c r="I207" s="18">
        <v>48341.41</v>
      </c>
      <c r="J207" s="18">
        <v>4382.68</v>
      </c>
      <c r="K207" s="18">
        <v>2465.88</v>
      </c>
      <c r="L207" s="19">
        <f>SUM(F207:K207)</f>
        <v>1538785.8799999997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v>408378.47</v>
      </c>
      <c r="G208" s="18">
        <v>163932.46</v>
      </c>
      <c r="H208" s="18">
        <f>64406.71+143884.14</f>
        <v>208290.85</v>
      </c>
      <c r="I208" s="18">
        <v>8174.08</v>
      </c>
      <c r="J208" s="18">
        <v>857.79</v>
      </c>
      <c r="K208" s="18">
        <v>97.5</v>
      </c>
      <c r="L208" s="19">
        <f>SUM(F208:K208)</f>
        <v>789731.14999999991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>
        <v>25000</v>
      </c>
      <c r="I209" s="18"/>
      <c r="J209" s="18"/>
      <c r="K209" s="18"/>
      <c r="L209" s="19">
        <f>SUM(F209:K209)</f>
        <v>25000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v>65312.54</v>
      </c>
      <c r="G210" s="18">
        <v>9724.89</v>
      </c>
      <c r="H210" s="18">
        <f>4100+1575.5+15476.94</f>
        <v>21152.440000000002</v>
      </c>
      <c r="I210" s="18">
        <v>9473.81</v>
      </c>
      <c r="J210" s="18"/>
      <c r="K210" s="18">
        <v>1240</v>
      </c>
      <c r="L210" s="19">
        <f>SUM(F210:K210)</f>
        <v>106903.67999999999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v>90039.38</v>
      </c>
      <c r="G212" s="18">
        <v>28817.69</v>
      </c>
      <c r="H212" s="18">
        <f>84425.68+1498.66</f>
        <v>85924.34</v>
      </c>
      <c r="I212" s="18">
        <v>4058.7</v>
      </c>
      <c r="J212" s="18"/>
      <c r="K212" s="18">
        <v>3236</v>
      </c>
      <c r="L212" s="19">
        <f t="shared" ref="L212:L218" si="2">SUM(F212:K212)</f>
        <v>212076.11000000002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v>23892.959999999999</v>
      </c>
      <c r="G213" s="18">
        <v>19753.689999999999</v>
      </c>
      <c r="H213" s="18">
        <f>29940.04+1008.26</f>
        <v>30948.3</v>
      </c>
      <c r="I213" s="18">
        <v>70.2</v>
      </c>
      <c r="J213" s="18"/>
      <c r="K213" s="18"/>
      <c r="L213" s="19">
        <f t="shared" si="2"/>
        <v>74665.149999999994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3232.46</v>
      </c>
      <c r="G214" s="18">
        <v>252.38</v>
      </c>
      <c r="H214" s="18">
        <f>192720.11+8889.5</f>
        <v>201609.61</v>
      </c>
      <c r="I214" s="18">
        <v>333.63</v>
      </c>
      <c r="J214" s="18"/>
      <c r="K214" s="18">
        <v>1472.48</v>
      </c>
      <c r="L214" s="19">
        <f t="shared" si="2"/>
        <v>206900.56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v>193720.24</v>
      </c>
      <c r="G215" s="18">
        <v>63353.95</v>
      </c>
      <c r="H215" s="18">
        <v>9878.65</v>
      </c>
      <c r="I215" s="18">
        <v>2650.81</v>
      </c>
      <c r="J215" s="18">
        <v>586.41999999999996</v>
      </c>
      <c r="K215" s="18">
        <v>1504.25</v>
      </c>
      <c r="L215" s="19">
        <f t="shared" si="2"/>
        <v>271694.32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v>97246.03</v>
      </c>
      <c r="G217" s="18">
        <v>25215.439999999999</v>
      </c>
      <c r="H217" s="18">
        <f>72630.64+3657.53</f>
        <v>76288.17</v>
      </c>
      <c r="I217" s="18">
        <v>91764.22</v>
      </c>
      <c r="J217" s="18">
        <v>8895.6200000000008</v>
      </c>
      <c r="K217" s="18">
        <v>117</v>
      </c>
      <c r="L217" s="19">
        <f t="shared" si="2"/>
        <v>299526.48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>
        <v>6165.18</v>
      </c>
      <c r="G218" s="18">
        <v>1398.75</v>
      </c>
      <c r="H218" s="18">
        <f>615.83+145009.22</f>
        <v>145625.04999999999</v>
      </c>
      <c r="I218" s="18">
        <v>1334.22</v>
      </c>
      <c r="J218" s="18"/>
      <c r="K218" s="18">
        <v>251.65</v>
      </c>
      <c r="L218" s="19">
        <f t="shared" si="2"/>
        <v>154774.84999999998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>
        <f>27536.92+8362.65</f>
        <v>35899.57</v>
      </c>
      <c r="I219" s="18">
        <v>2807.04</v>
      </c>
      <c r="J219" s="18">
        <v>4074.82</v>
      </c>
      <c r="K219" s="18"/>
      <c r="L219" s="19">
        <f>SUM(F219:K219)</f>
        <v>42781.43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2016982.3999999997</v>
      </c>
      <c r="G221" s="41">
        <f>SUM(G207:G220)</f>
        <v>658085.26999999979</v>
      </c>
      <c r="H221" s="41">
        <f>SUM(H207:H220)</f>
        <v>849581.7300000001</v>
      </c>
      <c r="I221" s="41">
        <f>SUM(I207:I220)</f>
        <v>169008.12</v>
      </c>
      <c r="J221" s="41">
        <f>SUM(J207:J220)</f>
        <v>18797.330000000002</v>
      </c>
      <c r="K221" s="41">
        <f t="shared" si="3"/>
        <v>10384.76</v>
      </c>
      <c r="L221" s="41">
        <f t="shared" si="3"/>
        <v>3722839.6099999994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v>1136061.06</v>
      </c>
      <c r="G225" s="18">
        <v>361377.68</v>
      </c>
      <c r="H225" s="18">
        <f>400+2370.19</f>
        <v>2770.19</v>
      </c>
      <c r="I225" s="18">
        <v>73770.02</v>
      </c>
      <c r="J225" s="18">
        <v>14040.69</v>
      </c>
      <c r="K225" s="18">
        <v>18712.32</v>
      </c>
      <c r="L225" s="19">
        <f>SUM(F225:K225)</f>
        <v>1606731.96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394618.49</v>
      </c>
      <c r="G226" s="18">
        <v>185549.34</v>
      </c>
      <c r="H226" s="18">
        <f>126883.89+432121.23</f>
        <v>559005.12</v>
      </c>
      <c r="I226" s="18">
        <v>4861.12</v>
      </c>
      <c r="J226" s="18">
        <v>2086.9899999999998</v>
      </c>
      <c r="K226" s="18">
        <v>247</v>
      </c>
      <c r="L226" s="19">
        <f>SUM(F226:K226)</f>
        <v>1146368.06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>
        <f>13000+129173.76</f>
        <v>142173.76000000001</v>
      </c>
      <c r="I227" s="18">
        <v>6175</v>
      </c>
      <c r="J227" s="18"/>
      <c r="K227" s="18"/>
      <c r="L227" s="19">
        <f>SUM(F227:K227)</f>
        <v>148348.76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68698.399999999994</v>
      </c>
      <c r="G228" s="18">
        <v>8183.95</v>
      </c>
      <c r="H228" s="18">
        <f>17159+2585+10194.55</f>
        <v>29938.55</v>
      </c>
      <c r="I228" s="18">
        <v>9154.73</v>
      </c>
      <c r="J228" s="18">
        <v>2995</v>
      </c>
      <c r="K228" s="18">
        <v>6653.5</v>
      </c>
      <c r="L228" s="19">
        <f>SUM(F228:K228)</f>
        <v>125624.12999999999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166871.03</v>
      </c>
      <c r="G230" s="18">
        <v>58168.58</v>
      </c>
      <c r="H230" s="18">
        <f>50307.34+1355.18+56.65</f>
        <v>51719.17</v>
      </c>
      <c r="I230" s="18">
        <v>6094.42</v>
      </c>
      <c r="J230" s="18">
        <v>319</v>
      </c>
      <c r="K230" s="18">
        <v>2942.05</v>
      </c>
      <c r="L230" s="19">
        <f t="shared" ref="L230:L236" si="4">SUM(F230:K230)</f>
        <v>286114.24999999994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58961.27</v>
      </c>
      <c r="G231" s="18">
        <v>29733.31</v>
      </c>
      <c r="H231" s="18">
        <f>32373.14+410.16</f>
        <v>32783.300000000003</v>
      </c>
      <c r="I231" s="18">
        <v>230.62</v>
      </c>
      <c r="J231" s="18"/>
      <c r="K231" s="18"/>
      <c r="L231" s="19">
        <f t="shared" si="4"/>
        <v>121708.5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2499.13</v>
      </c>
      <c r="G232" s="18">
        <v>195.08</v>
      </c>
      <c r="H232" s="18">
        <f>147019.17+6942.36</f>
        <v>153961.53</v>
      </c>
      <c r="I232" s="18">
        <v>259.8</v>
      </c>
      <c r="J232" s="18"/>
      <c r="K232" s="18">
        <v>1132.67</v>
      </c>
      <c r="L232" s="19">
        <f t="shared" si="4"/>
        <v>158048.21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208073.34</v>
      </c>
      <c r="G233" s="18">
        <v>73966.91</v>
      </c>
      <c r="H233" s="18">
        <f>822.5+495+13378.53</f>
        <v>14696.03</v>
      </c>
      <c r="I233" s="18">
        <v>10288.040000000001</v>
      </c>
      <c r="J233" s="18">
        <v>878.78</v>
      </c>
      <c r="K233" s="18">
        <v>3613.25</v>
      </c>
      <c r="L233" s="19">
        <f t="shared" si="4"/>
        <v>311516.35000000003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>
        <v>4867.3900000000003</v>
      </c>
      <c r="L234" s="19">
        <f t="shared" si="4"/>
        <v>4867.3900000000003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102326.28</v>
      </c>
      <c r="G235" s="18">
        <v>32909.68</v>
      </c>
      <c r="H235" s="18">
        <f>11115.17+109878.43+2350.34</f>
        <v>123343.93999999999</v>
      </c>
      <c r="I235" s="18">
        <v>110993.87</v>
      </c>
      <c r="J235" s="18">
        <v>14931.16</v>
      </c>
      <c r="K235" s="18">
        <v>90</v>
      </c>
      <c r="L235" s="19">
        <f t="shared" si="4"/>
        <v>384594.92999999993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>
        <v>4771.29</v>
      </c>
      <c r="G236" s="18">
        <v>1077.31</v>
      </c>
      <c r="H236" s="18">
        <f>473.71+139560.91</f>
        <v>140034.62</v>
      </c>
      <c r="I236" s="18">
        <v>1026.3599999999999</v>
      </c>
      <c r="J236" s="18"/>
      <c r="K236" s="18">
        <v>193.58</v>
      </c>
      <c r="L236" s="19">
        <f t="shared" si="4"/>
        <v>147103.15999999997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>
        <f>21182.24+19823.63</f>
        <v>41005.870000000003</v>
      </c>
      <c r="I237" s="18">
        <v>1929.63</v>
      </c>
      <c r="J237" s="18">
        <v>2856.69</v>
      </c>
      <c r="K237" s="18"/>
      <c r="L237" s="19">
        <f>SUM(F237:K237)</f>
        <v>45792.19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2142880.29</v>
      </c>
      <c r="G239" s="41">
        <f t="shared" si="5"/>
        <v>751161.84000000008</v>
      </c>
      <c r="H239" s="41">
        <f t="shared" si="5"/>
        <v>1291432.08</v>
      </c>
      <c r="I239" s="41">
        <f t="shared" si="5"/>
        <v>224783.61</v>
      </c>
      <c r="J239" s="41">
        <f t="shared" si="5"/>
        <v>38108.31</v>
      </c>
      <c r="K239" s="41">
        <f t="shared" si="5"/>
        <v>38451.760000000002</v>
      </c>
      <c r="L239" s="41">
        <f t="shared" si="5"/>
        <v>4486817.8900000006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>
        <v>33164.53</v>
      </c>
      <c r="G245" s="18">
        <v>7446.74</v>
      </c>
      <c r="H245" s="18">
        <v>1169.3499999999999</v>
      </c>
      <c r="I245" s="18">
        <v>893.25</v>
      </c>
      <c r="J245" s="18"/>
      <c r="K245" s="18"/>
      <c r="L245" s="19">
        <f t="shared" si="6"/>
        <v>42673.869999999995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33164.53</v>
      </c>
      <c r="G248" s="41">
        <f t="shared" si="7"/>
        <v>7446.74</v>
      </c>
      <c r="H248" s="41">
        <f t="shared" si="7"/>
        <v>1169.3499999999999</v>
      </c>
      <c r="I248" s="41">
        <f t="shared" si="7"/>
        <v>893.25</v>
      </c>
      <c r="J248" s="41">
        <f t="shared" si="7"/>
        <v>0</v>
      </c>
      <c r="K248" s="41">
        <f t="shared" si="7"/>
        <v>0</v>
      </c>
      <c r="L248" s="41">
        <f>SUM(F248:K248)</f>
        <v>42673.869999999995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5557608.8700000001</v>
      </c>
      <c r="G249" s="41">
        <f t="shared" si="8"/>
        <v>1881173.77</v>
      </c>
      <c r="H249" s="41">
        <f t="shared" si="8"/>
        <v>2749482.5900000003</v>
      </c>
      <c r="I249" s="41">
        <f t="shared" si="8"/>
        <v>519174.79</v>
      </c>
      <c r="J249" s="41">
        <f t="shared" si="8"/>
        <v>67291.58</v>
      </c>
      <c r="K249" s="41">
        <f t="shared" si="8"/>
        <v>52315.72</v>
      </c>
      <c r="L249" s="41">
        <f t="shared" si="8"/>
        <v>10827047.319999998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748766.65</v>
      </c>
      <c r="L252" s="19">
        <f>SUM(F252:K252)</f>
        <v>748766.65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96937.919999999998</v>
      </c>
      <c r="L253" s="19">
        <f>SUM(F253:K253)</f>
        <v>96937.919999999998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31833.78</v>
      </c>
      <c r="L255" s="19">
        <f>SUM(F255:K255)</f>
        <v>31833.78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100000</v>
      </c>
      <c r="L258" s="19">
        <f t="shared" si="9"/>
        <v>100000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>
        <v>9327.26</v>
      </c>
      <c r="L260" s="19">
        <f t="shared" si="9"/>
        <v>9327.26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986865.6100000001</v>
      </c>
      <c r="L262" s="41">
        <f t="shared" si="9"/>
        <v>986865.6100000001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5557608.8700000001</v>
      </c>
      <c r="G263" s="42">
        <f t="shared" si="11"/>
        <v>1881173.77</v>
      </c>
      <c r="H263" s="42">
        <f t="shared" si="11"/>
        <v>2749482.5900000003</v>
      </c>
      <c r="I263" s="42">
        <f t="shared" si="11"/>
        <v>519174.79</v>
      </c>
      <c r="J263" s="42">
        <f t="shared" si="11"/>
        <v>67291.58</v>
      </c>
      <c r="K263" s="42">
        <f t="shared" si="11"/>
        <v>1039181.3300000001</v>
      </c>
      <c r="L263" s="42">
        <f t="shared" si="11"/>
        <v>11813912.929999998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38686.21</v>
      </c>
      <c r="G268" s="18">
        <v>14914.33</v>
      </c>
      <c r="H268" s="18"/>
      <c r="I268" s="18">
        <v>338.58</v>
      </c>
      <c r="J268" s="18"/>
      <c r="K268" s="18"/>
      <c r="L268" s="19">
        <f>SUM(F268:K268)</f>
        <v>53939.12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156426.23000000001</v>
      </c>
      <c r="G269" s="18">
        <v>49069.86</v>
      </c>
      <c r="H269" s="18"/>
      <c r="I269" s="18">
        <v>4725.21</v>
      </c>
      <c r="J269" s="18"/>
      <c r="K269" s="18"/>
      <c r="L269" s="19">
        <f>SUM(F269:K269)</f>
        <v>210221.30000000002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v>12971.26</v>
      </c>
      <c r="G271" s="18">
        <v>2038.65</v>
      </c>
      <c r="H271" s="18"/>
      <c r="I271" s="18">
        <v>661.35</v>
      </c>
      <c r="J271" s="18"/>
      <c r="K271" s="18"/>
      <c r="L271" s="19">
        <f>SUM(F271:K271)</f>
        <v>15671.26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>
        <v>1563.22</v>
      </c>
      <c r="I273" s="18"/>
      <c r="J273" s="18"/>
      <c r="K273" s="18"/>
      <c r="L273" s="19">
        <f t="shared" ref="L273:L279" si="12">SUM(F273:K273)</f>
        <v>1563.22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2175</v>
      </c>
      <c r="G274" s="18">
        <v>166.39</v>
      </c>
      <c r="H274" s="18">
        <f>9235+83.73</f>
        <v>9318.73</v>
      </c>
      <c r="I274" s="18"/>
      <c r="J274" s="18"/>
      <c r="K274" s="18"/>
      <c r="L274" s="19">
        <f t="shared" si="12"/>
        <v>11660.119999999999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>
        <v>1967.93</v>
      </c>
      <c r="L275" s="19">
        <f t="shared" si="12"/>
        <v>1967.93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>
        <v>16309.06</v>
      </c>
      <c r="K279" s="18"/>
      <c r="L279" s="19">
        <f t="shared" si="12"/>
        <v>16309.06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210258.7</v>
      </c>
      <c r="G282" s="42">
        <f t="shared" si="13"/>
        <v>66189.23</v>
      </c>
      <c r="H282" s="42">
        <f t="shared" si="13"/>
        <v>10881.949999999999</v>
      </c>
      <c r="I282" s="42">
        <f t="shared" si="13"/>
        <v>5725.14</v>
      </c>
      <c r="J282" s="42">
        <f t="shared" si="13"/>
        <v>16309.06</v>
      </c>
      <c r="K282" s="42">
        <f t="shared" si="13"/>
        <v>1967.93</v>
      </c>
      <c r="L282" s="41">
        <f t="shared" si="13"/>
        <v>311332.01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>
        <v>4074.92</v>
      </c>
      <c r="J287" s="18"/>
      <c r="K287" s="18"/>
      <c r="L287" s="19">
        <f>SUM(F287:K287)</f>
        <v>4074.92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v>102152.53</v>
      </c>
      <c r="G288" s="18">
        <v>52625.74</v>
      </c>
      <c r="H288" s="18">
        <v>40397</v>
      </c>
      <c r="I288" s="18"/>
      <c r="J288" s="18"/>
      <c r="K288" s="18"/>
      <c r="L288" s="19">
        <f>SUM(F288:K288)</f>
        <v>195175.27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>
        <v>58396.99</v>
      </c>
      <c r="G290" s="18">
        <v>14399.75</v>
      </c>
      <c r="H290" s="18">
        <v>9687.5</v>
      </c>
      <c r="I290" s="18">
        <v>203.18</v>
      </c>
      <c r="J290" s="18"/>
      <c r="K290" s="18"/>
      <c r="L290" s="19">
        <f>SUM(F290:K290)</f>
        <v>82687.419999999984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>
        <v>440</v>
      </c>
      <c r="L292" s="19">
        <f t="shared" ref="L292:L298" si="14">SUM(F292:K292)</f>
        <v>440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>
        <v>3402.25</v>
      </c>
      <c r="G293" s="18">
        <v>7494.13</v>
      </c>
      <c r="H293" s="18">
        <f>14370+662.89</f>
        <v>15032.89</v>
      </c>
      <c r="I293" s="18"/>
      <c r="J293" s="18"/>
      <c r="K293" s="18">
        <v>1511.61</v>
      </c>
      <c r="L293" s="19">
        <f t="shared" si="14"/>
        <v>27440.880000000001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>
        <v>2980.05</v>
      </c>
      <c r="L294" s="19">
        <f t="shared" si="14"/>
        <v>2980.05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>
        <v>5545.72</v>
      </c>
      <c r="I298" s="18"/>
      <c r="J298" s="18">
        <v>20519.14</v>
      </c>
      <c r="K298" s="18"/>
      <c r="L298" s="19">
        <f t="shared" si="14"/>
        <v>26064.86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>
        <v>1400</v>
      </c>
      <c r="G299" s="18">
        <v>211.28</v>
      </c>
      <c r="H299" s="18"/>
      <c r="I299" s="18"/>
      <c r="J299" s="18"/>
      <c r="K299" s="18"/>
      <c r="L299" s="19">
        <f>SUM(F299:K299)</f>
        <v>1611.28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165351.76999999999</v>
      </c>
      <c r="G301" s="42">
        <f t="shared" si="15"/>
        <v>74730.899999999994</v>
      </c>
      <c r="H301" s="42">
        <f t="shared" si="15"/>
        <v>70663.11</v>
      </c>
      <c r="I301" s="42">
        <f t="shared" si="15"/>
        <v>4278.1000000000004</v>
      </c>
      <c r="J301" s="42">
        <f t="shared" si="15"/>
        <v>20519.14</v>
      </c>
      <c r="K301" s="42">
        <f t="shared" si="15"/>
        <v>4931.66</v>
      </c>
      <c r="L301" s="41">
        <f t="shared" si="15"/>
        <v>340474.68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>
        <v>500</v>
      </c>
      <c r="I306" s="18">
        <f>184.8</f>
        <v>184.8</v>
      </c>
      <c r="J306" s="18">
        <v>350</v>
      </c>
      <c r="K306" s="18"/>
      <c r="L306" s="19">
        <f>SUM(F306:K306)</f>
        <v>1034.8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>
        <v>20227.04</v>
      </c>
      <c r="I307" s="18"/>
      <c r="J307" s="18">
        <v>3051.98</v>
      </c>
      <c r="K307" s="18"/>
      <c r="L307" s="19">
        <f>SUM(F307:K307)</f>
        <v>23279.02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>
        <v>1612.5</v>
      </c>
      <c r="G309" s="18">
        <v>244.12</v>
      </c>
      <c r="H309" s="18"/>
      <c r="I309" s="18"/>
      <c r="J309" s="18"/>
      <c r="K309" s="18"/>
      <c r="L309" s="19">
        <f>SUM(F309:K309)</f>
        <v>1856.62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>
        <v>27404.5</v>
      </c>
      <c r="I311" s="18"/>
      <c r="J311" s="18"/>
      <c r="K311" s="18">
        <v>2468.9499999999998</v>
      </c>
      <c r="L311" s="19">
        <f t="shared" ref="L311:L317" si="16">SUM(F311:K311)</f>
        <v>29873.45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>
        <v>1650</v>
      </c>
      <c r="G312" s="18">
        <v>252.91</v>
      </c>
      <c r="H312" s="18">
        <v>476.03</v>
      </c>
      <c r="I312" s="18">
        <v>1283.27</v>
      </c>
      <c r="J312" s="18"/>
      <c r="K312" s="18"/>
      <c r="L312" s="19">
        <f t="shared" si="16"/>
        <v>3662.21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>
        <v>1650</v>
      </c>
      <c r="I317" s="18"/>
      <c r="J317" s="18">
        <v>15782.8</v>
      </c>
      <c r="K317" s="18"/>
      <c r="L317" s="19">
        <f t="shared" si="16"/>
        <v>17432.8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3262.5</v>
      </c>
      <c r="G320" s="42">
        <f t="shared" si="17"/>
        <v>497.03</v>
      </c>
      <c r="H320" s="42">
        <f t="shared" si="17"/>
        <v>50257.57</v>
      </c>
      <c r="I320" s="42">
        <f t="shared" si="17"/>
        <v>1468.07</v>
      </c>
      <c r="J320" s="42">
        <f t="shared" si="17"/>
        <v>19184.78</v>
      </c>
      <c r="K320" s="42">
        <f t="shared" si="17"/>
        <v>2468.9499999999998</v>
      </c>
      <c r="L320" s="41">
        <f t="shared" si="17"/>
        <v>77138.899999999994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378872.97</v>
      </c>
      <c r="G330" s="41">
        <f t="shared" si="20"/>
        <v>141417.16</v>
      </c>
      <c r="H330" s="41">
        <f t="shared" si="20"/>
        <v>131802.63</v>
      </c>
      <c r="I330" s="41">
        <f t="shared" si="20"/>
        <v>11471.310000000001</v>
      </c>
      <c r="J330" s="41">
        <f t="shared" si="20"/>
        <v>56012.979999999996</v>
      </c>
      <c r="K330" s="41">
        <f t="shared" si="20"/>
        <v>9368.5400000000009</v>
      </c>
      <c r="L330" s="41">
        <f t="shared" si="20"/>
        <v>728945.59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>
        <v>102.72</v>
      </c>
      <c r="L336" s="19">
        <f t="shared" ref="L336:L342" si="21">SUM(F336:K336)</f>
        <v>102.72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102.72</v>
      </c>
      <c r="L343" s="41">
        <f>SUM(L333:L342)</f>
        <v>102.72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378872.97</v>
      </c>
      <c r="G344" s="41">
        <f>G330</f>
        <v>141417.16</v>
      </c>
      <c r="H344" s="41">
        <f>H330</f>
        <v>131802.63</v>
      </c>
      <c r="I344" s="41">
        <f>I330</f>
        <v>11471.310000000001</v>
      </c>
      <c r="J344" s="41">
        <f>J330</f>
        <v>56012.979999999996</v>
      </c>
      <c r="K344" s="47">
        <f>K330+K343</f>
        <v>9471.26</v>
      </c>
      <c r="L344" s="41">
        <f>L330+L343</f>
        <v>729048.30999999994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/>
      <c r="G350" s="18"/>
      <c r="H350" s="18">
        <f>87832.32+2894.97</f>
        <v>90727.290000000008</v>
      </c>
      <c r="I350" s="18"/>
      <c r="J350" s="18">
        <v>4129.16</v>
      </c>
      <c r="K350" s="18"/>
      <c r="L350" s="13">
        <f>SUM(F350:K350)</f>
        <v>94856.450000000012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v>18019.68</v>
      </c>
      <c r="G351" s="18">
        <v>8713.11</v>
      </c>
      <c r="H351" s="18">
        <f>155.25+110498.68</f>
        <v>110653.93</v>
      </c>
      <c r="I351" s="18">
        <v>90.03</v>
      </c>
      <c r="J351" s="18">
        <v>555.14</v>
      </c>
      <c r="K351" s="18"/>
      <c r="L351" s="19">
        <f>SUM(F351:K351)</f>
        <v>138031.89000000001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v>8204.56</v>
      </c>
      <c r="G352" s="18">
        <v>707.98</v>
      </c>
      <c r="H352" s="18">
        <f>1258.84+84999</f>
        <v>86257.84</v>
      </c>
      <c r="I352" s="18">
        <v>82.09</v>
      </c>
      <c r="J352" s="18"/>
      <c r="K352" s="18"/>
      <c r="L352" s="19">
        <f>SUM(F352:K352)</f>
        <v>95252.469999999987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26224.239999999998</v>
      </c>
      <c r="G354" s="47">
        <f t="shared" si="22"/>
        <v>9421.09</v>
      </c>
      <c r="H354" s="47">
        <f t="shared" si="22"/>
        <v>287639.06</v>
      </c>
      <c r="I354" s="47">
        <f t="shared" si="22"/>
        <v>172.12</v>
      </c>
      <c r="J354" s="47">
        <f t="shared" si="22"/>
        <v>4684.3</v>
      </c>
      <c r="K354" s="47">
        <f t="shared" si="22"/>
        <v>0</v>
      </c>
      <c r="L354" s="47">
        <f t="shared" si="22"/>
        <v>328140.81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/>
      <c r="G359" s="18"/>
      <c r="H359" s="18"/>
      <c r="I359" s="56">
        <f>SUM(F359:H359)</f>
        <v>0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/>
      <c r="G360" s="63">
        <v>90.03</v>
      </c>
      <c r="H360" s="63">
        <v>82.09</v>
      </c>
      <c r="I360" s="56">
        <f>SUM(F360:H360)</f>
        <v>172.12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0</v>
      </c>
      <c r="G361" s="47">
        <f>SUM(G359:G360)</f>
        <v>90.03</v>
      </c>
      <c r="H361" s="47">
        <f>SUM(H359:H360)</f>
        <v>82.09</v>
      </c>
      <c r="I361" s="47">
        <f>SUM(I359:I360)</f>
        <v>172.12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>
        <v>5459.5</v>
      </c>
      <c r="I367" s="18"/>
      <c r="J367" s="18"/>
      <c r="K367" s="18"/>
      <c r="L367" s="13">
        <f t="shared" ref="L367:L373" si="23">SUM(F367:K367)</f>
        <v>5459.5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5459.5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5459.5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>
        <v>10.42</v>
      </c>
      <c r="I380" s="18"/>
      <c r="J380" s="24" t="s">
        <v>312</v>
      </c>
      <c r="K380" s="24" t="s">
        <v>312</v>
      </c>
      <c r="L380" s="56">
        <f t="shared" si="25"/>
        <v>10.42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10.42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10.42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>
        <v>50000</v>
      </c>
      <c r="H388" s="18">
        <v>8.3000000000000007</v>
      </c>
      <c r="I388" s="18"/>
      <c r="J388" s="24" t="s">
        <v>312</v>
      </c>
      <c r="K388" s="24" t="s">
        <v>312</v>
      </c>
      <c r="L388" s="56">
        <f t="shared" si="26"/>
        <v>50008.3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>
        <v>50000</v>
      </c>
      <c r="H389" s="18">
        <v>78.36</v>
      </c>
      <c r="I389" s="18"/>
      <c r="J389" s="24" t="s">
        <v>312</v>
      </c>
      <c r="K389" s="24" t="s">
        <v>312</v>
      </c>
      <c r="L389" s="56">
        <f t="shared" si="26"/>
        <v>50078.36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>
        <v>45.56</v>
      </c>
      <c r="I392" s="18"/>
      <c r="J392" s="24" t="s">
        <v>312</v>
      </c>
      <c r="K392" s="24" t="s">
        <v>312</v>
      </c>
      <c r="L392" s="56">
        <f t="shared" si="26"/>
        <v>45.56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100000</v>
      </c>
      <c r="H393" s="47">
        <f>SUM(H387:H392)</f>
        <v>132.22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100132.22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100000</v>
      </c>
      <c r="H400" s="47">
        <f>H385+H393+H399</f>
        <v>142.63999999999999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100142.64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>
        <v>43000</v>
      </c>
      <c r="L415" s="56">
        <f t="shared" si="29"/>
        <v>43000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>
        <v>30000</v>
      </c>
      <c r="L418" s="56">
        <f t="shared" si="29"/>
        <v>30000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73000</v>
      </c>
      <c r="L419" s="47">
        <f t="shared" si="30"/>
        <v>73000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73000</v>
      </c>
      <c r="L426" s="47">
        <f t="shared" si="32"/>
        <v>73000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>
        <v>26734.39</v>
      </c>
      <c r="G432" s="18">
        <v>353271.99</v>
      </c>
      <c r="H432" s="18"/>
      <c r="I432" s="56">
        <f t="shared" si="33"/>
        <v>380006.38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26734.39</v>
      </c>
      <c r="G438" s="13">
        <f>SUM(G431:G437)</f>
        <v>353271.99</v>
      </c>
      <c r="H438" s="13">
        <f>SUM(H431:H437)</f>
        <v>0</v>
      </c>
      <c r="I438" s="13">
        <f>SUM(I431:I437)</f>
        <v>380006.38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26734.39</v>
      </c>
      <c r="G449" s="18">
        <v>353271.99</v>
      </c>
      <c r="H449" s="18"/>
      <c r="I449" s="56">
        <f>SUM(F449:H449)</f>
        <v>380006.38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26734.39</v>
      </c>
      <c r="G450" s="83">
        <f>SUM(G446:G449)</f>
        <v>353271.99</v>
      </c>
      <c r="H450" s="83">
        <f>SUM(H446:H449)</f>
        <v>0</v>
      </c>
      <c r="I450" s="83">
        <f>SUM(I446:I449)</f>
        <v>380006.38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26734.39</v>
      </c>
      <c r="G451" s="42">
        <f>G444+G450</f>
        <v>353271.99</v>
      </c>
      <c r="H451" s="42">
        <f>H444+H450</f>
        <v>0</v>
      </c>
      <c r="I451" s="42">
        <f>I444+I450</f>
        <v>380006.38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271407.89000000432</v>
      </c>
      <c r="G455" s="18">
        <v>0</v>
      </c>
      <c r="H455" s="18">
        <v>0</v>
      </c>
      <c r="I455" s="18">
        <v>5459.5</v>
      </c>
      <c r="J455" s="18">
        <v>352863.74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11995275.4</v>
      </c>
      <c r="G458" s="18">
        <v>328140.81</v>
      </c>
      <c r="H458" s="18">
        <f>723894.56+5153.75</f>
        <v>729048.31</v>
      </c>
      <c r="I458" s="18"/>
      <c r="J458" s="18">
        <v>100142.64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11995275.4</v>
      </c>
      <c r="G460" s="53">
        <f>SUM(G458:G459)</f>
        <v>328140.81</v>
      </c>
      <c r="H460" s="53">
        <f>SUM(H458:H459)</f>
        <v>729048.31</v>
      </c>
      <c r="I460" s="53">
        <f>SUM(I458:I459)</f>
        <v>0</v>
      </c>
      <c r="J460" s="53">
        <f>SUM(J458:J459)</f>
        <v>100142.64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f>11791011.83+22901.1</f>
        <v>11813912.93</v>
      </c>
      <c r="G462" s="18">
        <v>328140.81</v>
      </c>
      <c r="H462" s="18">
        <f>723894.56+5153.75</f>
        <v>729048.31</v>
      </c>
      <c r="I462" s="18">
        <v>5459.5</v>
      </c>
      <c r="J462" s="18">
        <v>73000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>
        <v>6965.52</v>
      </c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11820878.449999999</v>
      </c>
      <c r="G464" s="53">
        <f>SUM(G462:G463)</f>
        <v>328140.81</v>
      </c>
      <c r="H464" s="53">
        <f>SUM(H462:H463)</f>
        <v>729048.31</v>
      </c>
      <c r="I464" s="53">
        <f>SUM(I462:I463)</f>
        <v>5459.5</v>
      </c>
      <c r="J464" s="53">
        <f>SUM(J462:J463)</f>
        <v>73000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445804.84000000544</v>
      </c>
      <c r="G466" s="53">
        <f>(G455+G460)- G464</f>
        <v>0</v>
      </c>
      <c r="H466" s="53">
        <f>(H455+H460)- H464</f>
        <v>0</v>
      </c>
      <c r="I466" s="53">
        <f>(I455+I460)- I464</f>
        <v>0</v>
      </c>
      <c r="J466" s="53">
        <f>(J455+J460)- J464</f>
        <v>380006.38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 t="s">
        <v>898</v>
      </c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 t="s">
        <v>899</v>
      </c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20</v>
      </c>
      <c r="G480" s="154">
        <v>20</v>
      </c>
      <c r="H480" s="154">
        <v>15</v>
      </c>
      <c r="I480" s="154">
        <v>15</v>
      </c>
      <c r="J480" s="154">
        <v>10</v>
      </c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271" t="s">
        <v>900</v>
      </c>
      <c r="G481" s="155" t="s">
        <v>901</v>
      </c>
      <c r="H481" s="155" t="s">
        <v>902</v>
      </c>
      <c r="I481" s="155" t="s">
        <v>903</v>
      </c>
      <c r="J481" s="155" t="s">
        <v>904</v>
      </c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905</v>
      </c>
      <c r="G482" s="155" t="s">
        <v>906</v>
      </c>
      <c r="H482" s="155" t="s">
        <v>907</v>
      </c>
      <c r="I482" s="155" t="s">
        <v>908</v>
      </c>
      <c r="J482" s="155" t="s">
        <v>909</v>
      </c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2475000</v>
      </c>
      <c r="G483" s="18">
        <v>3000000</v>
      </c>
      <c r="H483" s="18">
        <v>500000</v>
      </c>
      <c r="I483" s="18">
        <v>1694000</v>
      </c>
      <c r="J483" s="18">
        <v>605000</v>
      </c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6.86</v>
      </c>
      <c r="G484" s="18">
        <v>6.75</v>
      </c>
      <c r="H484" s="18">
        <v>0</v>
      </c>
      <c r="I484" s="18">
        <v>0</v>
      </c>
      <c r="J484" s="18">
        <v>4.5</v>
      </c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605000</v>
      </c>
      <c r="G485" s="18">
        <v>505000</v>
      </c>
      <c r="H485" s="18">
        <f>333333.33</f>
        <v>333333.33</v>
      </c>
      <c r="I485" s="18">
        <v>1398133.33</v>
      </c>
      <c r="J485" s="18">
        <v>605000</v>
      </c>
      <c r="K485" s="53">
        <f>SUM(F485:J485)</f>
        <v>3446466.66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>
        <v>0</v>
      </c>
      <c r="H486" s="18">
        <v>0</v>
      </c>
      <c r="I486" s="18">
        <v>0</v>
      </c>
      <c r="J486" s="18">
        <v>0</v>
      </c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190000</v>
      </c>
      <c r="G487" s="18">
        <v>245000</v>
      </c>
      <c r="H487" s="18">
        <v>33333.33</v>
      </c>
      <c r="I487" s="18">
        <v>112933.33</v>
      </c>
      <c r="J487" s="18">
        <v>60500</v>
      </c>
      <c r="K487" s="53">
        <f t="shared" si="34"/>
        <v>641766.66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f>F485-F487</f>
        <v>415000</v>
      </c>
      <c r="G488" s="205">
        <f>G485-G487</f>
        <v>260000</v>
      </c>
      <c r="H488" s="205">
        <f>H485-H487</f>
        <v>300000</v>
      </c>
      <c r="I488" s="205">
        <f>I485-I487</f>
        <v>1285200</v>
      </c>
      <c r="J488" s="205">
        <f>J485-J487</f>
        <v>544500</v>
      </c>
      <c r="K488" s="206">
        <f t="shared" si="34"/>
        <v>2804700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f>7525*2+14525</f>
        <v>29575</v>
      </c>
      <c r="G489" s="18">
        <f>8775*2</f>
        <v>17550</v>
      </c>
      <c r="H489" s="18">
        <v>0</v>
      </c>
      <c r="I489" s="18">
        <v>0</v>
      </c>
      <c r="J489" s="18">
        <f>2722.5+5445+8167.5+10919.84+13612.5+16335+19057.5+21839.67+24502.5</f>
        <v>122602.01</v>
      </c>
      <c r="K489" s="53">
        <f t="shared" si="34"/>
        <v>169727.01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444575</v>
      </c>
      <c r="G490" s="42">
        <f>SUM(G488:G489)</f>
        <v>277550</v>
      </c>
      <c r="H490" s="42">
        <f>SUM(H488:H489)</f>
        <v>300000</v>
      </c>
      <c r="I490" s="42">
        <f>SUM(I488:I489)</f>
        <v>1285200</v>
      </c>
      <c r="J490" s="42">
        <f>SUM(J488:J489)</f>
        <v>667102.01</v>
      </c>
      <c r="K490" s="42">
        <f t="shared" si="34"/>
        <v>2974427.01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200000</v>
      </c>
      <c r="G491" s="205">
        <v>260000</v>
      </c>
      <c r="H491" s="205">
        <v>33333.33</v>
      </c>
      <c r="I491" s="205">
        <v>112933.33</v>
      </c>
      <c r="J491" s="205">
        <v>60500</v>
      </c>
      <c r="K491" s="206">
        <f t="shared" si="34"/>
        <v>666766.66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f>14525+7525</f>
        <v>22050</v>
      </c>
      <c r="G492" s="18">
        <f>8775*2</f>
        <v>17550</v>
      </c>
      <c r="H492" s="18">
        <v>0</v>
      </c>
      <c r="I492" s="18">
        <v>0</v>
      </c>
      <c r="J492" s="18">
        <v>24502.5</v>
      </c>
      <c r="K492" s="53">
        <f t="shared" si="34"/>
        <v>64102.5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222050</v>
      </c>
      <c r="G493" s="42">
        <f>SUM(G491:G492)</f>
        <v>277550</v>
      </c>
      <c r="H493" s="42">
        <f>SUM(H491:H492)</f>
        <v>33333.33</v>
      </c>
      <c r="I493" s="42">
        <f>SUM(I491:I492)</f>
        <v>112933.33</v>
      </c>
      <c r="J493" s="42">
        <f>SUM(J491:J492)</f>
        <v>85002.5</v>
      </c>
      <c r="K493" s="42">
        <f t="shared" si="34"/>
        <v>730869.15999999992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344685.29</v>
      </c>
      <c r="G511" s="18">
        <v>123843.36</v>
      </c>
      <c r="H511" s="18">
        <f>5925.12+45957.16</f>
        <v>51882.280000000006</v>
      </c>
      <c r="I511" s="18">
        <v>6452.85</v>
      </c>
      <c r="J511" s="18">
        <v>99</v>
      </c>
      <c r="K511" s="18">
        <v>77.5</v>
      </c>
      <c r="L511" s="88">
        <f>SUM(F511:K511)</f>
        <v>527040.28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v>366604.07</v>
      </c>
      <c r="G512" s="18">
        <v>153009.78</v>
      </c>
      <c r="H512" s="18">
        <f>104803.71+143884.14</f>
        <v>248687.85000000003</v>
      </c>
      <c r="I512" s="18">
        <v>8134.96</v>
      </c>
      <c r="J512" s="18">
        <v>857.79</v>
      </c>
      <c r="K512" s="18">
        <v>97.5</v>
      </c>
      <c r="L512" s="88">
        <f>SUM(F512:K512)</f>
        <v>777391.95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393765.99</v>
      </c>
      <c r="G513" s="18">
        <v>185318.6</v>
      </c>
      <c r="H513" s="18">
        <f>147110.93+432121.23</f>
        <v>579232.15999999992</v>
      </c>
      <c r="I513" s="18">
        <v>4823.6499999999996</v>
      </c>
      <c r="J513" s="18">
        <v>5138.97</v>
      </c>
      <c r="K513" s="18">
        <v>247</v>
      </c>
      <c r="L513" s="88">
        <f>SUM(F513:K513)</f>
        <v>1168526.3699999999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1105055.3500000001</v>
      </c>
      <c r="G514" s="108">
        <f t="shared" ref="G514:L514" si="35">SUM(G511:G513)</f>
        <v>462171.74</v>
      </c>
      <c r="H514" s="108">
        <f t="shared" si="35"/>
        <v>879802.29</v>
      </c>
      <c r="I514" s="108">
        <f t="shared" si="35"/>
        <v>19411.46</v>
      </c>
      <c r="J514" s="108">
        <f t="shared" si="35"/>
        <v>6095.76</v>
      </c>
      <c r="K514" s="108">
        <f t="shared" si="35"/>
        <v>422</v>
      </c>
      <c r="L514" s="89">
        <f t="shared" si="35"/>
        <v>2472958.5999999996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>
        <v>133566.1</v>
      </c>
      <c r="I516" s="18">
        <f>178.92+360.23+0</f>
        <v>539.15</v>
      </c>
      <c r="J516" s="18"/>
      <c r="K516" s="18"/>
      <c r="L516" s="88">
        <f>SUM(F516:K516)</f>
        <v>134105.25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>
        <v>84425.68</v>
      </c>
      <c r="I517" s="18">
        <f>198.85+41.95+161.85</f>
        <v>402.65</v>
      </c>
      <c r="J517" s="18"/>
      <c r="K517" s="18"/>
      <c r="L517" s="88">
        <f>SUM(F517:K517)</f>
        <v>84828.329999999987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>
        <v>49012.34</v>
      </c>
      <c r="I518" s="18"/>
      <c r="J518" s="18"/>
      <c r="K518" s="18"/>
      <c r="L518" s="88">
        <f>SUM(F518:K518)</f>
        <v>49012.34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6">SUM(G516:G518)</f>
        <v>0</v>
      </c>
      <c r="H519" s="89">
        <f t="shared" si="36"/>
        <v>267004.12</v>
      </c>
      <c r="I519" s="89">
        <f t="shared" si="36"/>
        <v>941.8</v>
      </c>
      <c r="J519" s="89">
        <f t="shared" si="36"/>
        <v>0</v>
      </c>
      <c r="K519" s="89">
        <f t="shared" si="36"/>
        <v>0</v>
      </c>
      <c r="L519" s="89">
        <f t="shared" si="36"/>
        <v>267945.92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/>
      <c r="G521" s="18"/>
      <c r="H521" s="18">
        <v>31233</v>
      </c>
      <c r="I521" s="18"/>
      <c r="J521" s="18"/>
      <c r="K521" s="18"/>
      <c r="L521" s="88">
        <f>SUM(F521:K521)</f>
        <v>31233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>
        <v>39562</v>
      </c>
      <c r="I522" s="18"/>
      <c r="J522" s="18"/>
      <c r="K522" s="18"/>
      <c r="L522" s="88">
        <f>SUM(F522:K522)</f>
        <v>39562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>
        <v>33316</v>
      </c>
      <c r="I523" s="18"/>
      <c r="J523" s="18"/>
      <c r="K523" s="18"/>
      <c r="L523" s="88">
        <f>SUM(F523:K523)</f>
        <v>33316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0</v>
      </c>
      <c r="G524" s="89">
        <f t="shared" ref="G524:L524" si="37">SUM(G521:G523)</f>
        <v>0</v>
      </c>
      <c r="H524" s="89">
        <f t="shared" si="37"/>
        <v>104111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104111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>
        <v>4902.47</v>
      </c>
      <c r="G531" s="18">
        <v>1111.9000000000001</v>
      </c>
      <c r="H531" s="18">
        <f>489.5+8535.78</f>
        <v>9025.2800000000007</v>
      </c>
      <c r="I531" s="18">
        <v>1060.55</v>
      </c>
      <c r="J531" s="18">
        <v>16309.06</v>
      </c>
      <c r="K531" s="18">
        <v>200.02</v>
      </c>
      <c r="L531" s="88">
        <f>SUM(F531:K531)</f>
        <v>32609.280000000002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>
        <v>6165.18</v>
      </c>
      <c r="G532" s="18">
        <v>1398.75</v>
      </c>
      <c r="H532" s="18">
        <v>14996.82</v>
      </c>
      <c r="I532" s="18">
        <v>1334.22</v>
      </c>
      <c r="J532" s="18">
        <v>20519.14</v>
      </c>
      <c r="K532" s="18">
        <v>251.65</v>
      </c>
      <c r="L532" s="88">
        <f>SUM(F532:K532)</f>
        <v>44665.760000000002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>
        <v>4771.29</v>
      </c>
      <c r="G533" s="18">
        <v>1077.31</v>
      </c>
      <c r="H533" s="18">
        <f>473.71+17485.29</f>
        <v>17959</v>
      </c>
      <c r="I533" s="18">
        <v>1026.3599999999999</v>
      </c>
      <c r="J533" s="18">
        <v>15782.8</v>
      </c>
      <c r="K533" s="18">
        <v>193.58</v>
      </c>
      <c r="L533" s="88">
        <f>SUM(F533:K533)</f>
        <v>40810.339999999997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15838.940000000002</v>
      </c>
      <c r="G534" s="194">
        <f t="shared" ref="G534:L534" si="39">SUM(G531:G533)</f>
        <v>3587.96</v>
      </c>
      <c r="H534" s="194">
        <f t="shared" si="39"/>
        <v>41981.1</v>
      </c>
      <c r="I534" s="194">
        <f t="shared" si="39"/>
        <v>3421.13</v>
      </c>
      <c r="J534" s="194">
        <f t="shared" si="39"/>
        <v>52611</v>
      </c>
      <c r="K534" s="194">
        <f t="shared" si="39"/>
        <v>645.25</v>
      </c>
      <c r="L534" s="194">
        <f t="shared" si="39"/>
        <v>118085.38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1120894.29</v>
      </c>
      <c r="G535" s="89">
        <f t="shared" ref="G535:L535" si="40">G514+G519+G524+G529+G534</f>
        <v>465759.7</v>
      </c>
      <c r="H535" s="89">
        <f t="shared" si="40"/>
        <v>1292898.5100000002</v>
      </c>
      <c r="I535" s="89">
        <f t="shared" si="40"/>
        <v>23774.39</v>
      </c>
      <c r="J535" s="89">
        <f t="shared" si="40"/>
        <v>58706.76</v>
      </c>
      <c r="K535" s="89">
        <f t="shared" si="40"/>
        <v>1067.25</v>
      </c>
      <c r="L535" s="89">
        <f t="shared" si="40"/>
        <v>2963100.8999999994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527040.28</v>
      </c>
      <c r="G539" s="87">
        <f>L516</f>
        <v>134105.25</v>
      </c>
      <c r="H539" s="87">
        <f>L521</f>
        <v>31233</v>
      </c>
      <c r="I539" s="87">
        <f>L526</f>
        <v>0</v>
      </c>
      <c r="J539" s="87">
        <f>L531</f>
        <v>32609.280000000002</v>
      </c>
      <c r="K539" s="87">
        <f>SUM(F539:J539)</f>
        <v>724987.81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777391.95</v>
      </c>
      <c r="G540" s="87">
        <f>L517</f>
        <v>84828.329999999987</v>
      </c>
      <c r="H540" s="87">
        <f>L522</f>
        <v>39562</v>
      </c>
      <c r="I540" s="87">
        <f>L527</f>
        <v>0</v>
      </c>
      <c r="J540" s="87">
        <f>L532</f>
        <v>44665.760000000002</v>
      </c>
      <c r="K540" s="87">
        <f>SUM(F540:J540)</f>
        <v>946448.03999999992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1168526.3699999999</v>
      </c>
      <c r="G541" s="87">
        <f>L518</f>
        <v>49012.34</v>
      </c>
      <c r="H541" s="87">
        <f>L523</f>
        <v>33316</v>
      </c>
      <c r="I541" s="87">
        <f>L528</f>
        <v>0</v>
      </c>
      <c r="J541" s="87">
        <f>L533</f>
        <v>40810.339999999997</v>
      </c>
      <c r="K541" s="87">
        <f>SUM(F541:J541)</f>
        <v>1291665.05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2472958.5999999996</v>
      </c>
      <c r="G542" s="89">
        <f t="shared" si="41"/>
        <v>267945.92</v>
      </c>
      <c r="H542" s="89">
        <f t="shared" si="41"/>
        <v>104111</v>
      </c>
      <c r="I542" s="89">
        <f t="shared" si="41"/>
        <v>0</v>
      </c>
      <c r="J542" s="89">
        <f t="shared" si="41"/>
        <v>118085.38</v>
      </c>
      <c r="K542" s="89">
        <f t="shared" si="41"/>
        <v>2963100.9000000004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>
        <v>147158.28</v>
      </c>
      <c r="G547" s="18">
        <v>46489.22</v>
      </c>
      <c r="H547" s="18"/>
      <c r="I547" s="18">
        <v>4725.21</v>
      </c>
      <c r="J547" s="18"/>
      <c r="K547" s="18"/>
      <c r="L547" s="88">
        <f>SUM(F547:K547)</f>
        <v>198372.71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>
        <v>102152.53</v>
      </c>
      <c r="G548" s="18">
        <v>52625.74</v>
      </c>
      <c r="H548" s="18"/>
      <c r="I548" s="18"/>
      <c r="J548" s="18"/>
      <c r="K548" s="18"/>
      <c r="L548" s="88">
        <f>SUM(F548:K548)</f>
        <v>154778.26999999999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249310.81</v>
      </c>
      <c r="G550" s="108">
        <f t="shared" si="42"/>
        <v>99114.959999999992</v>
      </c>
      <c r="H550" s="108">
        <f t="shared" si="42"/>
        <v>0</v>
      </c>
      <c r="I550" s="108">
        <f t="shared" si="42"/>
        <v>4725.21</v>
      </c>
      <c r="J550" s="108">
        <f t="shared" si="42"/>
        <v>0</v>
      </c>
      <c r="K550" s="108">
        <f t="shared" si="42"/>
        <v>0</v>
      </c>
      <c r="L550" s="89">
        <f t="shared" si="42"/>
        <v>353150.98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>
        <v>1705.1</v>
      </c>
      <c r="G552" s="18">
        <v>462.36</v>
      </c>
      <c r="H552" s="18"/>
      <c r="I552" s="18">
        <v>5.73</v>
      </c>
      <c r="J552" s="18"/>
      <c r="K552" s="18"/>
      <c r="L552" s="88">
        <f>SUM(F552:K552)</f>
        <v>2173.19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>
        <v>41774.400000000001</v>
      </c>
      <c r="G553" s="18">
        <v>10922.68</v>
      </c>
      <c r="H553" s="18"/>
      <c r="I553" s="18">
        <v>39.119999999999997</v>
      </c>
      <c r="J553" s="18"/>
      <c r="K553" s="18"/>
      <c r="L553" s="88">
        <f>SUM(F553:K553)</f>
        <v>52736.200000000004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>
        <v>852.5</v>
      </c>
      <c r="G554" s="18">
        <v>230.74</v>
      </c>
      <c r="H554" s="18"/>
      <c r="I554" s="18">
        <v>37.47</v>
      </c>
      <c r="J554" s="18"/>
      <c r="K554" s="18"/>
      <c r="L554" s="88">
        <f>SUM(F554:K554)</f>
        <v>1120.71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44332</v>
      </c>
      <c r="G555" s="89">
        <f t="shared" si="43"/>
        <v>11615.78</v>
      </c>
      <c r="H555" s="89">
        <f t="shared" si="43"/>
        <v>0</v>
      </c>
      <c r="I555" s="89">
        <f t="shared" si="43"/>
        <v>82.32</v>
      </c>
      <c r="J555" s="89">
        <f t="shared" si="43"/>
        <v>0</v>
      </c>
      <c r="K555" s="89">
        <f t="shared" si="43"/>
        <v>0</v>
      </c>
      <c r="L555" s="89">
        <f t="shared" si="43"/>
        <v>56030.100000000006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293642.81</v>
      </c>
      <c r="G561" s="89">
        <f t="shared" ref="G561:L561" si="45">G550+G555+G560</f>
        <v>110730.73999999999</v>
      </c>
      <c r="H561" s="89">
        <f t="shared" si="45"/>
        <v>0</v>
      </c>
      <c r="I561" s="89">
        <f t="shared" si="45"/>
        <v>4807.53</v>
      </c>
      <c r="J561" s="89">
        <f t="shared" si="45"/>
        <v>0</v>
      </c>
      <c r="K561" s="89">
        <f t="shared" si="45"/>
        <v>0</v>
      </c>
      <c r="L561" s="89">
        <f t="shared" si="45"/>
        <v>409181.07999999996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>
        <v>7392</v>
      </c>
      <c r="H568" s="18"/>
      <c r="I568" s="87">
        <f t="shared" si="46"/>
        <v>7392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45857.06</v>
      </c>
      <c r="G572" s="18">
        <v>141840.93</v>
      </c>
      <c r="H572" s="18">
        <v>432121.23</v>
      </c>
      <c r="I572" s="87">
        <f t="shared" si="46"/>
        <v>619819.22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>
        <v>129173.75999999999</v>
      </c>
      <c r="I575" s="87">
        <f t="shared" si="46"/>
        <v>129173.75999999999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80730.45</v>
      </c>
      <c r="I581" s="18">
        <v>101563.96</v>
      </c>
      <c r="J581" s="18">
        <v>78126.13</v>
      </c>
      <c r="K581" s="104">
        <f t="shared" ref="K581:K587" si="47">SUM(H581:J581)</f>
        <v>260420.54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16300.22</v>
      </c>
      <c r="I582" s="18">
        <v>24146.62</v>
      </c>
      <c r="J582" s="18">
        <v>25027.54</v>
      </c>
      <c r="K582" s="104">
        <f t="shared" si="47"/>
        <v>65474.38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v>10269.58</v>
      </c>
      <c r="K583" s="104">
        <f t="shared" si="47"/>
        <v>10269.58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>
        <v>4280.1499999999996</v>
      </c>
      <c r="J584" s="18">
        <v>19344.53</v>
      </c>
      <c r="K584" s="104">
        <f t="shared" si="47"/>
        <v>23624.68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1852</v>
      </c>
      <c r="I585" s="18">
        <v>12861.1</v>
      </c>
      <c r="J585" s="18">
        <v>2307.04</v>
      </c>
      <c r="K585" s="104">
        <f t="shared" si="47"/>
        <v>17020.14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>
        <v>6616.71</v>
      </c>
      <c r="I587" s="18">
        <v>11923.02</v>
      </c>
      <c r="J587" s="18">
        <v>12028.34</v>
      </c>
      <c r="K587" s="104">
        <f t="shared" si="47"/>
        <v>30568.07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105499.38</v>
      </c>
      <c r="I588" s="108">
        <f>SUM(I581:I587)</f>
        <v>154774.84999999998</v>
      </c>
      <c r="J588" s="108">
        <f>SUM(J581:J587)</f>
        <v>147103.16000000003</v>
      </c>
      <c r="K588" s="108">
        <f>SUM(K581:K587)</f>
        <v>407377.39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26695</v>
      </c>
      <c r="I594" s="18">
        <v>39316.47</v>
      </c>
      <c r="J594" s="18">
        <v>57293.09</v>
      </c>
      <c r="K594" s="104">
        <f>SUM(H594:J594)</f>
        <v>123304.56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26695</v>
      </c>
      <c r="I595" s="108">
        <f>SUM(I592:I594)</f>
        <v>39316.47</v>
      </c>
      <c r="J595" s="108">
        <f>SUM(J592:J594)</f>
        <v>57293.09</v>
      </c>
      <c r="K595" s="108">
        <f>SUM(K592:K594)</f>
        <v>123304.56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20888.560000000001</v>
      </c>
      <c r="G601" s="18">
        <v>3059.34</v>
      </c>
      <c r="H601" s="18"/>
      <c r="I601" s="18">
        <v>69.31</v>
      </c>
      <c r="J601" s="18"/>
      <c r="K601" s="18"/>
      <c r="L601" s="88">
        <f>SUM(F601:K601)</f>
        <v>24017.210000000003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>
        <v>18544.07</v>
      </c>
      <c r="G602" s="18">
        <v>2811.89</v>
      </c>
      <c r="H602" s="18">
        <v>15086.78</v>
      </c>
      <c r="I602" s="18">
        <v>1151.05</v>
      </c>
      <c r="J602" s="18"/>
      <c r="K602" s="18"/>
      <c r="L602" s="88">
        <f>SUM(F602:K602)</f>
        <v>37593.79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v>14643.9</v>
      </c>
      <c r="G603" s="18">
        <v>1875.48</v>
      </c>
      <c r="H603" s="18">
        <v>8246</v>
      </c>
      <c r="I603" s="18">
        <v>100</v>
      </c>
      <c r="J603" s="18"/>
      <c r="K603" s="18"/>
      <c r="L603" s="88">
        <f>SUM(F603:K603)</f>
        <v>24865.38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54076.530000000006</v>
      </c>
      <c r="G604" s="108">
        <f t="shared" si="48"/>
        <v>7746.7099999999991</v>
      </c>
      <c r="H604" s="108">
        <f t="shared" si="48"/>
        <v>23332.78</v>
      </c>
      <c r="I604" s="108">
        <f t="shared" si="48"/>
        <v>1320.36</v>
      </c>
      <c r="J604" s="108">
        <f t="shared" si="48"/>
        <v>0</v>
      </c>
      <c r="K604" s="108">
        <f t="shared" si="48"/>
        <v>0</v>
      </c>
      <c r="L604" s="89">
        <f t="shared" si="48"/>
        <v>86476.38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723323.4</v>
      </c>
      <c r="H607" s="109">
        <f>SUM(F44)</f>
        <v>723323.39999999991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23109.759999999998</v>
      </c>
      <c r="H608" s="109">
        <f>SUM(G44)</f>
        <v>23109.760000000002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62326.32</v>
      </c>
      <c r="H609" s="109">
        <f>SUM(H44)</f>
        <v>62326.319999999992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380006.38</v>
      </c>
      <c r="H611" s="109">
        <f>SUM(J44)</f>
        <v>380006.38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445804.83999999997</v>
      </c>
      <c r="H612" s="109">
        <f>F466</f>
        <v>445804.84000000544</v>
      </c>
      <c r="I612" s="121" t="s">
        <v>106</v>
      </c>
      <c r="J612" s="109">
        <f t="shared" ref="J612:J645" si="49">G612-H612</f>
        <v>-5.4715201258659363E-9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380006.38</v>
      </c>
      <c r="H616" s="109">
        <f>J466</f>
        <v>380006.38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11995275.4</v>
      </c>
      <c r="H617" s="104">
        <f>SUM(F458)</f>
        <v>11995275.4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328140.81000000006</v>
      </c>
      <c r="H618" s="104">
        <f>SUM(G458)</f>
        <v>328140.81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729048.31</v>
      </c>
      <c r="H619" s="104">
        <f>SUM(H458)</f>
        <v>729048.31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100142.64</v>
      </c>
      <c r="H621" s="104">
        <f>SUM(J458)</f>
        <v>100142.64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11813912.929999998</v>
      </c>
      <c r="H622" s="104">
        <f>SUM(F462)</f>
        <v>11813912.93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729048.30999999994</v>
      </c>
      <c r="H623" s="104">
        <f>SUM(H462)</f>
        <v>729048.31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172.12</v>
      </c>
      <c r="H624" s="104">
        <f>I361</f>
        <v>172.12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328140.81</v>
      </c>
      <c r="H625" s="104">
        <f>SUM(G462)</f>
        <v>328140.81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5459.5</v>
      </c>
      <c r="H626" s="104">
        <f>SUM(I462)</f>
        <v>5459.5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100142.64</v>
      </c>
      <c r="H627" s="164">
        <f>SUM(J458)</f>
        <v>100142.64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73000</v>
      </c>
      <c r="H628" s="164">
        <f>SUM(J462)</f>
        <v>73000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26734.39</v>
      </c>
      <c r="H629" s="104">
        <f>SUM(F451)</f>
        <v>26734.39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353271.99</v>
      </c>
      <c r="H630" s="104">
        <f>SUM(G451)</f>
        <v>353271.99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380006.38</v>
      </c>
      <c r="H632" s="104">
        <f>SUM(I451)</f>
        <v>380006.38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142.63999999999999</v>
      </c>
      <c r="H634" s="104">
        <f>H400</f>
        <v>142.63999999999999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100000</v>
      </c>
      <c r="H635" s="104">
        <f>G400</f>
        <v>100000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100142.64</v>
      </c>
      <c r="H636" s="104">
        <f>L400</f>
        <v>100142.64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407377.39</v>
      </c>
      <c r="H637" s="104">
        <f>L200+L218+L236</f>
        <v>407377.38999999996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123304.56</v>
      </c>
      <c r="H638" s="104">
        <f>(J249+J330)-(J247+J328)</f>
        <v>123304.56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105499.38</v>
      </c>
      <c r="H639" s="104">
        <f>H588</f>
        <v>105499.38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154774.84999999998</v>
      </c>
      <c r="H640" s="104">
        <f>I588</f>
        <v>154774.84999999998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147103.15999999997</v>
      </c>
      <c r="H641" s="104">
        <f>J588</f>
        <v>147103.16000000003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31833.78</v>
      </c>
      <c r="H642" s="104">
        <f>K255+K337</f>
        <v>31833.78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100000</v>
      </c>
      <c r="H645" s="104">
        <f>K258+K339</f>
        <v>100000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2980904.4099999992</v>
      </c>
      <c r="G650" s="19">
        <f>(L221+L301+L351)</f>
        <v>4201346.18</v>
      </c>
      <c r="H650" s="19">
        <f>(L239+L320+L352)</f>
        <v>4659209.2600000007</v>
      </c>
      <c r="I650" s="19">
        <f>SUM(F650:H650)</f>
        <v>11841459.85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40757.080189227316</v>
      </c>
      <c r="G651" s="19">
        <f>(L351/IF(SUM(L350:L352)=0,1,SUM(L350:L352))*(SUM(G89:G102)))</f>
        <v>59308.321251750436</v>
      </c>
      <c r="H651" s="19">
        <f>(L352/IF(SUM(L350:L352)=0,1,SUM(L350:L352))*(SUM(G89:G102)))</f>
        <v>40927.238559022269</v>
      </c>
      <c r="I651" s="19">
        <f>SUM(F651:H651)</f>
        <v>140992.64000000001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105499.38</v>
      </c>
      <c r="G652" s="19">
        <f>(L218+L298)-(J218+J298)</f>
        <v>160320.56999999995</v>
      </c>
      <c r="H652" s="19">
        <f>(L236+L317)-(J236+J317)</f>
        <v>148753.15999999997</v>
      </c>
      <c r="I652" s="19">
        <f>SUM(F652:H652)</f>
        <v>414573.10999999993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96569.27</v>
      </c>
      <c r="G653" s="200">
        <f>SUM(G565:G577)+SUM(I592:I594)+L602</f>
        <v>226143.19</v>
      </c>
      <c r="H653" s="200">
        <f>SUM(H565:H577)+SUM(J592:J594)+L603</f>
        <v>643453.46</v>
      </c>
      <c r="I653" s="19">
        <f>SUM(F653:H653)</f>
        <v>966165.91999999993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2738078.6798107717</v>
      </c>
      <c r="G654" s="19">
        <f>G650-SUM(G651:G653)</f>
        <v>3755574.0987482495</v>
      </c>
      <c r="H654" s="19">
        <f>H650-SUM(H651:H653)</f>
        <v>3826075.4014409785</v>
      </c>
      <c r="I654" s="19">
        <f>I650-SUM(I651:I653)</f>
        <v>10319728.18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217.83</v>
      </c>
      <c r="G655" s="249">
        <v>277.61</v>
      </c>
      <c r="H655" s="249">
        <v>264.52999999999997</v>
      </c>
      <c r="I655" s="19">
        <f>SUM(F655:H655)</f>
        <v>759.97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12569.8</v>
      </c>
      <c r="G657" s="19">
        <f>ROUND(G654/G655,2)</f>
        <v>13528.24</v>
      </c>
      <c r="H657" s="19">
        <f>ROUND(H654/H655,2)</f>
        <v>14463.67</v>
      </c>
      <c r="I657" s="19">
        <f>ROUND(I654/I655,2)</f>
        <v>13579.13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-21.48</v>
      </c>
      <c r="I660" s="19">
        <f>SUM(F660:H660)</f>
        <v>-21.48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12569.8</v>
      </c>
      <c r="G662" s="19">
        <f>ROUND((G654+G659)/(G655+G660),2)</f>
        <v>13528.24</v>
      </c>
      <c r="H662" s="19">
        <f>ROUND((H654+H659)/(H655+H660),2)</f>
        <v>15741.93</v>
      </c>
      <c r="I662" s="19">
        <f>ROUND((I654+I659)/(I655+I660),2)</f>
        <v>13974.09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BE91B-8279-4DDC-88AF-A127ACC7E65A}">
  <sheetPr>
    <tabColor indexed="20"/>
  </sheetPr>
  <dimension ref="A1:C52"/>
  <sheetViews>
    <sheetView workbookViewId="0">
      <selection activeCell="B21" sqref="B2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HAVERHILL COOPERATIVE SD</v>
      </c>
      <c r="C1" s="239" t="s">
        <v>873</v>
      </c>
    </row>
    <row r="2" spans="1:3" x14ac:dyDescent="0.2">
      <c r="A2" s="234"/>
      <c r="B2" s="233"/>
    </row>
    <row r="3" spans="1:3" x14ac:dyDescent="0.2">
      <c r="A3" s="275" t="s">
        <v>818</v>
      </c>
      <c r="B3" s="275"/>
      <c r="C3" s="275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4" t="s">
        <v>817</v>
      </c>
      <c r="C6" s="274"/>
    </row>
    <row r="7" spans="1:3" x14ac:dyDescent="0.2">
      <c r="A7" s="240" t="s">
        <v>820</v>
      </c>
      <c r="B7" s="272" t="s">
        <v>816</v>
      </c>
      <c r="C7" s="273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2989944.9299999997</v>
      </c>
      <c r="C9" s="230">
        <f>'DOE25'!G189+'DOE25'!G207+'DOE25'!G225+'DOE25'!G268+'DOE25'!G287+'DOE25'!G306</f>
        <v>936030.11</v>
      </c>
    </row>
    <row r="10" spans="1:3" x14ac:dyDescent="0.2">
      <c r="A10" t="s">
        <v>813</v>
      </c>
      <c r="B10" s="241">
        <v>2906139.45</v>
      </c>
      <c r="C10" s="241">
        <v>922537.68</v>
      </c>
    </row>
    <row r="11" spans="1:3" x14ac:dyDescent="0.2">
      <c r="A11" t="s">
        <v>814</v>
      </c>
      <c r="B11" s="241">
        <v>16527.54</v>
      </c>
      <c r="C11" s="241">
        <v>8363.02</v>
      </c>
    </row>
    <row r="12" spans="1:3" x14ac:dyDescent="0.2">
      <c r="A12" t="s">
        <v>815</v>
      </c>
      <c r="B12" s="241">
        <v>67277.94</v>
      </c>
      <c r="C12" s="241">
        <v>5129.41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2989944.93</v>
      </c>
      <c r="C13" s="232">
        <f>SUM(C10:C12)</f>
        <v>936030.1100000001</v>
      </c>
    </row>
    <row r="14" spans="1:3" x14ac:dyDescent="0.2">
      <c r="B14" s="231"/>
      <c r="C14" s="231"/>
    </row>
    <row r="15" spans="1:3" x14ac:dyDescent="0.2">
      <c r="B15" s="274" t="s">
        <v>817</v>
      </c>
      <c r="C15" s="274"/>
    </row>
    <row r="16" spans="1:3" x14ac:dyDescent="0.2">
      <c r="A16" s="240" t="s">
        <v>821</v>
      </c>
      <c r="B16" s="272" t="s">
        <v>738</v>
      </c>
      <c r="C16" s="273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1463231.15</v>
      </c>
      <c r="C18" s="230">
        <f>'DOE25'!G190+'DOE25'!G208+'DOE25'!G226+'DOE25'!G269+'DOE25'!G288+'DOE25'!G307</f>
        <v>592838.30999999994</v>
      </c>
    </row>
    <row r="19" spans="1:3" x14ac:dyDescent="0.2">
      <c r="A19" t="s">
        <v>813</v>
      </c>
      <c r="B19" s="241">
        <v>723848.04</v>
      </c>
      <c r="C19" s="241">
        <v>230731.56</v>
      </c>
    </row>
    <row r="20" spans="1:3" x14ac:dyDescent="0.2">
      <c r="A20" t="s">
        <v>814</v>
      </c>
      <c r="B20" s="241">
        <v>705308.76</v>
      </c>
      <c r="C20" s="241">
        <v>359513.79</v>
      </c>
    </row>
    <row r="21" spans="1:3" x14ac:dyDescent="0.2">
      <c r="A21" t="s">
        <v>815</v>
      </c>
      <c r="B21" s="241">
        <v>34074.35</v>
      </c>
      <c r="C21" s="241">
        <v>2592.96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1463231.1500000001</v>
      </c>
      <c r="C22" s="232">
        <f>SUM(C19:C21)</f>
        <v>592838.30999999994</v>
      </c>
    </row>
    <row r="23" spans="1:3" x14ac:dyDescent="0.2">
      <c r="B23" s="231"/>
      <c r="C23" s="231"/>
    </row>
    <row r="24" spans="1:3" x14ac:dyDescent="0.2">
      <c r="B24" s="274" t="s">
        <v>817</v>
      </c>
      <c r="C24" s="274"/>
    </row>
    <row r="25" spans="1:3" x14ac:dyDescent="0.2">
      <c r="A25" s="240" t="s">
        <v>822</v>
      </c>
      <c r="B25" s="272" t="s">
        <v>739</v>
      </c>
      <c r="C25" s="273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4" t="s">
        <v>817</v>
      </c>
      <c r="C33" s="274"/>
    </row>
    <row r="34" spans="1:3" x14ac:dyDescent="0.2">
      <c r="A34" s="240" t="s">
        <v>823</v>
      </c>
      <c r="B34" s="272" t="s">
        <v>740</v>
      </c>
      <c r="C34" s="273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222555.40999999997</v>
      </c>
      <c r="C36" s="236">
        <f>'DOE25'!G192+'DOE25'!G210+'DOE25'!G228+'DOE25'!G271+'DOE25'!G290+'DOE25'!G309</f>
        <v>36844.54</v>
      </c>
    </row>
    <row r="37" spans="1:3" x14ac:dyDescent="0.2">
      <c r="A37" t="s">
        <v>813</v>
      </c>
      <c r="B37" s="241">
        <v>36829.910000000003</v>
      </c>
      <c r="C37" s="241">
        <v>6213.02</v>
      </c>
    </row>
    <row r="38" spans="1:3" x14ac:dyDescent="0.2">
      <c r="A38" t="s">
        <v>814</v>
      </c>
      <c r="B38" s="241">
        <v>5955.57</v>
      </c>
      <c r="C38" s="241">
        <v>2874.79</v>
      </c>
    </row>
    <row r="39" spans="1:3" x14ac:dyDescent="0.2">
      <c r="A39" t="s">
        <v>815</v>
      </c>
      <c r="B39" s="241">
        <v>179769.93</v>
      </c>
      <c r="C39" s="241">
        <v>27756.73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222555.41</v>
      </c>
      <c r="C40" s="232">
        <f>SUM(C37:C39)</f>
        <v>36844.54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16:C16"/>
    <mergeCell ref="B33:C33"/>
    <mergeCell ref="B34:C34"/>
    <mergeCell ref="B24:C24"/>
    <mergeCell ref="B25:C25"/>
    <mergeCell ref="A3:C3"/>
    <mergeCell ref="B6:C6"/>
    <mergeCell ref="B7:C7"/>
    <mergeCell ref="B15:C15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5DEE0-D78A-47F1-B081-8C511FAF8030}">
  <sheetPr>
    <tabColor indexed="11"/>
  </sheetPr>
  <dimension ref="A1:I51"/>
  <sheetViews>
    <sheetView workbookViewId="0">
      <pane ySplit="4" topLeftCell="A5" activePane="bottomLeft" state="frozen"/>
      <selection pane="bottomLeft" activeCell="E10" sqref="E1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4" t="s">
        <v>824</v>
      </c>
      <c r="B1" s="279"/>
      <c r="C1" s="279"/>
      <c r="D1" s="279"/>
      <c r="E1" s="279"/>
      <c r="F1" s="279"/>
      <c r="G1" s="279"/>
      <c r="H1" s="279"/>
      <c r="I1" s="181"/>
    </row>
    <row r="2" spans="1:9" x14ac:dyDescent="0.2">
      <c r="A2" s="33" t="s">
        <v>748</v>
      </c>
      <c r="B2" s="266" t="str">
        <f>'DOE25'!A2</f>
        <v>HAVERHILL COOPERATIVE SD</v>
      </c>
      <c r="C2" s="181"/>
      <c r="D2" s="181" t="s">
        <v>826</v>
      </c>
      <c r="E2" s="181" t="s">
        <v>828</v>
      </c>
      <c r="F2" s="276" t="s">
        <v>855</v>
      </c>
      <c r="G2" s="277"/>
      <c r="H2" s="278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7114057.9899999993</v>
      </c>
      <c r="D5" s="20">
        <f>SUM('DOE25'!L189:L192)+SUM('DOE25'!L207:L210)+SUM('DOE25'!L225:L228)-F5-G5</f>
        <v>7055143.1799999988</v>
      </c>
      <c r="E5" s="244"/>
      <c r="F5" s="256">
        <f>SUM('DOE25'!J189:J192)+SUM('DOE25'!J207:J210)+SUM('DOE25'!J225:J228)</f>
        <v>27538.11</v>
      </c>
      <c r="G5" s="53">
        <f>SUM('DOE25'!K189:K192)+SUM('DOE25'!K207:K210)+SUM('DOE25'!K225:K228)</f>
        <v>31376.7</v>
      </c>
      <c r="H5" s="260"/>
    </row>
    <row r="6" spans="1:9" x14ac:dyDescent="0.2">
      <c r="A6" s="32">
        <v>2100</v>
      </c>
      <c r="B6" t="s">
        <v>835</v>
      </c>
      <c r="C6" s="246">
        <f t="shared" si="0"/>
        <v>747652.53</v>
      </c>
      <c r="D6" s="20">
        <f>'DOE25'!L194+'DOE25'!L212+'DOE25'!L230-F6-G6</f>
        <v>740276.77</v>
      </c>
      <c r="E6" s="244"/>
      <c r="F6" s="256">
        <f>'DOE25'!J194+'DOE25'!J212+'DOE25'!J230</f>
        <v>1197.71</v>
      </c>
      <c r="G6" s="53">
        <f>'DOE25'!K194+'DOE25'!K212+'DOE25'!K230</f>
        <v>6178.05</v>
      </c>
      <c r="H6" s="260"/>
    </row>
    <row r="7" spans="1:9" x14ac:dyDescent="0.2">
      <c r="A7" s="32">
        <v>2200</v>
      </c>
      <c r="B7" t="s">
        <v>868</v>
      </c>
      <c r="C7" s="246">
        <f t="shared" si="0"/>
        <v>269684.82999999996</v>
      </c>
      <c r="D7" s="20">
        <f>'DOE25'!L195+'DOE25'!L213+'DOE25'!L231-F7-G7</f>
        <v>269684.82999999996</v>
      </c>
      <c r="E7" s="244"/>
      <c r="F7" s="256">
        <f>'DOE25'!J195+'DOE25'!J213+'DOE25'!J231</f>
        <v>0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836</v>
      </c>
      <c r="C8" s="246">
        <f t="shared" si="0"/>
        <v>342271.57999999996</v>
      </c>
      <c r="D8" s="244"/>
      <c r="E8" s="20">
        <f>'DOE25'!L196+'DOE25'!L214+'DOE25'!L232-F8-G8-D9-D11</f>
        <v>338495.99999999994</v>
      </c>
      <c r="F8" s="256">
        <f>'DOE25'!J196+'DOE25'!J214+'DOE25'!J232</f>
        <v>0</v>
      </c>
      <c r="G8" s="53">
        <f>'DOE25'!K196+'DOE25'!K214+'DOE25'!K232</f>
        <v>3775.58</v>
      </c>
      <c r="H8" s="260"/>
    </row>
    <row r="9" spans="1:9" x14ac:dyDescent="0.2">
      <c r="A9" s="32">
        <v>2310</v>
      </c>
      <c r="B9" t="s">
        <v>852</v>
      </c>
      <c r="C9" s="246">
        <f t="shared" si="0"/>
        <v>66821.13</v>
      </c>
      <c r="D9" s="245">
        <v>66821.13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14154.51</v>
      </c>
      <c r="D10" s="244"/>
      <c r="E10" s="245">
        <v>14154.51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115635</v>
      </c>
      <c r="D11" s="245">
        <v>115635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727082.59000000008</v>
      </c>
      <c r="D12" s="20">
        <f>'DOE25'!L197+'DOE25'!L215+'DOE25'!L233-F12-G12</f>
        <v>719912.69000000006</v>
      </c>
      <c r="E12" s="244"/>
      <c r="F12" s="256">
        <f>'DOE25'!J197+'DOE25'!J215+'DOE25'!J233</f>
        <v>2052.3999999999996</v>
      </c>
      <c r="G12" s="53">
        <f>'DOE25'!K197+'DOE25'!K215+'DOE25'!K233</f>
        <v>5117.5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4867.3900000000003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4867.3900000000003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867573.5199999999</v>
      </c>
      <c r="D14" s="20">
        <f>'DOE25'!L199+'DOE25'!L217+'DOE25'!L235-F14-G14</f>
        <v>840928.36999999988</v>
      </c>
      <c r="E14" s="244"/>
      <c r="F14" s="256">
        <f>'DOE25'!J199+'DOE25'!J217+'DOE25'!J235</f>
        <v>26345.15</v>
      </c>
      <c r="G14" s="53">
        <f>'DOE25'!K199+'DOE25'!K217+'DOE25'!K235</f>
        <v>300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407377.38999999996</v>
      </c>
      <c r="D15" s="20">
        <f>'DOE25'!L200+'DOE25'!L218+'DOE25'!L236-F15-G15</f>
        <v>406732.13999999996</v>
      </c>
      <c r="E15" s="244"/>
      <c r="F15" s="256">
        <f>'DOE25'!J200+'DOE25'!J218+'DOE25'!J236</f>
        <v>0</v>
      </c>
      <c r="G15" s="53">
        <f>'DOE25'!K200+'DOE25'!K218+'DOE25'!K236</f>
        <v>645.25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121349.5</v>
      </c>
      <c r="D16" s="244"/>
      <c r="E16" s="20">
        <f>'DOE25'!L201+'DOE25'!L219+'DOE25'!L237-F16-G16</f>
        <v>111136.04</v>
      </c>
      <c r="F16" s="256">
        <f>'DOE25'!J201+'DOE25'!J219+'DOE25'!J237</f>
        <v>10158.210000000001</v>
      </c>
      <c r="G16" s="53">
        <f>'DOE25'!K201+'DOE25'!K219+'DOE25'!K237</f>
        <v>55.25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42673.869999999995</v>
      </c>
      <c r="D19" s="20">
        <f>'DOE25'!L245-F19-G19</f>
        <v>42673.869999999995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845704.57000000007</v>
      </c>
      <c r="D25" s="244"/>
      <c r="E25" s="244"/>
      <c r="F25" s="259"/>
      <c r="G25" s="257"/>
      <c r="H25" s="258">
        <f>'DOE25'!L252+'DOE25'!L253+'DOE25'!L333+'DOE25'!L334</f>
        <v>845704.57000000007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328140.81</v>
      </c>
      <c r="D29" s="20">
        <f>'DOE25'!L350+'DOE25'!L351+'DOE25'!L352-'DOE25'!I359-F29-G29</f>
        <v>323456.51</v>
      </c>
      <c r="E29" s="244"/>
      <c r="F29" s="256">
        <f>'DOE25'!J350+'DOE25'!J351+'DOE25'!J352</f>
        <v>4684.3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728945.59</v>
      </c>
      <c r="D31" s="20">
        <f>'DOE25'!L282+'DOE25'!L301+'DOE25'!L320+'DOE25'!L325+'DOE25'!L326+'DOE25'!L327-F31-G31</f>
        <v>663564.06999999995</v>
      </c>
      <c r="E31" s="244"/>
      <c r="F31" s="256">
        <f>'DOE25'!J282+'DOE25'!J301+'DOE25'!J320+'DOE25'!J325+'DOE25'!J326+'DOE25'!J327</f>
        <v>56012.979999999996</v>
      </c>
      <c r="G31" s="53">
        <f>'DOE25'!K282+'DOE25'!K301+'DOE25'!K320+'DOE25'!K325+'DOE25'!K326+'DOE25'!K327</f>
        <v>9368.5400000000009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11244828.559999999</v>
      </c>
      <c r="E33" s="247">
        <f>SUM(E5:E31)</f>
        <v>463786.54999999993</v>
      </c>
      <c r="F33" s="247">
        <f>SUM(F5:F31)</f>
        <v>127988.86</v>
      </c>
      <c r="G33" s="247">
        <f>SUM(G5:G31)</f>
        <v>61684.26</v>
      </c>
      <c r="H33" s="247">
        <f>SUM(H5:H31)</f>
        <v>845704.57000000007</v>
      </c>
    </row>
    <row r="35" spans="2:8" ht="12" thickBot="1" x14ac:dyDescent="0.25">
      <c r="B35" s="254" t="s">
        <v>881</v>
      </c>
      <c r="D35" s="255">
        <f>E33</f>
        <v>463786.54999999993</v>
      </c>
      <c r="E35" s="250"/>
    </row>
    <row r="36" spans="2:8" ht="12" thickTop="1" x14ac:dyDescent="0.2">
      <c r="B36" t="s">
        <v>849</v>
      </c>
      <c r="D36" s="20">
        <f>D33</f>
        <v>11244828.559999999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B1342-1685-440B-A973-B7CCA12E8B3E}">
  <sheetPr transitionEvaluation="1" codeName="Sheet2">
    <tabColor indexed="10"/>
  </sheetPr>
  <dimension ref="A1:I156"/>
  <sheetViews>
    <sheetView zoomScale="75" workbookViewId="0">
      <pane ySplit="2" topLeftCell="A75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HAVERHILL COOPERATIVE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304946.38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380006.38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49079.49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346593.9</v>
      </c>
      <c r="D13" s="95">
        <f>'DOE25'!G13</f>
        <v>23109.759999999998</v>
      </c>
      <c r="E13" s="95">
        <f>'DOE25'!H13</f>
        <v>62326.32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18394.13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4309.5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723323.4</v>
      </c>
      <c r="D19" s="41">
        <f>SUM(D9:D18)</f>
        <v>23109.759999999998</v>
      </c>
      <c r="E19" s="41">
        <f>SUM(E9:E18)</f>
        <v>62326.32</v>
      </c>
      <c r="F19" s="41">
        <f>SUM(F9:F18)</f>
        <v>0</v>
      </c>
      <c r="G19" s="41">
        <f>SUM(G9:G18)</f>
        <v>380006.38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10838.86</v>
      </c>
      <c r="E22" s="95">
        <f>'DOE25'!H23</f>
        <v>38240.629999999997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82546.259999999995</v>
      </c>
      <c r="D24" s="95">
        <f>'DOE25'!G25</f>
        <v>12270.9</v>
      </c>
      <c r="E24" s="95">
        <f>'DOE25'!H25</f>
        <v>7834.25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180000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12817.82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2154.48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16251.439999999999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277518.56</v>
      </c>
      <c r="D32" s="41">
        <f>SUM(D22:D31)</f>
        <v>23109.760000000002</v>
      </c>
      <c r="E32" s="41">
        <f>SUM(E22:E31)</f>
        <v>62326.319999999992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139804.85999999999</v>
      </c>
      <c r="D36" s="95">
        <f>'DOE25'!G37</f>
        <v>0</v>
      </c>
      <c r="E36" s="95">
        <f>'DOE25'!H37</f>
        <v>236.78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50000</v>
      </c>
      <c r="D40" s="95">
        <f>'DOE25'!G41</f>
        <v>0</v>
      </c>
      <c r="E40" s="95">
        <f>'DOE25'!H41</f>
        <v>-236.78</v>
      </c>
      <c r="F40" s="95">
        <f>'DOE25'!I41</f>
        <v>0</v>
      </c>
      <c r="G40" s="95">
        <f>'DOE25'!J41</f>
        <v>380006.38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255999.98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445804.83999999997</v>
      </c>
      <c r="D42" s="41">
        <f>SUM(D34:D41)</f>
        <v>0</v>
      </c>
      <c r="E42" s="41">
        <f>SUM(E34:E41)</f>
        <v>0</v>
      </c>
      <c r="F42" s="41">
        <f>SUM(F34:F41)</f>
        <v>0</v>
      </c>
      <c r="G42" s="41">
        <f>SUM(G34:G41)</f>
        <v>380006.38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723323.39999999991</v>
      </c>
      <c r="D43" s="41">
        <f>D42+D32</f>
        <v>23109.760000000002</v>
      </c>
      <c r="E43" s="41">
        <f>E42+E32</f>
        <v>62326.319999999992</v>
      </c>
      <c r="F43" s="41">
        <f>F42+F32</f>
        <v>0</v>
      </c>
      <c r="G43" s="41">
        <f>G42+G32</f>
        <v>380006.38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4172324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1945983.05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20582.77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142.63999999999999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135718.66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109906.67</v>
      </c>
      <c r="D53" s="95">
        <f>SUM('DOE25'!G90:G102)</f>
        <v>5273.98</v>
      </c>
      <c r="E53" s="95">
        <f>SUM('DOE25'!H90:H102)</f>
        <v>54351.539999999994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2076472.49</v>
      </c>
      <c r="D54" s="130">
        <f>SUM(D49:D53)</f>
        <v>140992.64000000001</v>
      </c>
      <c r="E54" s="130">
        <f>SUM(E49:E53)</f>
        <v>54351.539999999994</v>
      </c>
      <c r="F54" s="130">
        <f>SUM(F49:F53)</f>
        <v>0</v>
      </c>
      <c r="G54" s="130">
        <f>SUM(G49:G53)</f>
        <v>142.63999999999999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6248796.4900000002</v>
      </c>
      <c r="D55" s="22">
        <f>D48+D54</f>
        <v>140992.64000000001</v>
      </c>
      <c r="E55" s="22">
        <f>E48+E54</f>
        <v>54351.539999999994</v>
      </c>
      <c r="F55" s="22">
        <f>F48+F54</f>
        <v>0</v>
      </c>
      <c r="G55" s="22">
        <f>G48+G54</f>
        <v>142.63999999999999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2774527.73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781312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1064499.27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4620339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432515.05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238402.3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106050.7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7350</v>
      </c>
      <c r="D69" s="95">
        <f>SUM('DOE25'!G123:G127)</f>
        <v>3264.7599999999998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784318.04999999993</v>
      </c>
      <c r="D70" s="130">
        <f>SUM(D64:D69)</f>
        <v>3264.7599999999998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5404657.0499999998</v>
      </c>
      <c r="D73" s="130">
        <f>SUM(D71:D72)+D70+D62</f>
        <v>3264.7599999999998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266878.90000000002</v>
      </c>
      <c r="D80" s="95">
        <f>SUM('DOE25'!G145:G153)</f>
        <v>152049.63</v>
      </c>
      <c r="E80" s="95">
        <f>SUM('DOE25'!H145:H153)</f>
        <v>674696.77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1840.24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268719.14</v>
      </c>
      <c r="D83" s="131">
        <f>SUM(D77:D82)</f>
        <v>152049.63</v>
      </c>
      <c r="E83" s="131">
        <f>SUM(E77:E82)</f>
        <v>674696.77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31833.78</v>
      </c>
      <c r="E88" s="95">
        <f>'DOE25'!H171</f>
        <v>0</v>
      </c>
      <c r="F88" s="95">
        <f>'DOE25'!I171</f>
        <v>0</v>
      </c>
      <c r="G88" s="95">
        <f>'DOE25'!J171</f>
        <v>100000</v>
      </c>
    </row>
    <row r="89" spans="1:7" x14ac:dyDescent="0.2">
      <c r="A89" t="s">
        <v>790</v>
      </c>
      <c r="B89" s="32" t="s">
        <v>211</v>
      </c>
      <c r="C89" s="95">
        <f>SUM('DOE25'!F172:F173)</f>
        <v>102.72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73000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73102.720000000001</v>
      </c>
      <c r="D95" s="86">
        <f>SUM(D85:D94)</f>
        <v>31833.78</v>
      </c>
      <c r="E95" s="86">
        <f>SUM(E85:E94)</f>
        <v>0</v>
      </c>
      <c r="F95" s="86">
        <f>SUM(F85:F94)</f>
        <v>0</v>
      </c>
      <c r="G95" s="86">
        <f>SUM(G85:G94)</f>
        <v>100000</v>
      </c>
    </row>
    <row r="96" spans="1:7" ht="12.75" thickTop="1" thickBot="1" x14ac:dyDescent="0.25">
      <c r="A96" s="33" t="s">
        <v>797</v>
      </c>
      <c r="C96" s="86">
        <f>C55+C73+C83+C95</f>
        <v>11995275.4</v>
      </c>
      <c r="D96" s="86">
        <f>D55+D73+D83+D95</f>
        <v>328140.81000000006</v>
      </c>
      <c r="E96" s="86">
        <f>E55+E73+E83+E95</f>
        <v>729048.31</v>
      </c>
      <c r="F96" s="86">
        <f>F55+F73+F83+F95</f>
        <v>0</v>
      </c>
      <c r="G96" s="86">
        <f>G55+G73+G95</f>
        <v>100142.64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4151199.05</v>
      </c>
      <c r="D101" s="24" t="s">
        <v>312</v>
      </c>
      <c r="E101" s="95">
        <f>('DOE25'!L268)+('DOE25'!L287)+('DOE25'!L306)</f>
        <v>59048.840000000004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2539096.16</v>
      </c>
      <c r="D102" s="24" t="s">
        <v>312</v>
      </c>
      <c r="E102" s="95">
        <f>('DOE25'!L269)+('DOE25'!L288)+('DOE25'!L307)</f>
        <v>428675.59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173348.76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250414.01999999996</v>
      </c>
      <c r="D104" s="24" t="s">
        <v>312</v>
      </c>
      <c r="E104" s="95">
        <f>+('DOE25'!L271)+('DOE25'!L290)+('DOE25'!L309)</f>
        <v>100215.29999999997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42673.869999999995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7156731.8599999994</v>
      </c>
      <c r="D107" s="86">
        <f>SUM(D101:D106)</f>
        <v>0</v>
      </c>
      <c r="E107" s="86">
        <f>SUM(E101:E106)</f>
        <v>587939.73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747652.53</v>
      </c>
      <c r="D110" s="24" t="s">
        <v>312</v>
      </c>
      <c r="E110" s="95">
        <f>+('DOE25'!L273)+('DOE25'!L292)+('DOE25'!L311)</f>
        <v>31876.670000000002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269684.82999999996</v>
      </c>
      <c r="D111" s="24" t="s">
        <v>312</v>
      </c>
      <c r="E111" s="95">
        <f>+('DOE25'!L274)+('DOE25'!L293)+('DOE25'!L312)</f>
        <v>42763.21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524727.71</v>
      </c>
      <c r="D112" s="24" t="s">
        <v>312</v>
      </c>
      <c r="E112" s="95">
        <f>+('DOE25'!L275)+('DOE25'!L294)+('DOE25'!L313)</f>
        <v>4947.9800000000005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727082.59000000008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4867.3900000000003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867573.5199999999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407377.38999999996</v>
      </c>
      <c r="D116" s="24" t="s">
        <v>312</v>
      </c>
      <c r="E116" s="95">
        <f>+('DOE25'!L279)+('DOE25'!L298)+('DOE25'!L317)</f>
        <v>59806.720000000001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121349.5</v>
      </c>
      <c r="D117" s="24" t="s">
        <v>312</v>
      </c>
      <c r="E117" s="95">
        <f>+('DOE25'!L280)+('DOE25'!L299)+('DOE25'!L318)</f>
        <v>1611.28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328140.81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3670315.4600000004</v>
      </c>
      <c r="D120" s="86">
        <f>SUM(D110:D119)</f>
        <v>328140.81</v>
      </c>
      <c r="E120" s="86">
        <f>SUM(E110:E119)</f>
        <v>141005.86000000002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5459.5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748766.65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96937.919999999998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102.72</v>
      </c>
      <c r="F126" s="95">
        <f>'DOE25'!K373</f>
        <v>0</v>
      </c>
      <c r="G126" s="95">
        <f>'DOE25'!K426</f>
        <v>73000</v>
      </c>
    </row>
    <row r="127" spans="1:7" x14ac:dyDescent="0.2">
      <c r="A127" t="s">
        <v>256</v>
      </c>
      <c r="B127" s="32" t="s">
        <v>257</v>
      </c>
      <c r="C127" s="95">
        <f>'DOE25'!L255</f>
        <v>31833.78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10.42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100132.22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-142.63999999999942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9327.26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986865.6100000001</v>
      </c>
      <c r="D136" s="141">
        <f>SUM(D122:D135)</f>
        <v>0</v>
      </c>
      <c r="E136" s="141">
        <f>SUM(E122:E135)</f>
        <v>102.72</v>
      </c>
      <c r="F136" s="141">
        <f>SUM(F122:F135)</f>
        <v>5459.5</v>
      </c>
      <c r="G136" s="141">
        <f>SUM(G122:G135)</f>
        <v>73000</v>
      </c>
    </row>
    <row r="137" spans="1:9" ht="12.75" thickTop="1" thickBot="1" x14ac:dyDescent="0.25">
      <c r="A137" s="33" t="s">
        <v>267</v>
      </c>
      <c r="C137" s="86">
        <f>(C107+C120+C136)</f>
        <v>11813912.93</v>
      </c>
      <c r="D137" s="86">
        <f>(D107+D120+D136)</f>
        <v>328140.81</v>
      </c>
      <c r="E137" s="86">
        <f>(E107+E120+E136)</f>
        <v>729048.30999999994</v>
      </c>
      <c r="F137" s="86">
        <f>(F107+F120+F136)</f>
        <v>5459.5</v>
      </c>
      <c r="G137" s="86">
        <f>(G107+G120+G136)</f>
        <v>73000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20</v>
      </c>
      <c r="C143" s="153">
        <f>'DOE25'!G480</f>
        <v>20</v>
      </c>
      <c r="D143" s="153">
        <f>'DOE25'!H480</f>
        <v>15</v>
      </c>
      <c r="E143" s="153">
        <f>'DOE25'!I480</f>
        <v>15</v>
      </c>
      <c r="F143" s="153">
        <f>'DOE25'!J480</f>
        <v>10</v>
      </c>
      <c r="G143" s="24" t="s">
        <v>312</v>
      </c>
    </row>
    <row r="144" spans="1:9" x14ac:dyDescent="0.2">
      <c r="A144" s="136" t="s">
        <v>28</v>
      </c>
      <c r="B144" s="152" t="str">
        <f>'DOE25'!F481</f>
        <v>02/92</v>
      </c>
      <c r="C144" s="152" t="str">
        <f>'DOE25'!G481</f>
        <v>7/91</v>
      </c>
      <c r="D144" s="152" t="str">
        <f>'DOE25'!H481</f>
        <v>08/21/03</v>
      </c>
      <c r="E144" s="152" t="str">
        <f>'DOE25'!I481</f>
        <v>7/6/2005</v>
      </c>
      <c r="F144" s="152" t="str">
        <f>'DOE25'!J481</f>
        <v>3/2/2009</v>
      </c>
      <c r="G144" s="24" t="s">
        <v>312</v>
      </c>
    </row>
    <row r="145" spans="1:7" x14ac:dyDescent="0.2">
      <c r="A145" s="136" t="s">
        <v>29</v>
      </c>
      <c r="B145" s="152" t="str">
        <f>'DOE25'!F482</f>
        <v>8/2011</v>
      </c>
      <c r="C145" s="152" t="str">
        <f>'DOE25'!G482</f>
        <v>1/2011</v>
      </c>
      <c r="D145" s="152" t="str">
        <f>'DOE25'!H482</f>
        <v>08/21/2018</v>
      </c>
      <c r="E145" s="152" t="str">
        <f>'DOE25'!I482</f>
        <v>7/5/2021</v>
      </c>
      <c r="F145" s="152" t="str">
        <f>'DOE25'!J482</f>
        <v>3/1/2019</v>
      </c>
      <c r="G145" s="24" t="s">
        <v>312</v>
      </c>
    </row>
    <row r="146" spans="1:7" x14ac:dyDescent="0.2">
      <c r="A146" s="136" t="s">
        <v>30</v>
      </c>
      <c r="B146" s="137">
        <f>'DOE25'!F483</f>
        <v>2475000</v>
      </c>
      <c r="C146" s="137">
        <f>'DOE25'!G483</f>
        <v>3000000</v>
      </c>
      <c r="D146" s="137">
        <f>'DOE25'!H483</f>
        <v>500000</v>
      </c>
      <c r="E146" s="137">
        <f>'DOE25'!I483</f>
        <v>1694000</v>
      </c>
      <c r="F146" s="137">
        <f>'DOE25'!J483</f>
        <v>605000</v>
      </c>
      <c r="G146" s="24" t="s">
        <v>312</v>
      </c>
    </row>
    <row r="147" spans="1:7" x14ac:dyDescent="0.2">
      <c r="A147" s="136" t="s">
        <v>31</v>
      </c>
      <c r="B147" s="137">
        <f>'DOE25'!F484</f>
        <v>6.86</v>
      </c>
      <c r="C147" s="137">
        <f>'DOE25'!G484</f>
        <v>6.75</v>
      </c>
      <c r="D147" s="137">
        <f>'DOE25'!H484</f>
        <v>0</v>
      </c>
      <c r="E147" s="137">
        <f>'DOE25'!I484</f>
        <v>0</v>
      </c>
      <c r="F147" s="137">
        <f>'DOE25'!J484</f>
        <v>4.5</v>
      </c>
      <c r="G147" s="24" t="s">
        <v>312</v>
      </c>
    </row>
    <row r="148" spans="1:7" x14ac:dyDescent="0.2">
      <c r="A148" s="22" t="s">
        <v>32</v>
      </c>
      <c r="B148" s="137">
        <f>'DOE25'!F485</f>
        <v>605000</v>
      </c>
      <c r="C148" s="137">
        <f>'DOE25'!G485</f>
        <v>505000</v>
      </c>
      <c r="D148" s="137">
        <f>'DOE25'!H485</f>
        <v>333333.33</v>
      </c>
      <c r="E148" s="137">
        <f>'DOE25'!I485</f>
        <v>1398133.33</v>
      </c>
      <c r="F148" s="137">
        <f>'DOE25'!J485</f>
        <v>605000</v>
      </c>
      <c r="G148" s="138">
        <f>SUM(B148:F148)</f>
        <v>3446466.66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190000</v>
      </c>
      <c r="C150" s="137">
        <f>'DOE25'!G487</f>
        <v>245000</v>
      </c>
      <c r="D150" s="137">
        <f>'DOE25'!H487</f>
        <v>33333.33</v>
      </c>
      <c r="E150" s="137">
        <f>'DOE25'!I487</f>
        <v>112933.33</v>
      </c>
      <c r="F150" s="137">
        <f>'DOE25'!J487</f>
        <v>60500</v>
      </c>
      <c r="G150" s="138">
        <f t="shared" si="0"/>
        <v>641766.66</v>
      </c>
    </row>
    <row r="151" spans="1:7" x14ac:dyDescent="0.2">
      <c r="A151" s="22" t="s">
        <v>35</v>
      </c>
      <c r="B151" s="137">
        <f>'DOE25'!F488</f>
        <v>415000</v>
      </c>
      <c r="C151" s="137">
        <f>'DOE25'!G488</f>
        <v>260000</v>
      </c>
      <c r="D151" s="137">
        <f>'DOE25'!H488</f>
        <v>300000</v>
      </c>
      <c r="E151" s="137">
        <f>'DOE25'!I488</f>
        <v>1285200</v>
      </c>
      <c r="F151" s="137">
        <f>'DOE25'!J488</f>
        <v>544500</v>
      </c>
      <c r="G151" s="138">
        <f t="shared" si="0"/>
        <v>2804700</v>
      </c>
    </row>
    <row r="152" spans="1:7" x14ac:dyDescent="0.2">
      <c r="A152" s="22" t="s">
        <v>36</v>
      </c>
      <c r="B152" s="137">
        <f>'DOE25'!F489</f>
        <v>29575</v>
      </c>
      <c r="C152" s="137">
        <f>'DOE25'!G489</f>
        <v>17550</v>
      </c>
      <c r="D152" s="137">
        <f>'DOE25'!H489</f>
        <v>0</v>
      </c>
      <c r="E152" s="137">
        <f>'DOE25'!I489</f>
        <v>0</v>
      </c>
      <c r="F152" s="137">
        <f>'DOE25'!J489</f>
        <v>122602.01</v>
      </c>
      <c r="G152" s="138">
        <f t="shared" si="0"/>
        <v>169727.01</v>
      </c>
    </row>
    <row r="153" spans="1:7" x14ac:dyDescent="0.2">
      <c r="A153" s="22" t="s">
        <v>37</v>
      </c>
      <c r="B153" s="137">
        <f>'DOE25'!F490</f>
        <v>444575</v>
      </c>
      <c r="C153" s="137">
        <f>'DOE25'!G490</f>
        <v>277550</v>
      </c>
      <c r="D153" s="137">
        <f>'DOE25'!H490</f>
        <v>300000</v>
      </c>
      <c r="E153" s="137">
        <f>'DOE25'!I490</f>
        <v>1285200</v>
      </c>
      <c r="F153" s="137">
        <f>'DOE25'!J490</f>
        <v>667102.01</v>
      </c>
      <c r="G153" s="138">
        <f t="shared" si="0"/>
        <v>2974427.01</v>
      </c>
    </row>
    <row r="154" spans="1:7" x14ac:dyDescent="0.2">
      <c r="A154" s="22" t="s">
        <v>38</v>
      </c>
      <c r="B154" s="137">
        <f>'DOE25'!F491</f>
        <v>200000</v>
      </c>
      <c r="C154" s="137">
        <f>'DOE25'!G491</f>
        <v>260000</v>
      </c>
      <c r="D154" s="137">
        <f>'DOE25'!H491</f>
        <v>33333.33</v>
      </c>
      <c r="E154" s="137">
        <f>'DOE25'!I491</f>
        <v>112933.33</v>
      </c>
      <c r="F154" s="137">
        <f>'DOE25'!J491</f>
        <v>60500</v>
      </c>
      <c r="G154" s="138">
        <f t="shared" si="0"/>
        <v>666766.66</v>
      </c>
    </row>
    <row r="155" spans="1:7" x14ac:dyDescent="0.2">
      <c r="A155" s="22" t="s">
        <v>39</v>
      </c>
      <c r="B155" s="137">
        <f>'DOE25'!F492</f>
        <v>22050</v>
      </c>
      <c r="C155" s="137">
        <f>'DOE25'!G492</f>
        <v>17550</v>
      </c>
      <c r="D155" s="137">
        <f>'DOE25'!H492</f>
        <v>0</v>
      </c>
      <c r="E155" s="137">
        <f>'DOE25'!I492</f>
        <v>0</v>
      </c>
      <c r="F155" s="137">
        <f>'DOE25'!J492</f>
        <v>24502.5</v>
      </c>
      <c r="G155" s="138">
        <f t="shared" si="0"/>
        <v>64102.5</v>
      </c>
    </row>
    <row r="156" spans="1:7" x14ac:dyDescent="0.2">
      <c r="A156" s="22" t="s">
        <v>269</v>
      </c>
      <c r="B156" s="137">
        <f>'DOE25'!F493</f>
        <v>222050</v>
      </c>
      <c r="C156" s="137">
        <f>'DOE25'!G493</f>
        <v>277550</v>
      </c>
      <c r="D156" s="137">
        <f>'DOE25'!H493</f>
        <v>33333.33</v>
      </c>
      <c r="E156" s="137">
        <f>'DOE25'!I493</f>
        <v>112933.33</v>
      </c>
      <c r="F156" s="137">
        <f>'DOE25'!J493</f>
        <v>85002.5</v>
      </c>
      <c r="G156" s="138">
        <f t="shared" si="0"/>
        <v>730869.15999999992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A69B4-2CCA-4154-93D1-02D2032A8413}">
  <sheetPr codeName="Sheet3">
    <tabColor indexed="43"/>
  </sheetPr>
  <dimension ref="A1:D42"/>
  <sheetViews>
    <sheetView workbookViewId="0">
      <selection activeCell="D20" sqref="D20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772</v>
      </c>
      <c r="B1" s="280"/>
      <c r="C1" s="280"/>
      <c r="D1" s="280"/>
    </row>
    <row r="2" spans="1:4" x14ac:dyDescent="0.2">
      <c r="A2" s="187" t="s">
        <v>748</v>
      </c>
      <c r="B2" s="186" t="str">
        <f>'DOE25'!A2</f>
        <v>HAVERHILL COOPERATIVE SD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12570</v>
      </c>
    </row>
    <row r="5" spans="1:4" x14ac:dyDescent="0.2">
      <c r="B5" t="s">
        <v>735</v>
      </c>
      <c r="C5" s="179">
        <f>IF('DOE25'!G655+'DOE25'!G660=0,0,ROUND('DOE25'!G662,0))</f>
        <v>13528</v>
      </c>
    </row>
    <row r="6" spans="1:4" x14ac:dyDescent="0.2">
      <c r="B6" t="s">
        <v>62</v>
      </c>
      <c r="C6" s="179">
        <f>IF('DOE25'!H655+'DOE25'!H660=0,0,ROUND('DOE25'!H662,0))</f>
        <v>15742</v>
      </c>
    </row>
    <row r="7" spans="1:4" x14ac:dyDescent="0.2">
      <c r="B7" t="s">
        <v>736</v>
      </c>
      <c r="C7" s="179">
        <f>IF('DOE25'!I655+'DOE25'!I660=0,0,ROUND('DOE25'!I662,0))</f>
        <v>13974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4210248</v>
      </c>
      <c r="D10" s="182">
        <f>ROUND((C10/$C$28)*100,1)</f>
        <v>35.5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2967772</v>
      </c>
      <c r="D11" s="182">
        <f>ROUND((C11/$C$28)*100,1)</f>
        <v>25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173349</v>
      </c>
      <c r="D12" s="182">
        <f>ROUND((C12/$C$28)*100,1)</f>
        <v>1.5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350629</v>
      </c>
      <c r="D13" s="182">
        <f>ROUND((C13/$C$28)*100,1)</f>
        <v>3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779529</v>
      </c>
      <c r="D15" s="182">
        <f t="shared" ref="D15:D27" si="0">ROUND((C15/$C$28)*100,1)</f>
        <v>6.6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312448</v>
      </c>
      <c r="D16" s="182">
        <f t="shared" si="0"/>
        <v>2.6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652636</v>
      </c>
      <c r="D17" s="182">
        <f t="shared" si="0"/>
        <v>5.5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727083</v>
      </c>
      <c r="D18" s="182">
        <f t="shared" si="0"/>
        <v>6.1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4867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867574</v>
      </c>
      <c r="D20" s="182">
        <f t="shared" si="0"/>
        <v>7.3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467184</v>
      </c>
      <c r="D21" s="182">
        <f t="shared" si="0"/>
        <v>3.9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42674</v>
      </c>
      <c r="D24" s="182">
        <f t="shared" si="0"/>
        <v>0.4</v>
      </c>
    </row>
    <row r="25" spans="1:4" x14ac:dyDescent="0.2">
      <c r="A25">
        <v>5120</v>
      </c>
      <c r="B25" t="s">
        <v>751</v>
      </c>
      <c r="C25" s="179">
        <f>ROUND('DOE25'!L253+'DOE25'!L334,0)</f>
        <v>96938</v>
      </c>
      <c r="D25" s="182">
        <f t="shared" si="0"/>
        <v>0.8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9327.26</v>
      </c>
      <c r="D26" s="182">
        <f t="shared" si="0"/>
        <v>0.1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187148.36</v>
      </c>
      <c r="D27" s="182">
        <f t="shared" si="0"/>
        <v>1.6</v>
      </c>
    </row>
    <row r="28" spans="1:4" x14ac:dyDescent="0.2">
      <c r="B28" s="187" t="s">
        <v>754</v>
      </c>
      <c r="C28" s="180">
        <f>SUM(C10:C27)</f>
        <v>11849406.619999999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5460</v>
      </c>
    </row>
    <row r="30" spans="1:4" x14ac:dyDescent="0.2">
      <c r="B30" s="187" t="s">
        <v>760</v>
      </c>
      <c r="C30" s="180">
        <f>SUM(C28:C29)</f>
        <v>11854866.619999999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748767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4172324</v>
      </c>
      <c r="D35" s="182">
        <f t="shared" ref="D35:D40" si="1">ROUND((C35/$C$41)*100,1)</f>
        <v>32.6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2130966.67</v>
      </c>
      <c r="D36" s="182">
        <f t="shared" si="1"/>
        <v>16.600000000000001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3555840</v>
      </c>
      <c r="D37" s="182">
        <f t="shared" si="1"/>
        <v>27.8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1852082</v>
      </c>
      <c r="D38" s="182">
        <f t="shared" si="1"/>
        <v>14.5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1095466</v>
      </c>
      <c r="D39" s="182">
        <f t="shared" si="1"/>
        <v>8.6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12806678.67</v>
      </c>
      <c r="D41" s="184">
        <f>SUM(D35:D40)</f>
        <v>100.1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C5E9B-337B-4464-BB04-00E7C5D26BB0}">
  <sheetPr>
    <tabColor indexed="17"/>
  </sheetPr>
  <dimension ref="A1:IV90"/>
  <sheetViews>
    <sheetView workbookViewId="0">
      <pane ySplit="3" topLeftCell="A4" activePane="bottomLeft" state="frozen"/>
      <selection pane="bottomLeft" activeCell="A10" sqref="A10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9" t="s">
        <v>802</v>
      </c>
      <c r="B1" s="290"/>
      <c r="C1" s="290"/>
      <c r="D1" s="290"/>
      <c r="E1" s="290"/>
      <c r="F1" s="290"/>
      <c r="G1" s="290"/>
      <c r="H1" s="290"/>
      <c r="I1" s="290"/>
      <c r="J1" s="214"/>
      <c r="K1" s="214"/>
      <c r="L1" s="214"/>
      <c r="M1" s="215"/>
    </row>
    <row r="2" spans="1:26" ht="12.75" x14ac:dyDescent="0.2">
      <c r="A2" s="287" t="s">
        <v>799</v>
      </c>
      <c r="B2" s="288"/>
      <c r="C2" s="288"/>
      <c r="D2" s="288"/>
      <c r="E2" s="288"/>
      <c r="F2" s="293" t="str">
        <f>'DOE25'!A2</f>
        <v>HAVERHILL COOPERATIVE SD</v>
      </c>
      <c r="G2" s="294"/>
      <c r="H2" s="294"/>
      <c r="I2" s="294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1" t="s">
        <v>803</v>
      </c>
      <c r="D3" s="291"/>
      <c r="E3" s="291"/>
      <c r="F3" s="291"/>
      <c r="G3" s="291"/>
      <c r="H3" s="291"/>
      <c r="I3" s="291"/>
      <c r="J3" s="291"/>
      <c r="K3" s="291"/>
      <c r="L3" s="291"/>
      <c r="M3" s="292"/>
    </row>
    <row r="4" spans="1:26" x14ac:dyDescent="0.2">
      <c r="A4" s="219">
        <v>4</v>
      </c>
      <c r="B4" s="220">
        <v>10</v>
      </c>
      <c r="C4" s="281" t="s">
        <v>894</v>
      </c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1" t="s">
        <v>895</v>
      </c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>
        <v>15</v>
      </c>
      <c r="B7" s="220" t="s">
        <v>896</v>
      </c>
      <c r="C7" s="281" t="s">
        <v>897</v>
      </c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>
        <v>20</v>
      </c>
      <c r="B9" s="220"/>
      <c r="C9" s="281" t="s">
        <v>910</v>
      </c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2"/>
      <c r="O29" s="212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8"/>
      <c r="AB29" s="208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8"/>
      <c r="AO29" s="208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8"/>
      <c r="BB29" s="208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8"/>
      <c r="BO29" s="208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8"/>
      <c r="CB29" s="208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8"/>
      <c r="CO29" s="208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8"/>
      <c r="DB29" s="208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8"/>
      <c r="DO29" s="208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8"/>
      <c r="EB29" s="208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8"/>
      <c r="EO29" s="208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8"/>
      <c r="FB29" s="208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8"/>
      <c r="FO29" s="208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8"/>
      <c r="GB29" s="208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8"/>
      <c r="GO29" s="208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8"/>
      <c r="HB29" s="208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8"/>
      <c r="HO29" s="208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8"/>
      <c r="IB29" s="208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8"/>
      <c r="IO29" s="208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9"/>
      <c r="B30" s="220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2"/>
      <c r="O30" s="212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8"/>
      <c r="AB30" s="208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8"/>
      <c r="AO30" s="208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8"/>
      <c r="BB30" s="208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8"/>
      <c r="BO30" s="208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8"/>
      <c r="CB30" s="208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8"/>
      <c r="CO30" s="208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8"/>
      <c r="DB30" s="208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8"/>
      <c r="DO30" s="208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8"/>
      <c r="EB30" s="208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8"/>
      <c r="EO30" s="208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8"/>
      <c r="FB30" s="208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8"/>
      <c r="FO30" s="208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8"/>
      <c r="GB30" s="208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8"/>
      <c r="GO30" s="208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8"/>
      <c r="HB30" s="208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8"/>
      <c r="HO30" s="208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8"/>
      <c r="IB30" s="208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8"/>
      <c r="IO30" s="208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9"/>
      <c r="B31" s="220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2"/>
      <c r="O31" s="212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8"/>
      <c r="AB31" s="208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8"/>
      <c r="AO31" s="208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8"/>
      <c r="BB31" s="208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8"/>
      <c r="BO31" s="208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8"/>
      <c r="CB31" s="208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8"/>
      <c r="CO31" s="208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8"/>
      <c r="DB31" s="208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8"/>
      <c r="DO31" s="208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8"/>
      <c r="EB31" s="208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8"/>
      <c r="EO31" s="208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8"/>
      <c r="FB31" s="208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8"/>
      <c r="FO31" s="208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8"/>
      <c r="GB31" s="208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8"/>
      <c r="GO31" s="208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8"/>
      <c r="HB31" s="208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8"/>
      <c r="HO31" s="208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8"/>
      <c r="IB31" s="208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8"/>
      <c r="IO31" s="208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9"/>
      <c r="B32" s="220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4"/>
      <c r="O32" s="224"/>
      <c r="P32" s="285"/>
      <c r="Q32" s="285"/>
      <c r="R32" s="285"/>
      <c r="S32" s="285"/>
      <c r="T32" s="285"/>
      <c r="U32" s="285"/>
      <c r="V32" s="285"/>
      <c r="W32" s="285"/>
      <c r="X32" s="285"/>
      <c r="Y32" s="285"/>
      <c r="Z32" s="286"/>
      <c r="AA32" s="219"/>
      <c r="AB32" s="220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9"/>
      <c r="AO32" s="220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9"/>
      <c r="BB32" s="220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9"/>
      <c r="BO32" s="220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9"/>
      <c r="CB32" s="220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9"/>
      <c r="CO32" s="220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9"/>
      <c r="DB32" s="220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9"/>
      <c r="DO32" s="220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9"/>
      <c r="EB32" s="220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9"/>
      <c r="EO32" s="220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9"/>
      <c r="FB32" s="220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9"/>
      <c r="FO32" s="220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9"/>
      <c r="GB32" s="220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9"/>
      <c r="GO32" s="220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9"/>
      <c r="HB32" s="220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9"/>
      <c r="HO32" s="220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9"/>
      <c r="IB32" s="220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9"/>
      <c r="IO32" s="220"/>
      <c r="IP32" s="281"/>
      <c r="IQ32" s="281"/>
      <c r="IR32" s="281"/>
      <c r="IS32" s="281"/>
      <c r="IT32" s="281"/>
      <c r="IU32" s="281"/>
      <c r="IV32" s="281"/>
    </row>
    <row r="33" spans="1:256" x14ac:dyDescent="0.2">
      <c r="A33" s="219"/>
      <c r="B33" s="220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2"/>
      <c r="O38" s="212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8"/>
      <c r="AB38" s="208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8"/>
      <c r="AO38" s="208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8"/>
      <c r="BB38" s="208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8"/>
      <c r="BO38" s="208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8"/>
      <c r="CB38" s="208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8"/>
      <c r="CO38" s="208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8"/>
      <c r="DB38" s="208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8"/>
      <c r="DO38" s="208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8"/>
      <c r="EB38" s="208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8"/>
      <c r="EO38" s="208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8"/>
      <c r="FB38" s="208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8"/>
      <c r="FO38" s="208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8"/>
      <c r="GB38" s="208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8"/>
      <c r="GO38" s="208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8"/>
      <c r="HB38" s="208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8"/>
      <c r="HO38" s="208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8"/>
      <c r="IB38" s="208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8"/>
      <c r="IO38" s="208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9"/>
      <c r="B39" s="220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2"/>
      <c r="O39" s="212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8"/>
      <c r="AB39" s="208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8"/>
      <c r="AO39" s="208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8"/>
      <c r="BB39" s="208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8"/>
      <c r="BO39" s="208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8"/>
      <c r="CB39" s="208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8"/>
      <c r="CO39" s="208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8"/>
      <c r="DB39" s="208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8"/>
      <c r="DO39" s="208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8"/>
      <c r="EB39" s="208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8"/>
      <c r="EO39" s="208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8"/>
      <c r="FB39" s="208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8"/>
      <c r="FO39" s="208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8"/>
      <c r="GB39" s="208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8"/>
      <c r="GO39" s="208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8"/>
      <c r="HB39" s="208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8"/>
      <c r="HO39" s="208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8"/>
      <c r="IB39" s="208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8"/>
      <c r="IO39" s="208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9"/>
      <c r="B40" s="220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2"/>
      <c r="O40" s="212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8"/>
      <c r="AB40" s="208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8"/>
      <c r="AO40" s="208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8"/>
      <c r="BB40" s="208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8"/>
      <c r="BO40" s="208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8"/>
      <c r="CB40" s="208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8"/>
      <c r="CO40" s="208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8"/>
      <c r="DB40" s="208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8"/>
      <c r="DO40" s="208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8"/>
      <c r="EB40" s="208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8"/>
      <c r="EO40" s="208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8"/>
      <c r="FB40" s="208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8"/>
      <c r="FO40" s="208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8"/>
      <c r="GB40" s="208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8"/>
      <c r="GO40" s="208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8"/>
      <c r="HB40" s="208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8"/>
      <c r="HO40" s="208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8"/>
      <c r="IB40" s="208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8"/>
      <c r="IO40" s="208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9"/>
      <c r="B41" s="220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 x14ac:dyDescent="0.2">
      <c r="A60" s="219"/>
      <c r="B60" s="220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 x14ac:dyDescent="0.2">
      <c r="A61" s="219"/>
      <c r="B61" s="220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 x14ac:dyDescent="0.2">
      <c r="A62" s="219"/>
      <c r="B62" s="220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 x14ac:dyDescent="0.2">
      <c r="A63" s="219"/>
      <c r="B63" s="220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 x14ac:dyDescent="0.2">
      <c r="A64" s="219"/>
      <c r="B64" s="220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 x14ac:dyDescent="0.2">
      <c r="A65" s="219"/>
      <c r="B65" s="220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 x14ac:dyDescent="0.2">
      <c r="A66" s="219"/>
      <c r="B66" s="220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 x14ac:dyDescent="0.2">
      <c r="A67" s="219"/>
      <c r="B67" s="220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 x14ac:dyDescent="0.2">
      <c r="A68" s="219"/>
      <c r="B68" s="220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 x14ac:dyDescent="0.2">
      <c r="A69" s="219"/>
      <c r="B69" s="220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 x14ac:dyDescent="0.25">
      <c r="A70" s="221"/>
      <c r="B70" s="222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6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7" t="s">
        <v>893</v>
      </c>
      <c r="B72" s="297"/>
      <c r="C72" s="297"/>
      <c r="D72" s="297"/>
      <c r="E72" s="297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2"/>
      <c r="B74" s="212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2"/>
      <c r="B75" s="212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2"/>
      <c r="B76" s="212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2"/>
      <c r="B77" s="212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2"/>
      <c r="B78" s="212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2"/>
      <c r="B79" s="212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2"/>
      <c r="B80" s="212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2"/>
      <c r="B81" s="212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2"/>
      <c r="B82" s="212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2"/>
      <c r="B83" s="212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2"/>
      <c r="B84" s="212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2"/>
      <c r="B85" s="212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2"/>
      <c r="B86" s="212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2"/>
      <c r="B87" s="212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2"/>
      <c r="B88" s="212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2"/>
      <c r="B89" s="212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2"/>
      <c r="B90" s="212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B70A" sheet="1" objects="1" scenarios="1"/>
  <mergeCells count="223">
    <mergeCell ref="C24:M24"/>
    <mergeCell ref="C86:M86"/>
    <mergeCell ref="C87:M87"/>
    <mergeCell ref="C88:M88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82:M82"/>
    <mergeCell ref="C83:M83"/>
    <mergeCell ref="C84:M84"/>
    <mergeCell ref="C85:M85"/>
    <mergeCell ref="C74:M74"/>
    <mergeCell ref="C75:M75"/>
    <mergeCell ref="C76:M76"/>
    <mergeCell ref="C77:M77"/>
    <mergeCell ref="C78:M78"/>
    <mergeCell ref="C79:M79"/>
    <mergeCell ref="C67:M67"/>
    <mergeCell ref="C68:M68"/>
    <mergeCell ref="C69:M69"/>
    <mergeCell ref="C70:M70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22:M22"/>
    <mergeCell ref="C23:M23"/>
    <mergeCell ref="C12:M12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IP30:IV30"/>
    <mergeCell ref="FC30:FM30"/>
    <mergeCell ref="FP30:FZ30"/>
    <mergeCell ref="GC30:GM30"/>
    <mergeCell ref="GP30:GZ30"/>
    <mergeCell ref="DC30:DM30"/>
    <mergeCell ref="DP30:DZ30"/>
    <mergeCell ref="EC30:EM30"/>
    <mergeCell ref="EP30:EZ30"/>
    <mergeCell ref="BC31:BM31"/>
    <mergeCell ref="BC32:BM32"/>
    <mergeCell ref="BC39:BM39"/>
    <mergeCell ref="HC30:HM30"/>
    <mergeCell ref="HP30:HZ30"/>
    <mergeCell ref="IC30:IM30"/>
    <mergeCell ref="BC30:BM30"/>
    <mergeCell ref="BP30:BZ30"/>
    <mergeCell ref="CC30:CM30"/>
    <mergeCell ref="CP30:CZ30"/>
    <mergeCell ref="EC31:EM31"/>
    <mergeCell ref="EP31:EZ31"/>
    <mergeCell ref="FC31:FM31"/>
    <mergeCell ref="BP31:BZ31"/>
    <mergeCell ref="CC31:CM31"/>
    <mergeCell ref="CP31:CZ31"/>
    <mergeCell ref="DC31:DM31"/>
    <mergeCell ref="IC31:IM31"/>
    <mergeCell ref="IP31:IV31"/>
    <mergeCell ref="CP32:CZ32"/>
    <mergeCell ref="HP32:HZ32"/>
    <mergeCell ref="IC32:IM32"/>
    <mergeCell ref="IP32:IV32"/>
    <mergeCell ref="FC32:FM32"/>
    <mergeCell ref="FP32:FZ32"/>
    <mergeCell ref="GC32:GM32"/>
    <mergeCell ref="FP31:FZ31"/>
    <mergeCell ref="AC38:AM38"/>
    <mergeCell ref="AP38:AZ38"/>
    <mergeCell ref="C43:M43"/>
    <mergeCell ref="P40:Z40"/>
    <mergeCell ref="AC40:AM40"/>
    <mergeCell ref="HP31:HZ31"/>
    <mergeCell ref="GC31:GM31"/>
    <mergeCell ref="GP31:GZ31"/>
    <mergeCell ref="HC31:HM31"/>
    <mergeCell ref="DP31:DZ31"/>
    <mergeCell ref="HC32:HM32"/>
    <mergeCell ref="DC32:DM32"/>
    <mergeCell ref="DP32:DZ32"/>
    <mergeCell ref="EC32:EM32"/>
    <mergeCell ref="EP32:EZ32"/>
    <mergeCell ref="C44:M44"/>
    <mergeCell ref="P32:Z32"/>
    <mergeCell ref="AC32:AM32"/>
    <mergeCell ref="AP32:AZ32"/>
    <mergeCell ref="P38:Z38"/>
    <mergeCell ref="BP32:BZ32"/>
    <mergeCell ref="BC38:BM38"/>
    <mergeCell ref="BP38:BZ38"/>
    <mergeCell ref="CC38:CM38"/>
    <mergeCell ref="CC32:CM32"/>
    <mergeCell ref="GP32:GZ32"/>
    <mergeCell ref="IC38:IM38"/>
    <mergeCell ref="EP38:EZ38"/>
    <mergeCell ref="FC38:FM38"/>
    <mergeCell ref="FP38:FZ38"/>
    <mergeCell ref="GC38:GM38"/>
    <mergeCell ref="CP38:CZ38"/>
    <mergeCell ref="DC38:DM38"/>
    <mergeCell ref="DP38:DZ38"/>
    <mergeCell ref="EC38:EM38"/>
    <mergeCell ref="C51:M51"/>
    <mergeCell ref="P39:Z39"/>
    <mergeCell ref="AC39:AM39"/>
    <mergeCell ref="AP39:AZ39"/>
    <mergeCell ref="HP39:HZ39"/>
    <mergeCell ref="IC39:IM39"/>
    <mergeCell ref="AP40:AZ40"/>
    <mergeCell ref="C42:M42"/>
    <mergeCell ref="FP39:FZ39"/>
    <mergeCell ref="GC39:GM39"/>
    <mergeCell ref="GP39:GZ39"/>
    <mergeCell ref="IP38:IV38"/>
    <mergeCell ref="CC39:CM39"/>
    <mergeCell ref="CP39:CZ39"/>
    <mergeCell ref="IP39:IV39"/>
    <mergeCell ref="GP38:GZ38"/>
    <mergeCell ref="HC38:HM38"/>
    <mergeCell ref="HP38:HZ38"/>
    <mergeCell ref="BP39:BZ39"/>
    <mergeCell ref="BC40:BM40"/>
    <mergeCell ref="BP40:BZ40"/>
    <mergeCell ref="FC40:FM40"/>
    <mergeCell ref="HC39:HM39"/>
    <mergeCell ref="DC39:DM39"/>
    <mergeCell ref="DP39:DZ39"/>
    <mergeCell ref="EC39:EM39"/>
    <mergeCell ref="EP39:EZ39"/>
    <mergeCell ref="FC39:FM39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EP40:EZ40"/>
    <mergeCell ref="FP40:FZ40"/>
    <mergeCell ref="C52:M52"/>
    <mergeCell ref="C50:M50"/>
    <mergeCell ref="C47:M47"/>
    <mergeCell ref="C48:M48"/>
    <mergeCell ref="C49:M49"/>
    <mergeCell ref="IC40:IM40"/>
    <mergeCell ref="CC40:CM40"/>
    <mergeCell ref="CP40:CZ40"/>
    <mergeCell ref="DC40:DM40"/>
    <mergeCell ref="DP40:DZ40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2010-09-11T19:57:16Z</cp:lastPrinted>
  <dcterms:created xsi:type="dcterms:W3CDTF">1997-12-04T19:04:30Z</dcterms:created>
  <dcterms:modified xsi:type="dcterms:W3CDTF">2025-01-02T15:03:08Z</dcterms:modified>
</cp:coreProperties>
</file>