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BB4EB5D-4175-45AB-822D-355E02444D73}" xr6:coauthVersionLast="47" xr6:coauthVersionMax="47" xr10:uidLastSave="{00000000-0000-0000-0000-000000000000}"/>
  <workbookProtection workbookPassword="B70A" lockStructure="1"/>
  <bookViews>
    <workbookView xWindow="2160" yWindow="2160" windowWidth="21600" windowHeight="11505" tabRatio="855" xr2:uid="{DFC7F40E-02AF-49B0-82E3-3B00D8EE0AC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3" i="1"/>
  <c r="H13" i="1"/>
  <c r="F455" i="1"/>
  <c r="F13" i="1"/>
  <c r="F23" i="1"/>
  <c r="G89" i="1"/>
  <c r="G23" i="1"/>
  <c r="J594" i="1"/>
  <c r="J595" i="1" s="1"/>
  <c r="I594" i="1"/>
  <c r="I595" i="1" s="1"/>
  <c r="H594" i="1"/>
  <c r="K594" i="1" s="1"/>
  <c r="H574" i="1"/>
  <c r="H572" i="1"/>
  <c r="G572" i="1"/>
  <c r="F572" i="1"/>
  <c r="G449" i="1"/>
  <c r="H94" i="1"/>
  <c r="H103" i="1" s="1"/>
  <c r="F102" i="1"/>
  <c r="F93" i="1"/>
  <c r="F103" i="1" s="1"/>
  <c r="F104" i="1" s="1"/>
  <c r="F125" i="1"/>
  <c r="F109" i="1"/>
  <c r="F49" i="1"/>
  <c r="F60" i="1"/>
  <c r="G16" i="1"/>
  <c r="F9" i="1"/>
  <c r="F489" i="1"/>
  <c r="F488" i="1"/>
  <c r="H359" i="1"/>
  <c r="G359" i="1"/>
  <c r="I359" i="1" s="1"/>
  <c r="F360" i="1"/>
  <c r="F359" i="1"/>
  <c r="C60" i="2"/>
  <c r="B2" i="13"/>
  <c r="F8" i="13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G16" i="13"/>
  <c r="E16" i="13"/>
  <c r="C16" i="13" s="1"/>
  <c r="L201" i="1"/>
  <c r="L219" i="1"/>
  <c r="L237" i="1"/>
  <c r="F5" i="13"/>
  <c r="D5" i="13" s="1"/>
  <c r="G5" i="13"/>
  <c r="L189" i="1"/>
  <c r="C10" i="10" s="1"/>
  <c r="L190" i="1"/>
  <c r="L191" i="1"/>
  <c r="L192" i="1"/>
  <c r="L207" i="1"/>
  <c r="L208" i="1"/>
  <c r="L221" i="1" s="1"/>
  <c r="G650" i="1" s="1"/>
  <c r="L209" i="1"/>
  <c r="C12" i="10" s="1"/>
  <c r="L210" i="1"/>
  <c r="L225" i="1"/>
  <c r="L226" i="1"/>
  <c r="L227" i="1"/>
  <c r="C103" i="2" s="1"/>
  <c r="L228" i="1"/>
  <c r="C104" i="2" s="1"/>
  <c r="F6" i="13"/>
  <c r="D6" i="13" s="1"/>
  <c r="C6" i="13" s="1"/>
  <c r="G6" i="13"/>
  <c r="L194" i="1"/>
  <c r="L212" i="1"/>
  <c r="L230" i="1"/>
  <c r="F7" i="13"/>
  <c r="G7" i="13"/>
  <c r="L195" i="1"/>
  <c r="L213" i="1"/>
  <c r="L231" i="1"/>
  <c r="F12" i="13"/>
  <c r="G12" i="13"/>
  <c r="L197" i="1"/>
  <c r="C18" i="10" s="1"/>
  <c r="L215" i="1"/>
  <c r="L233" i="1"/>
  <c r="F14" i="13"/>
  <c r="G14" i="13"/>
  <c r="L199" i="1"/>
  <c r="L217" i="1"/>
  <c r="L235" i="1"/>
  <c r="F15" i="13"/>
  <c r="G15" i="13"/>
  <c r="L200" i="1"/>
  <c r="F652" i="1" s="1"/>
  <c r="L218" i="1"/>
  <c r="G652" i="1" s="1"/>
  <c r="L236" i="1"/>
  <c r="H652" i="1" s="1"/>
  <c r="F17" i="13"/>
  <c r="G17" i="13"/>
  <c r="L243" i="1"/>
  <c r="F18" i="13"/>
  <c r="G18" i="13"/>
  <c r="L244" i="1"/>
  <c r="F19" i="13"/>
  <c r="G19" i="13"/>
  <c r="L245" i="1"/>
  <c r="F29" i="13"/>
  <c r="G29" i="13"/>
  <c r="L350" i="1"/>
  <c r="L354" i="1" s="1"/>
  <c r="L351" i="1"/>
  <c r="L352" i="1"/>
  <c r="J282" i="1"/>
  <c r="J301" i="1"/>
  <c r="J320" i="1"/>
  <c r="K282" i="1"/>
  <c r="K301" i="1"/>
  <c r="K320" i="1"/>
  <c r="L268" i="1"/>
  <c r="L269" i="1"/>
  <c r="E102" i="2" s="1"/>
  <c r="L270" i="1"/>
  <c r="E103" i="2" s="1"/>
  <c r="L271" i="1"/>
  <c r="L273" i="1"/>
  <c r="L274" i="1"/>
  <c r="L275" i="1"/>
  <c r="C17" i="10" s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E112" i="2" s="1"/>
  <c r="L314" i="1"/>
  <c r="L315" i="1"/>
  <c r="L316" i="1"/>
  <c r="L317" i="1"/>
  <c r="L318" i="1"/>
  <c r="E117" i="2" s="1"/>
  <c r="L325" i="1"/>
  <c r="C24" i="10" s="1"/>
  <c r="L326" i="1"/>
  <c r="L327" i="1"/>
  <c r="L252" i="1"/>
  <c r="L253" i="1"/>
  <c r="L333" i="1"/>
  <c r="C32" i="10" s="1"/>
  <c r="L334" i="1"/>
  <c r="L247" i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F2" i="11"/>
  <c r="L603" i="1"/>
  <c r="H653" i="1" s="1"/>
  <c r="L602" i="1"/>
  <c r="L601" i="1"/>
  <c r="F653" i="1"/>
  <c r="C40" i="10"/>
  <c r="F52" i="1"/>
  <c r="C48" i="2" s="1"/>
  <c r="G52" i="1"/>
  <c r="D48" i="2" s="1"/>
  <c r="H52" i="1"/>
  <c r="I52" i="1"/>
  <c r="F71" i="1"/>
  <c r="F86" i="1"/>
  <c r="G103" i="1"/>
  <c r="G104" i="1" s="1"/>
  <c r="H71" i="1"/>
  <c r="E49" i="2" s="1"/>
  <c r="E54" i="2" s="1"/>
  <c r="H86" i="1"/>
  <c r="E50" i="2" s="1"/>
  <c r="I103" i="1"/>
  <c r="J103" i="1"/>
  <c r="J104" i="1" s="1"/>
  <c r="J185" i="1" s="1"/>
  <c r="C37" i="10"/>
  <c r="F113" i="1"/>
  <c r="F132" i="1" s="1"/>
  <c r="C38" i="10" s="1"/>
  <c r="F128" i="1"/>
  <c r="G113" i="1"/>
  <c r="G128" i="1"/>
  <c r="G132" i="1"/>
  <c r="H113" i="1"/>
  <c r="H132" i="1" s="1"/>
  <c r="H128" i="1"/>
  <c r="I113" i="1"/>
  <c r="I128" i="1"/>
  <c r="J113" i="1"/>
  <c r="J132" i="1" s="1"/>
  <c r="J128" i="1"/>
  <c r="F139" i="1"/>
  <c r="F154" i="1"/>
  <c r="F161" i="1"/>
  <c r="G139" i="1"/>
  <c r="G161" i="1" s="1"/>
  <c r="G154" i="1"/>
  <c r="H139" i="1"/>
  <c r="H154" i="1"/>
  <c r="H161" i="1" s="1"/>
  <c r="I139" i="1"/>
  <c r="F77" i="2" s="1"/>
  <c r="F83" i="2" s="1"/>
  <c r="I154" i="1"/>
  <c r="C15" i="10"/>
  <c r="C16" i="10"/>
  <c r="C20" i="10"/>
  <c r="L242" i="1"/>
  <c r="C23" i="10" s="1"/>
  <c r="L324" i="1"/>
  <c r="L246" i="1"/>
  <c r="C25" i="10"/>
  <c r="L260" i="1"/>
  <c r="C26" i="10" s="1"/>
  <c r="L261" i="1"/>
  <c r="L341" i="1"/>
  <c r="L342" i="1"/>
  <c r="E135" i="2" s="1"/>
  <c r="I655" i="1"/>
  <c r="I660" i="1"/>
  <c r="H651" i="1"/>
  <c r="I659" i="1"/>
  <c r="C42" i="10"/>
  <c r="L366" i="1"/>
  <c r="L367" i="1"/>
  <c r="L368" i="1"/>
  <c r="F122" i="2" s="1"/>
  <c r="F136" i="2" s="1"/>
  <c r="L369" i="1"/>
  <c r="L370" i="1"/>
  <c r="L371" i="1"/>
  <c r="L372" i="1"/>
  <c r="B2" i="10"/>
  <c r="L336" i="1"/>
  <c r="L337" i="1"/>
  <c r="L343" i="1" s="1"/>
  <c r="L338" i="1"/>
  <c r="L339" i="1"/>
  <c r="K343" i="1"/>
  <c r="L511" i="1"/>
  <c r="F539" i="1"/>
  <c r="L512" i="1"/>
  <c r="F540" i="1" s="1"/>
  <c r="L513" i="1"/>
  <c r="F541" i="1"/>
  <c r="L516" i="1"/>
  <c r="G539" i="1"/>
  <c r="L517" i="1"/>
  <c r="G540" i="1" s="1"/>
  <c r="L518" i="1"/>
  <c r="G541" i="1" s="1"/>
  <c r="K541" i="1" s="1"/>
  <c r="L521" i="1"/>
  <c r="H539" i="1"/>
  <c r="L522" i="1"/>
  <c r="H540" i="1" s="1"/>
  <c r="L523" i="1"/>
  <c r="H541" i="1"/>
  <c r="L526" i="1"/>
  <c r="I539" i="1"/>
  <c r="L527" i="1"/>
  <c r="I540" i="1" s="1"/>
  <c r="I542" i="1" s="1"/>
  <c r="L528" i="1"/>
  <c r="I541" i="1" s="1"/>
  <c r="L531" i="1"/>
  <c r="L534" i="1" s="1"/>
  <c r="J539" i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C19" i="2" s="1"/>
  <c r="D9" i="2"/>
  <c r="D19" i="2" s="1"/>
  <c r="E9" i="2"/>
  <c r="E19" i="2" s="1"/>
  <c r="F9" i="2"/>
  <c r="I431" i="1"/>
  <c r="J9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I438" i="1" s="1"/>
  <c r="G632" i="1" s="1"/>
  <c r="J12" i="1"/>
  <c r="G12" i="2"/>
  <c r="C13" i="2"/>
  <c r="D13" i="2"/>
  <c r="D14" i="2"/>
  <c r="D16" i="2"/>
  <c r="D17" i="2"/>
  <c r="D18" i="2"/>
  <c r="E13" i="2"/>
  <c r="F13" i="2"/>
  <c r="I434" i="1"/>
  <c r="J13" i="1"/>
  <c r="G13" i="2"/>
  <c r="C14" i="2"/>
  <c r="E14" i="2"/>
  <c r="F14" i="2"/>
  <c r="I435" i="1"/>
  <c r="J14" i="1"/>
  <c r="G14" i="2" s="1"/>
  <c r="F15" i="2"/>
  <c r="F16" i="2"/>
  <c r="F17" i="2"/>
  <c r="F18" i="2"/>
  <c r="F19" i="2"/>
  <c r="C16" i="2"/>
  <c r="E16" i="2"/>
  <c r="C17" i="2"/>
  <c r="E17" i="2"/>
  <c r="I436" i="1"/>
  <c r="J17" i="1"/>
  <c r="G17" i="2" s="1"/>
  <c r="C18" i="2"/>
  <c r="E18" i="2"/>
  <c r="I437" i="1"/>
  <c r="J18" i="1"/>
  <c r="G18" i="2"/>
  <c r="C22" i="2"/>
  <c r="D22" i="2"/>
  <c r="D32" i="2" s="1"/>
  <c r="E22" i="2"/>
  <c r="F22" i="2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F32" i="2"/>
  <c r="I443" i="1"/>
  <c r="J32" i="1" s="1"/>
  <c r="G31" i="2" s="1"/>
  <c r="E32" i="2"/>
  <c r="C34" i="2"/>
  <c r="D34" i="2"/>
  <c r="E34" i="2"/>
  <c r="F34" i="2"/>
  <c r="C35" i="2"/>
  <c r="D35" i="2"/>
  <c r="E35" i="2"/>
  <c r="E42" i="2" s="1"/>
  <c r="E43" i="2" s="1"/>
  <c r="F35" i="2"/>
  <c r="F42" i="2" s="1"/>
  <c r="F43" i="2" s="1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F40" i="2"/>
  <c r="I449" i="1"/>
  <c r="J41" i="1" s="1"/>
  <c r="G40" i="2" s="1"/>
  <c r="D41" i="2"/>
  <c r="E41" i="2"/>
  <c r="F41" i="2"/>
  <c r="E48" i="2"/>
  <c r="E55" i="2" s="1"/>
  <c r="F48" i="2"/>
  <c r="F55" i="2" s="1"/>
  <c r="C49" i="2"/>
  <c r="C50" i="2"/>
  <c r="C51" i="2"/>
  <c r="D51" i="2"/>
  <c r="D54" i="2" s="1"/>
  <c r="E51" i="2"/>
  <c r="F51" i="2"/>
  <c r="D52" i="2"/>
  <c r="D53" i="2"/>
  <c r="E53" i="2"/>
  <c r="F53" i="2"/>
  <c r="F54" i="2"/>
  <c r="C58" i="2"/>
  <c r="C59" i="2"/>
  <c r="C61" i="2"/>
  <c r="C62" i="2"/>
  <c r="D61" i="2"/>
  <c r="D62" i="2" s="1"/>
  <c r="E61" i="2"/>
  <c r="E62" i="2" s="1"/>
  <c r="F61" i="2"/>
  <c r="G61" i="2"/>
  <c r="G62" i="2" s="1"/>
  <c r="F62" i="2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F69" i="2"/>
  <c r="G69" i="2"/>
  <c r="E70" i="2"/>
  <c r="E73" i="2" s="1"/>
  <c r="G70" i="2"/>
  <c r="C71" i="2"/>
  <c r="D71" i="2"/>
  <c r="E71" i="2"/>
  <c r="C72" i="2"/>
  <c r="E72" i="2"/>
  <c r="C77" i="2"/>
  <c r="E77" i="2"/>
  <c r="C79" i="2"/>
  <c r="C83" i="2" s="1"/>
  <c r="E79" i="2"/>
  <c r="E83" i="2" s="1"/>
  <c r="F79" i="2"/>
  <c r="C80" i="2"/>
  <c r="D80" i="2"/>
  <c r="E80" i="2"/>
  <c r="E81" i="2"/>
  <c r="F80" i="2"/>
  <c r="C81" i="2"/>
  <c r="D81" i="2"/>
  <c r="F81" i="2"/>
  <c r="C82" i="2"/>
  <c r="C85" i="2"/>
  <c r="C95" i="2" s="1"/>
  <c r="F85" i="2"/>
  <c r="C86" i="2"/>
  <c r="F86" i="2"/>
  <c r="D88" i="2"/>
  <c r="D95" i="2" s="1"/>
  <c r="E88" i="2"/>
  <c r="F88" i="2"/>
  <c r="G88" i="2"/>
  <c r="C89" i="2"/>
  <c r="D89" i="2"/>
  <c r="E89" i="2"/>
  <c r="E95" i="2" s="1"/>
  <c r="F89" i="2"/>
  <c r="F95" i="2" s="1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C102" i="2"/>
  <c r="E104" i="2"/>
  <c r="C105" i="2"/>
  <c r="E105" i="2"/>
  <c r="C106" i="2"/>
  <c r="D107" i="2"/>
  <c r="F107" i="2"/>
  <c r="G107" i="2"/>
  <c r="C110" i="2"/>
  <c r="E110" i="2"/>
  <c r="E120" i="2" s="1"/>
  <c r="C111" i="2"/>
  <c r="E111" i="2"/>
  <c r="C112" i="2"/>
  <c r="E113" i="2"/>
  <c r="E114" i="2"/>
  <c r="E115" i="2"/>
  <c r="E116" i="2"/>
  <c r="C117" i="2"/>
  <c r="F120" i="2"/>
  <c r="F137" i="2" s="1"/>
  <c r="G120" i="2"/>
  <c r="G137" i="2" s="1"/>
  <c r="C122" i="2"/>
  <c r="E122" i="2"/>
  <c r="D126" i="2"/>
  <c r="D136" i="2" s="1"/>
  <c r="E126" i="2"/>
  <c r="F126" i="2"/>
  <c r="K411" i="1"/>
  <c r="K419" i="1"/>
  <c r="K425" i="1"/>
  <c r="L255" i="1"/>
  <c r="C127" i="2"/>
  <c r="E127" i="2"/>
  <c r="E136" i="2" s="1"/>
  <c r="L256" i="1"/>
  <c r="C128" i="2" s="1"/>
  <c r="L257" i="1"/>
  <c r="C129" i="2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G152" i="2" s="1"/>
  <c r="F152" i="2"/>
  <c r="F490" i="1"/>
  <c r="B153" i="2" s="1"/>
  <c r="G153" i="2" s="1"/>
  <c r="G490" i="1"/>
  <c r="C153" i="2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 s="1"/>
  <c r="G156" i="2" s="1"/>
  <c r="G493" i="1"/>
  <c r="C156" i="2"/>
  <c r="H493" i="1"/>
  <c r="D156" i="2" s="1"/>
  <c r="I493" i="1"/>
  <c r="E156" i="2"/>
  <c r="J493" i="1"/>
  <c r="F156" i="2"/>
  <c r="F19" i="1"/>
  <c r="F42" i="1" s="1"/>
  <c r="G19" i="1"/>
  <c r="G41" i="1" s="1"/>
  <c r="H19" i="1"/>
  <c r="H41" i="1"/>
  <c r="E40" i="2" s="1"/>
  <c r="I19" i="1"/>
  <c r="G610" i="1" s="1"/>
  <c r="F33" i="1"/>
  <c r="G33" i="1"/>
  <c r="H33" i="1"/>
  <c r="I33" i="1"/>
  <c r="I43" i="1"/>
  <c r="I44" i="1" s="1"/>
  <c r="H610" i="1" s="1"/>
  <c r="F169" i="1"/>
  <c r="I169" i="1"/>
  <c r="I184" i="1"/>
  <c r="F175" i="1"/>
  <c r="G175" i="1"/>
  <c r="H175" i="1"/>
  <c r="I175" i="1"/>
  <c r="J175" i="1"/>
  <c r="J184" i="1"/>
  <c r="F180" i="1"/>
  <c r="G180" i="1"/>
  <c r="H180" i="1"/>
  <c r="I180" i="1"/>
  <c r="G184" i="1"/>
  <c r="F203" i="1"/>
  <c r="G203" i="1"/>
  <c r="G249" i="1" s="1"/>
  <c r="G263" i="1" s="1"/>
  <c r="H203" i="1"/>
  <c r="H249" i="1" s="1"/>
  <c r="H263" i="1" s="1"/>
  <c r="I203" i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G282" i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J330" i="1" s="1"/>
  <c r="K329" i="1"/>
  <c r="K330" i="1"/>
  <c r="K344" i="1"/>
  <c r="F354" i="1"/>
  <c r="G354" i="1"/>
  <c r="H354" i="1"/>
  <c r="I354" i="1"/>
  <c r="G624" i="1" s="1"/>
  <c r="J354" i="1"/>
  <c r="K354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J633" i="1" s="1"/>
  <c r="G399" i="1"/>
  <c r="H399" i="1"/>
  <c r="I399" i="1"/>
  <c r="G400" i="1"/>
  <c r="H635" i="1" s="1"/>
  <c r="J635" i="1" s="1"/>
  <c r="L405" i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H425" i="1"/>
  <c r="H426" i="1" s="1"/>
  <c r="I425" i="1"/>
  <c r="J425" i="1"/>
  <c r="F438" i="1"/>
  <c r="G629" i="1" s="1"/>
  <c r="G438" i="1"/>
  <c r="G630" i="1" s="1"/>
  <c r="J630" i="1" s="1"/>
  <c r="H438" i="1"/>
  <c r="G631" i="1"/>
  <c r="J631" i="1" s="1"/>
  <c r="F444" i="1"/>
  <c r="G444" i="1"/>
  <c r="H444" i="1"/>
  <c r="H451" i="1" s="1"/>
  <c r="H631" i="1" s="1"/>
  <c r="F450" i="1"/>
  <c r="G450" i="1"/>
  <c r="H450" i="1"/>
  <c r="F451" i="1"/>
  <c r="H629" i="1" s="1"/>
  <c r="G451" i="1"/>
  <c r="H630" i="1"/>
  <c r="I460" i="1"/>
  <c r="I464" i="1"/>
  <c r="I466" i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K514" i="1"/>
  <c r="F519" i="1"/>
  <c r="F535" i="1" s="1"/>
  <c r="G519" i="1"/>
  <c r="H519" i="1"/>
  <c r="I519" i="1"/>
  <c r="J519" i="1"/>
  <c r="K519" i="1"/>
  <c r="L519" i="1"/>
  <c r="F524" i="1"/>
  <c r="G524" i="1"/>
  <c r="H524" i="1"/>
  <c r="I524" i="1"/>
  <c r="J524" i="1"/>
  <c r="J535" i="1" s="1"/>
  <c r="K524" i="1"/>
  <c r="K535" i="1" s="1"/>
  <c r="L524" i="1"/>
  <c r="F529" i="1"/>
  <c r="G529" i="1"/>
  <c r="H529" i="1"/>
  <c r="I529" i="1"/>
  <c r="J529" i="1"/>
  <c r="K529" i="1"/>
  <c r="L529" i="1"/>
  <c r="F534" i="1"/>
  <c r="G534" i="1"/>
  <c r="H534" i="1"/>
  <c r="H535" i="1" s="1"/>
  <c r="I534" i="1"/>
  <c r="I535" i="1" s="1"/>
  <c r="J534" i="1"/>
  <c r="K534" i="1"/>
  <c r="L547" i="1"/>
  <c r="L548" i="1"/>
  <c r="L549" i="1"/>
  <c r="F550" i="1"/>
  <c r="G550" i="1"/>
  <c r="H550" i="1"/>
  <c r="I550" i="1"/>
  <c r="J550" i="1"/>
  <c r="J561" i="1" s="1"/>
  <c r="K550" i="1"/>
  <c r="K561" i="1" s="1"/>
  <c r="L552" i="1"/>
  <c r="L553" i="1"/>
  <c r="L554" i="1"/>
  <c r="F555" i="1"/>
  <c r="F561" i="1"/>
  <c r="G555" i="1"/>
  <c r="G561" i="1" s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/>
  <c r="K592" i="1"/>
  <c r="K595" i="1" s="1"/>
  <c r="G638" i="1" s="1"/>
  <c r="K593" i="1"/>
  <c r="F604" i="1"/>
  <c r="G604" i="1"/>
  <c r="H604" i="1"/>
  <c r="I604" i="1"/>
  <c r="J604" i="1"/>
  <c r="K604" i="1"/>
  <c r="L604" i="1"/>
  <c r="G608" i="1"/>
  <c r="H620" i="1"/>
  <c r="H626" i="1"/>
  <c r="H628" i="1"/>
  <c r="G633" i="1"/>
  <c r="G634" i="1"/>
  <c r="G642" i="1"/>
  <c r="J642" i="1" s="1"/>
  <c r="H642" i="1"/>
  <c r="G643" i="1"/>
  <c r="H643" i="1"/>
  <c r="G644" i="1"/>
  <c r="H644" i="1"/>
  <c r="J644" i="1"/>
  <c r="G645" i="1"/>
  <c r="H645" i="1"/>
  <c r="J645" i="1"/>
  <c r="G609" i="1"/>
  <c r="G31" i="13"/>
  <c r="G33" i="13"/>
  <c r="F31" i="13"/>
  <c r="L393" i="1"/>
  <c r="C131" i="2" s="1"/>
  <c r="F22" i="13"/>
  <c r="C22" i="13" s="1"/>
  <c r="E8" i="13"/>
  <c r="C8" i="13"/>
  <c r="J249" i="1"/>
  <c r="J263" i="1" s="1"/>
  <c r="C115" i="2"/>
  <c r="A22" i="12"/>
  <c r="J643" i="1"/>
  <c r="L555" i="1"/>
  <c r="L248" i="1"/>
  <c r="I249" i="1"/>
  <c r="I263" i="1" s="1"/>
  <c r="H184" i="1"/>
  <c r="F184" i="1"/>
  <c r="I161" i="1"/>
  <c r="A31" i="12"/>
  <c r="A40" i="12"/>
  <c r="H25" i="13"/>
  <c r="C25" i="13"/>
  <c r="I561" i="1"/>
  <c r="L550" i="1"/>
  <c r="L425" i="1"/>
  <c r="L411" i="1"/>
  <c r="G330" i="1"/>
  <c r="G344" i="1"/>
  <c r="K426" i="1"/>
  <c r="G126" i="2"/>
  <c r="G136" i="2"/>
  <c r="I132" i="1"/>
  <c r="I104" i="1"/>
  <c r="C35" i="10"/>
  <c r="G54" i="2"/>
  <c r="G55" i="2" s="1"/>
  <c r="L282" i="1"/>
  <c r="D31" i="13" s="1"/>
  <c r="C31" i="13" s="1"/>
  <c r="D18" i="13"/>
  <c r="C18" i="13"/>
  <c r="G151" i="2"/>
  <c r="G149" i="2"/>
  <c r="D19" i="13"/>
  <c r="C19" i="13"/>
  <c r="D17" i="13"/>
  <c r="C17" i="13"/>
  <c r="D14" i="13"/>
  <c r="C14" i="13" s="1"/>
  <c r="D7" i="13"/>
  <c r="C7" i="13"/>
  <c r="H33" i="13"/>
  <c r="I185" i="1"/>
  <c r="G620" i="1"/>
  <c r="J620" i="1" s="1"/>
  <c r="G635" i="1"/>
  <c r="H43" i="1"/>
  <c r="G614" i="1" s="1"/>
  <c r="H44" i="1"/>
  <c r="H609" i="1" s="1"/>
  <c r="J609" i="1" s="1"/>
  <c r="H542" i="1" l="1"/>
  <c r="G36" i="2"/>
  <c r="G42" i="2" s="1"/>
  <c r="G43" i="2" s="1"/>
  <c r="J43" i="1"/>
  <c r="L400" i="1"/>
  <c r="C130" i="2"/>
  <c r="C133" i="2" s="1"/>
  <c r="G636" i="1"/>
  <c r="J458" i="1"/>
  <c r="G621" i="1"/>
  <c r="J542" i="1"/>
  <c r="G542" i="1"/>
  <c r="J629" i="1"/>
  <c r="J33" i="1"/>
  <c r="G22" i="2"/>
  <c r="G32" i="2" s="1"/>
  <c r="F185" i="1"/>
  <c r="G185" i="1"/>
  <c r="G654" i="1"/>
  <c r="J344" i="1"/>
  <c r="H638" i="1"/>
  <c r="J638" i="1" s="1"/>
  <c r="J610" i="1"/>
  <c r="G625" i="1"/>
  <c r="G462" i="1"/>
  <c r="C27" i="10"/>
  <c r="C54" i="2"/>
  <c r="C55" i="2" s="1"/>
  <c r="C96" i="2" s="1"/>
  <c r="J632" i="1"/>
  <c r="G9" i="2"/>
  <c r="G19" i="2" s="1"/>
  <c r="J19" i="1"/>
  <c r="G611" i="1" s="1"/>
  <c r="G73" i="2"/>
  <c r="G96" i="2" s="1"/>
  <c r="F96" i="2"/>
  <c r="K540" i="1"/>
  <c r="I652" i="1"/>
  <c r="C5" i="13"/>
  <c r="L426" i="1"/>
  <c r="G628" i="1" s="1"/>
  <c r="J628" i="1" s="1"/>
  <c r="J634" i="1"/>
  <c r="D40" i="2"/>
  <c r="D42" i="2" s="1"/>
  <c r="D43" i="2" s="1"/>
  <c r="G43" i="1"/>
  <c r="E96" i="2"/>
  <c r="F542" i="1"/>
  <c r="L561" i="1"/>
  <c r="C41" i="2"/>
  <c r="C42" i="2" s="1"/>
  <c r="C43" i="2" s="1"/>
  <c r="F43" i="1"/>
  <c r="C39" i="10"/>
  <c r="D55" i="2"/>
  <c r="D96" i="2" s="1"/>
  <c r="F33" i="13"/>
  <c r="L330" i="1"/>
  <c r="L203" i="1"/>
  <c r="E106" i="2"/>
  <c r="E107" i="2" s="1"/>
  <c r="E137" i="2" s="1"/>
  <c r="F651" i="1"/>
  <c r="I651" i="1" s="1"/>
  <c r="G653" i="1"/>
  <c r="I653" i="1" s="1"/>
  <c r="I450" i="1"/>
  <c r="C53" i="2"/>
  <c r="L239" i="1"/>
  <c r="H650" i="1" s="1"/>
  <c r="H654" i="1" s="1"/>
  <c r="C114" i="2"/>
  <c r="K493" i="1"/>
  <c r="C101" i="2"/>
  <c r="C107" i="2" s="1"/>
  <c r="G651" i="1"/>
  <c r="D29" i="13"/>
  <c r="C29" i="13" s="1"/>
  <c r="K490" i="1"/>
  <c r="C11" i="10"/>
  <c r="C28" i="10" s="1"/>
  <c r="H104" i="1"/>
  <c r="H185" i="1" s="1"/>
  <c r="L514" i="1"/>
  <c r="L535" i="1" s="1"/>
  <c r="C113" i="2"/>
  <c r="C13" i="10"/>
  <c r="G360" i="1"/>
  <c r="I360" i="1" s="1"/>
  <c r="I361" i="1" s="1"/>
  <c r="H624" i="1" s="1"/>
  <c r="J624" i="1" s="1"/>
  <c r="K539" i="1"/>
  <c r="K542" i="1" s="1"/>
  <c r="C29" i="10"/>
  <c r="G607" i="1"/>
  <c r="D119" i="2"/>
  <c r="D120" i="2" s="1"/>
  <c r="D137" i="2" s="1"/>
  <c r="D77" i="2"/>
  <c r="D83" i="2" s="1"/>
  <c r="D12" i="13"/>
  <c r="C12" i="13" s="1"/>
  <c r="G641" i="1"/>
  <c r="J641" i="1" s="1"/>
  <c r="G615" i="1"/>
  <c r="J615" i="1" s="1"/>
  <c r="I444" i="1"/>
  <c r="I451" i="1" s="1"/>
  <c r="H632" i="1" s="1"/>
  <c r="C134" i="2"/>
  <c r="C136" i="2" s="1"/>
  <c r="C21" i="10"/>
  <c r="D15" i="13"/>
  <c r="C15" i="13" s="1"/>
  <c r="G640" i="1"/>
  <c r="J640" i="1" s="1"/>
  <c r="E13" i="13"/>
  <c r="G639" i="1"/>
  <c r="J639" i="1" s="1"/>
  <c r="H595" i="1"/>
  <c r="L374" i="1"/>
  <c r="G626" i="1" s="1"/>
  <c r="J626" i="1" s="1"/>
  <c r="F361" i="1"/>
  <c r="C116" i="2"/>
  <c r="H637" i="1"/>
  <c r="J637" i="1" s="1"/>
  <c r="C30" i="10" l="1"/>
  <c r="D22" i="10"/>
  <c r="D20" i="10"/>
  <c r="D23" i="10"/>
  <c r="D25" i="10"/>
  <c r="D17" i="10"/>
  <c r="D12" i="10"/>
  <c r="D18" i="10"/>
  <c r="D26" i="10"/>
  <c r="D24" i="10"/>
  <c r="D16" i="10"/>
  <c r="D19" i="10"/>
  <c r="D10" i="10"/>
  <c r="D15" i="10"/>
  <c r="H621" i="1"/>
  <c r="H627" i="1"/>
  <c r="J460" i="1"/>
  <c r="J466" i="1" s="1"/>
  <c r="H616" i="1" s="1"/>
  <c r="C13" i="13"/>
  <c r="E33" i="13"/>
  <c r="D35" i="13" s="1"/>
  <c r="L344" i="1"/>
  <c r="G623" i="1" s="1"/>
  <c r="H462" i="1"/>
  <c r="J611" i="1"/>
  <c r="G361" i="1"/>
  <c r="J607" i="1"/>
  <c r="G613" i="1"/>
  <c r="G44" i="1"/>
  <c r="H608" i="1" s="1"/>
  <c r="J608" i="1" s="1"/>
  <c r="H636" i="1"/>
  <c r="G627" i="1"/>
  <c r="D13" i="10"/>
  <c r="H662" i="1"/>
  <c r="C6" i="10" s="1"/>
  <c r="H657" i="1"/>
  <c r="G662" i="1"/>
  <c r="C5" i="10" s="1"/>
  <c r="G657" i="1"/>
  <c r="C120" i="2"/>
  <c r="C137" i="2" s="1"/>
  <c r="D33" i="13"/>
  <c r="D36" i="13" s="1"/>
  <c r="C36" i="10"/>
  <c r="J44" i="1"/>
  <c r="H611" i="1" s="1"/>
  <c r="G616" i="1"/>
  <c r="J616" i="1" s="1"/>
  <c r="G612" i="1"/>
  <c r="F44" i="1"/>
  <c r="H607" i="1" s="1"/>
  <c r="G458" i="1"/>
  <c r="G618" i="1"/>
  <c r="G619" i="1"/>
  <c r="H458" i="1"/>
  <c r="D11" i="10"/>
  <c r="D27" i="10"/>
  <c r="J621" i="1"/>
  <c r="G464" i="1"/>
  <c r="H625" i="1"/>
  <c r="D21" i="10"/>
  <c r="G617" i="1"/>
  <c r="F458" i="1"/>
  <c r="L249" i="1"/>
  <c r="L263" i="1" s="1"/>
  <c r="F650" i="1"/>
  <c r="J625" i="1"/>
  <c r="J636" i="1"/>
  <c r="H460" i="1" l="1"/>
  <c r="H619" i="1"/>
  <c r="I650" i="1"/>
  <c r="I654" i="1" s="1"/>
  <c r="F654" i="1"/>
  <c r="G622" i="1"/>
  <c r="F462" i="1"/>
  <c r="J623" i="1"/>
  <c r="F460" i="1"/>
  <c r="H617" i="1"/>
  <c r="J617" i="1" s="1"/>
  <c r="G460" i="1"/>
  <c r="G466" i="1" s="1"/>
  <c r="H613" i="1" s="1"/>
  <c r="J613" i="1" s="1"/>
  <c r="H618" i="1"/>
  <c r="J618" i="1" s="1"/>
  <c r="H464" i="1"/>
  <c r="H623" i="1"/>
  <c r="J627" i="1"/>
  <c r="C41" i="10"/>
  <c r="D36" i="10" s="1"/>
  <c r="J619" i="1"/>
  <c r="D28" i="10"/>
  <c r="F464" i="1" l="1"/>
  <c r="F466" i="1" s="1"/>
  <c r="H612" i="1" s="1"/>
  <c r="H622" i="1"/>
  <c r="J622" i="1" s="1"/>
  <c r="D40" i="10"/>
  <c r="D37" i="10"/>
  <c r="D35" i="10"/>
  <c r="D38" i="10"/>
  <c r="D39" i="10"/>
  <c r="F662" i="1"/>
  <c r="C4" i="10" s="1"/>
  <c r="F657" i="1"/>
  <c r="I662" i="1"/>
  <c r="C7" i="10" s="1"/>
  <c r="I657" i="1"/>
  <c r="H466" i="1"/>
  <c r="H614" i="1" s="1"/>
  <c r="J614" i="1" s="1"/>
  <c r="J612" i="1" l="1"/>
  <c r="H646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59B636B-2905-40F0-B320-9A644045F842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DAFD77A-D337-4CB7-9D23-876A0DBD4027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2118A69-21AE-488F-B3AB-BCF81B287FD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EA5258F-5064-4A52-8047-4E095AE29A2E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5D48F4CF-C494-43E5-A507-CFB555990D9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80CCA65-95E9-4DDA-BEC0-D99911703F10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092C1851-BB8A-4CAB-89A1-76EFAF222C07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435355BB-D132-4EDC-B4F5-5E8BDB538C20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A3BAFF21-404E-440B-B947-7C7E4BE2C28C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A93D294-CB46-4624-8036-76B75CD8517A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BF6E580-20A0-415D-B0AC-8617BCFCB1E9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FA82EFA-F637-4DEA-873D-C17B41BAE065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<sst xmlns="http://schemas.openxmlformats.org/spreadsheetml/2006/main" count="3860" uniqueCount="897">
  <si>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</si>
  <si>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</si>
  <si>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</si>
  <si>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</si>
  <si>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</si>
  <si>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</si>
  <si>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</si>
  <si>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</si>
  <si>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</si>
  <si>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</si>
  <si>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</si>
  <si>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</si>
  <si>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</si>
  <si>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</si>
  <si>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</si>
  <si>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</si>
  <si>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</si>
  <si>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</si>
  <si>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</si>
  <si>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</si>
  <si>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</si>
  <si>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</si>
  <si>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</si>
  <si>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</si>
  <si>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</si>
  <si>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</si>
  <si>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</si>
  <si>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</si>
  <si>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</si>
  <si>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</si>
  <si>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</si>
  <si>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</si>
  <si>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</si>
  <si>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</si>
  <si>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</si>
  <si>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</si>
  <si>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</si>
  <si>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</si>
  <si>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</si>
  <si>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</si>
  <si>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</si>
  <si>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</si>
  <si>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</si>
  <si>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</si>
  <si>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</si>
  <si>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</si>
  <si>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</si>
  <si>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</si>
  <si>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</si>
  <si>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</si>
  <si>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</si>
  <si>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</si>
  <si>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</si>
  <si>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</si>
  <si>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</si>
  <si>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</si>
  <si>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</si>
  <si>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</si>
  <si>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</si>
  <si>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</si>
  <si>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</si>
  <si>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</si>
  <si>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</si>
  <si>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</si>
  <si>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</si>
  <si>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</si>
  <si>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</si>
  <si>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</si>
  <si>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</si>
  <si>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</si>
  <si>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</si>
  <si>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</si>
  <si>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</si>
  <si>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</si>
  <si>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</si>
  <si>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</si>
  <si>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</si>
  <si>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</si>
  <si>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</si>
  <si>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</si>
  <si>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</si>
  <si>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</si>
  <si>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</si>
  <si>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</si>
  <si>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</si>
  <si>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</si>
  <si>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</si>
  <si>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</si>
  <si>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</si>
  <si>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</si>
  <si>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</si>
  <si>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</si>
  <si>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</si>
  <si>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</si>
  <si>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</si>
  <si>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</si>
  <si>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</si>
  <si>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</si>
  <si>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</si>
  <si>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</si>
  <si>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</si>
  <si>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</si>
  <si>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</si>
  <si>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</si>
  <si>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</si>
  <si>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</si>
  <si>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</si>
  <si>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</si>
  <si>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</si>
  <si>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</si>
  <si>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</si>
  <si>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</si>
  <si>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</si>
  <si>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</si>
  <si>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</si>
  <si>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</si>
  <si>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</si>
  <si>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</si>
  <si>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</si>
  <si>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</si>
  <si>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</si>
  <si>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</si>
  <si>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</si>
  <si>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</si>
  <si>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</si>
  <si>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</si>
  <si>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</si>
  <si>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</si>
  <si>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</si>
  <si>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</si>
  <si>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</si>
  <si>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</si>
  <si>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</si>
  <si>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</si>
  <si>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</si>
  <si>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</si>
  <si>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</si>
  <si>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</si>
  <si>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</si>
  <si>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</si>
  <si>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</si>
  <si>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</si>
  <si>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</si>
  <si>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</si>
  <si>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</si>
  <si>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</si>
  <si>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</si>
  <si>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</si>
  <si>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</si>
  <si>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</si>
  <si>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</si>
  <si>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</si>
  <si>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</si>
  <si>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</si>
  <si>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</si>
  <si>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</si>
  <si>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</si>
  <si>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</si>
  <si>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</si>
  <si>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</si>
  <si>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</si>
  <si>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</si>
  <si>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</si>
  <si>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</si>
  <si>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</si>
  <si>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</si>
  <si>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</si>
  <si>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</si>
  <si>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</si>
  <si>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</si>
  <si>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</si>
  <si>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</si>
  <si>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</si>
  <si>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</si>
  <si>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</si>
  <si>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</si>
  <si>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</si>
  <si>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</si>
  <si>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</si>
  <si>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</si>
  <si>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</si>
  <si>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</si>
  <si>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</si>
  <si>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</si>
  <si>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</si>
  <si>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</si>
  <si>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</si>
  <si>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</si>
  <si>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</si>
  <si>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</si>
  <si>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</si>
  <si>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</si>
  <si>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</si>
  <si>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</si>
  <si>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</si>
  <si>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</si>
  <si>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</si>
  <si>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</si>
  <si>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</si>
  <si>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</si>
  <si>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</si>
  <si>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</si>
  <si>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</si>
  <si>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</si>
  <si>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</si>
  <si>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</si>
  <si>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</si>
  <si>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</si>
  <si>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</si>
  <si>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</si>
  <si>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</si>
  <si>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</si>
  <si>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</si>
  <si>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</si>
  <si>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</si>
  <si>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</si>
  <si>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</si>
  <si>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</si>
  <si>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</si>
  <si>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</si>
  <si>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</si>
  <si>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</si>
  <si>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</si>
  <si>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</si>
  <si>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</si>
  <si>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</si>
  <si>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</si>
  <si>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</si>
  <si>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</si>
  <si>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</si>
  <si>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</si>
  <si>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</si>
  <si>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</si>
  <si>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</si>
  <si>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</si>
  <si>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</si>
  <si>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</si>
  <si>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</si>
  <si>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</si>
  <si>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</si>
  <si>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</si>
  <si>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</si>
  <si>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</si>
  <si>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</si>
  <si>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</si>
  <si>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</si>
  <si>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</si>
  <si>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</si>
  <si>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</si>
  <si>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</si>
  <si>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</si>
  <si>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</si>
  <si>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</si>
  <si>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</si>
  <si>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</si>
  <si>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</si>
  <si>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</si>
  <si>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</si>
  <si>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</si>
  <si>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</si>
  <si>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</si>
  <si>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</si>
  <si>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</si>
  <si>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</si>
  <si>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</si>
  <si>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</si>
  <si>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</si>
  <si>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</si>
  <si>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</si>
  <si>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</si>
  <si>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</si>
  <si>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</si>
  <si>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</si>
  <si>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</si>
  <si>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</si>
  <si>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</si>
  <si>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</si>
  <si>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</si>
  <si>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</si>
  <si>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</si>
  <si>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</si>
  <si>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</si>
  <si>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</si>
  <si>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</si>
  <si>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</si>
  <si>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</si>
  <si>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</si>
  <si>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</si>
  <si>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</si>
  <si>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</si>
  <si>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</si>
  <si>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</si>
  <si>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</si>
  <si>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</si>
  <si>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</si>
  <si>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</si>
  <si>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</si>
  <si>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</si>
  <si>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</si>
  <si>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</si>
  <si>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</si>
  <si>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</si>
  <si>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</si>
  <si>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</si>
  <si>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</si>
  <si>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</si>
  <si>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</si>
  <si>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</si>
  <si>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</si>
  <si>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</si>
  <si>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</si>
  <si>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</si>
  <si>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</si>
  <si>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</si>
  <si>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</si>
  <si>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</si>
  <si>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</si>
  <si>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</si>
  <si>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</si>
  <si>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</si>
  <si>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</si>
  <si>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</si>
  <si>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</si>
  <si>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</si>
  <si>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</si>
  <si>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</si>
  <si>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</si>
  <si>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</si>
  <si>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</si>
  <si>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</si>
  <si>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</si>
  <si>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</si>
  <si>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</si>
  <si>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</si>
  <si>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</si>
  <si>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</si>
  <si>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</si>
  <si>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</si>
  <si>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</si>
  <si>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</si>
  <si>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</si>
  <si>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</si>
  <si>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</si>
  <si>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</si>
  <si>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</si>
  <si>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</si>
  <si>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</si>
  <si>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</si>
  <si>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</si>
  <si>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</si>
  <si>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</si>
  <si>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</si>
  <si>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</si>
  <si>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</si>
  <si>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</si>
  <si>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</si>
  <si>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</si>
  <si>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</si>
  <si>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</si>
  <si>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</si>
  <si>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</si>
  <si>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</si>
  <si>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</si>
  <si>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</si>
  <si>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</si>
  <si>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</si>
  <si>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</si>
  <si>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</si>
  <si>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</si>
  <si>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</si>
  <si>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</si>
  <si>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</si>
  <si>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</si>
  <si>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</si>
  <si>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</si>
  <si>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</si>
  <si>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</si>
  <si>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</si>
  <si>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</si>
  <si>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</si>
  <si>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</si>
  <si>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</si>
  <si>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</si>
  <si>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</si>
  <si>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</si>
  <si>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</si>
  <si>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</si>
  <si>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</si>
  <si>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</si>
  <si>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</si>
  <si>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</si>
  <si>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</si>
  <si>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</si>
  <si>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</si>
  <si>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</si>
  <si>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</si>
  <si>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</si>
  <si>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</si>
  <si>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</si>
  <si>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</si>
  <si>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</si>
  <si>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</si>
  <si>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</si>
  <si>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</si>
  <si>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</si>
  <si>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</si>
  <si>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</si>
  <si>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</si>
  <si>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</si>
  <si>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</si>
  <si>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</si>
  <si>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</si>
  <si>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</si>
  <si>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</si>
  <si>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</si>
  <si>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</si>
  <si>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</si>
  <si>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</si>
  <si>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</si>
  <si>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</si>
  <si>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</si>
  <si>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</si>
  <si>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</si>
  <si>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</si>
  <si>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</si>
  <si>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</si>
  <si>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</si>
  <si>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</si>
  <si>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</si>
  <si>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</si>
  <si>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</si>
  <si>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</si>
  <si>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</si>
  <si>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</si>
  <si>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</si>
  <si>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</si>
  <si>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</si>
  <si>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</si>
  <si>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</si>
  <si>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</si>
  <si>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</si>
  <si>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</si>
  <si>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</si>
  <si>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</si>
  <si>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</si>
  <si>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</si>
  <si>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</si>
  <si>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</si>
  <si>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</si>
  <si>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</si>
  <si>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</si>
  <si>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</si>
  <si>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</si>
  <si>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</si>
  <si>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</si>
  <si>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</si>
  <si>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</si>
  <si>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</si>
  <si>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</si>
  <si>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</si>
  <si>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</si>
  <si>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</si>
  <si>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</si>
  <si>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</si>
  <si>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</si>
  <si>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</si>
  <si>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</si>
  <si>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</si>
  <si>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</si>
  <si>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</si>
  <si>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</si>
  <si>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</si>
  <si>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</si>
  <si>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</si>
  <si>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</si>
  <si>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</si>
  <si>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</si>
  <si>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</si>
  <si>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</si>
  <si>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</si>
  <si>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</si>
  <si>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</si>
  <si>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</si>
  <si>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</si>
  <si>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</si>
  <si>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</si>
  <si>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</si>
  <si>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</si>
  <si>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</si>
  <si>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</si>
  <si>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</si>
  <si>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</si>
  <si>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</si>
  <si>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</si>
  <si>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</si>
  <si>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</si>
  <si>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</si>
  <si>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</si>
  <si>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</si>
  <si>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</si>
  <si>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</si>
  <si>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</si>
  <si>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</si>
  <si>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</si>
  <si>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</si>
  <si>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</si>
  <si>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</si>
  <si>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</si>
  <si>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</si>
  <si>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</si>
  <si>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</si>
  <si>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</si>
  <si>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</si>
  <si>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</si>
  <si>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</si>
  <si>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</si>
  <si>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</si>
  <si>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</si>
  <si>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</si>
  <si>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</si>
  <si>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</si>
  <si>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</si>
  <si>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</si>
  <si>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</si>
  <si>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</si>
  <si>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</si>
  <si>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</si>
  <si>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</si>
  <si>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</si>
  <si>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</si>
  <si>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</si>
  <si>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</si>
  <si>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</si>
  <si>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</si>
  <si>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</si>
  <si>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</si>
  <si>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</si>
  <si>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</si>
  <si>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</si>
  <si>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</si>
  <si>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</si>
  <si>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</si>
  <si>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</si>
  <si>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</si>
  <si>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</si>
  <si>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</si>
  <si>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</si>
  <si>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</si>
  <si>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</si>
  <si>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</si>
  <si>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</si>
  <si>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</si>
  <si>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</si>
  <si>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</si>
  <si>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</si>
  <si>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</si>
  <si>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</si>
  <si>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</si>
  <si>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</si>
  <si>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</si>
  <si>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</si>
  <si>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</si>
  <si>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</si>
  <si>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</si>
  <si>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</si>
  <si>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</si>
  <si>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</si>
  <si>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</si>
  <si>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</si>
  <si>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</si>
  <si>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</si>
  <si>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</si>
  <si>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</si>
  <si>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</si>
  <si>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</si>
  <si>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</si>
  <si>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</si>
  <si>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</si>
  <si>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</si>
  <si>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</si>
  <si>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</si>
  <si>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</si>
  <si>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</si>
  <si>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</si>
  <si>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</si>
  <si>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</si>
  <si>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</si>
  <si>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</si>
  <si>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</si>
  <si>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</si>
  <si>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</si>
  <si>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</si>
  <si>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</si>
  <si>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</si>
  <si>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</si>
  <si>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</si>
  <si>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</si>
  <si>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</si>
  <si>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</si>
  <si>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</si>
  <si>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</si>
  <si>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</si>
  <si>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</si>
  <si>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</si>
  <si>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</si>
  <si>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</si>
  <si>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</si>
  <si>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</si>
  <si>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</si>
  <si>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</si>
  <si>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</si>
  <si>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</si>
  <si>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</si>
  <si>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</si>
  <si>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</si>
  <si>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</si>
  <si>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</si>
  <si>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</si>
  <si>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</si>
  <si>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</si>
  <si>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</si>
  <si>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</si>
  <si>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</si>
  <si>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</si>
  <si>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</si>
  <si>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</si>
  <si>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</si>
  <si>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</si>
  <si>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</si>
  <si>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</si>
  <si>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</si>
  <si>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</si>
  <si>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</si>
  <si>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</si>
  <si>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</si>
  <si>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</si>
  <si>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</si>
  <si>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</si>
  <si>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</si>
  <si>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</si>
  <si>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</si>
  <si>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</si>
  <si>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</si>
  <si>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</si>
  <si>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</si>
  <si>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</si>
  <si>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</si>
  <si>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</si>
  <si>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</si>
  <si>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</si>
  <si>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</si>
  <si>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</si>
  <si>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</si>
  <si>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</si>
  <si>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</si>
  <si>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</si>
  <si>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</si>
  <si>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</si>
  <si>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</si>
  <si>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</si>
  <si>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</si>
  <si>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</si>
  <si>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</si>
  <si>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</si>
  <si>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</si>
  <si>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</si>
  <si>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</si>
  <si>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</si>
  <si>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</si>
  <si>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</si>
  <si>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</si>
  <si>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</si>
  <si>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</si>
  <si>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</si>
  <si>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</si>
  <si>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</si>
  <si>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</si>
  <si>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</si>
  <si>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</si>
  <si>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</si>
  <si>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</si>
  <si>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</si>
  <si>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</si>
  <si>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</si>
  <si>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</si>
  <si>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</si>
  <si>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</si>
  <si>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</si>
  <si>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</si>
  <si>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</si>
  <si>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</si>
  <si>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</si>
  <si>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</si>
  <si>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</si>
  <si>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</si>
  <si>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</si>
  <si>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</si>
  <si>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</si>
  <si>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</si>
  <si>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</si>
  <si>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</si>
  <si>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</si>
  <si>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</si>
  <si>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</si>
  <si>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</si>
  <si>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</si>
  <si>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</si>
  <si>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</si>
  <si>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</si>
  <si>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</si>
  <si>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</si>
  <si>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</si>
  <si>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</si>
  <si>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</si>
  <si>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</si>
  <si>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</si>
  <si>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</si>
  <si>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</si>
  <si>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</si>
  <si>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</si>
  <si>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</si>
  <si>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</si>
  <si>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</si>
  <si>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</si>
  <si>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</si>
  <si>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</si>
  <si>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</si>
  <si>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</si>
  <si>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</si>
  <si>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</si>
  <si>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</si>
  <si>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</si>
  <si>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</si>
  <si>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</si>
  <si>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</si>
  <si>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</si>
  <si>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</si>
  <si>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</si>
  <si>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</si>
  <si>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</si>
  <si>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</si>
  <si>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</si>
  <si>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</si>
  <si>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</si>
  <si>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</si>
  <si>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</si>
  <si>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</si>
  <si>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</si>
  <si>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</si>
  <si>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</si>
  <si>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</si>
  <si>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</si>
  <si>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</si>
  <si>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</si>
  <si>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</si>
  <si>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</si>
  <si>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</si>
  <si>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</si>
  <si>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</si>
  <si>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</si>
  <si>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</si>
  <si>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</si>
  <si>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</si>
  <si>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</si>
  <si>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</si>
  <si>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</si>
  <si>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</si>
  <si>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</si>
  <si>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</si>
  <si>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</si>
  <si>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</si>
  <si>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</si>
  <si>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</si>
  <si>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</si>
  <si>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</si>
  <si>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</si>
  <si>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</si>
  <si>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</si>
  <si>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</si>
  <si>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</si>
  <si>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</si>
  <si>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</si>
  <si>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</si>
  <si>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</si>
  <si>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</si>
  <si>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</si>
  <si>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</si>
  <si>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</si>
  <si>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</si>
  <si>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</si>
  <si>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</si>
  <si>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</si>
  <si>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</si>
  <si>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</si>
  <si>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</si>
  <si>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</si>
  <si>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</si>
  <si>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</si>
  <si>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</si>
  <si>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</si>
  <si>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</si>
  <si>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</si>
  <si>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</si>
  <si>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</si>
  <si>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</si>
  <si>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</si>
  <si>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</si>
  <si>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</si>
  <si>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</si>
  <si>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</si>
  <si>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</si>
  <si>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</si>
  <si>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</si>
  <si>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</si>
  <si>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</si>
  <si>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</si>
  <si>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</si>
  <si>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</si>
  <si>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</si>
  <si>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</si>
  <si>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</si>
  <si>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</si>
  <si>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</si>
  <si>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</si>
  <si>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</si>
  <si>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</si>
  <si>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</si>
  <si>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</si>
  <si>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</si>
  <si>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</si>
  <si>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</si>
  <si>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</si>
  <si>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</si>
  <si>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</si>
  <si>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</si>
  <si>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</si>
  <si>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</si>
  <si>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</si>
  <si>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</si>
  <si>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</si>
  <si>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</si>
  <si>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</si>
  <si>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</si>
  <si>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</si>
  <si>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</si>
  <si>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</si>
  <si>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</si>
  <si>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</si>
  <si>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</si>
  <si>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</si>
  <si>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</si>
  <si>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</si>
  <si>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</si>
  <si>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</si>
  <si>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</si>
  <si>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</si>
  <si>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</si>
  <si>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</si>
  <si>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</si>
  <si>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</si>
  <si>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</si>
  <si>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</si>
  <si>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</si>
  <si>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</si>
  <si>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</si>
  <si>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</si>
  <si>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</si>
  <si>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</si>
  <si>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</si>
  <si>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</si>
  <si>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</si>
  <si>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</si>
  <si>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</si>
  <si>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</si>
  <si>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</si>
  <si>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</si>
  <si>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</si>
  <si>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</si>
  <si>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</si>
  <si>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</si>
  <si>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</si>
  <si>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</si>
  <si>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</si>
  <si>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</si>
  <si>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</si>
  <si>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</si>
  <si>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</si>
  <si>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</si>
  <si>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</si>
  <si>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</si>
  <si>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</si>
  <si>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</si>
  <si>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</si>
  <si>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</si>
  <si>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07/02</t>
  </si>
  <si>
    <t>07/24</t>
  </si>
  <si>
    <t>Hillsboro-Deering Coop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</si>
</sst>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6555-80BB-47BA-ADE0-BBF24AC91A1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251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1116464+350</f>
        <v>1116814</v>
      </c>
      <c r="G9" s="18"/>
      <c r="H9" s="18"/>
      <c r="I9" s="18"/>
      <c r="J9" s="67">
        <f>SUM(I431)</f>
        <v>307037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166665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275772+205022</f>
        <v>480794</v>
      </c>
      <c r="G13" s="4">
        <v>13296</v>
      </c>
      <c r="H13" s="18">
        <f>212398</f>
        <v>212398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578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f>7447+3506</f>
        <v>10953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1764851</v>
      </c>
      <c r="G19" s="41">
        <f>SUM(G9:G18)</f>
        <v>24249</v>
      </c>
      <c r="H19" s="41">
        <f>SUM(H9:H18)</f>
        <v>212398</v>
      </c>
      <c r="I19" s="41">
        <f>SUM(I9:I18)</f>
        <v>0</v>
      </c>
      <c r="J19" s="41">
        <f>SUM(J9:J18)</f>
        <v>307037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159992</f>
        <v>159992</v>
      </c>
      <c r="G23" s="4">
        <f>32252-17432</f>
        <v>14820</v>
      </c>
      <c r="H23" s="18">
        <f>152907-57067</f>
        <v>95840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46409</v>
      </c>
      <c r="G31" s="18"/>
      <c r="H31" s="18">
        <f>159992</f>
        <v>159992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206401</v>
      </c>
      <c r="G33" s="41">
        <f>SUM(G23:G32)</f>
        <v>14820</v>
      </c>
      <c r="H33" s="41">
        <f>SUM(H23:H32)</f>
        <v>255832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283265</v>
      </c>
      <c r="G37" s="18">
        <v>9429</v>
      </c>
      <c r="H37" s="18">
        <v>149501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G19-G23-G37</f>
        <v>0</v>
      </c>
      <c r="H41" s="18">
        <f>H19-H23-H37-H31</f>
        <v>-192935</v>
      </c>
      <c r="I41" s="18"/>
      <c r="J41" s="13">
        <f>SUM(I449)</f>
        <v>307037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F19-F33-F37</f>
        <v>1275185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1558450</v>
      </c>
      <c r="G43" s="41">
        <f>SUM(G35:G42)</f>
        <v>9429</v>
      </c>
      <c r="H43" s="41">
        <f>SUM(H35:H42)</f>
        <v>-43434</v>
      </c>
      <c r="I43" s="41">
        <f>SUM(I35:I42)</f>
        <v>0</v>
      </c>
      <c r="J43" s="41">
        <f>SUM(J35:J42)</f>
        <v>307037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1764851</v>
      </c>
      <c r="G44" s="41">
        <f>G43+G33</f>
        <v>24249</v>
      </c>
      <c r="H44" s="41">
        <f>H43+H33</f>
        <v>212398</v>
      </c>
      <c r="I44" s="41">
        <f>I43+I33</f>
        <v>0</v>
      </c>
      <c r="J44" s="41">
        <f>J43+J33</f>
        <v>307037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5873600+2341500</f>
        <v>8215100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8215100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1488897+464100+48616-F61-7121</f>
        <v>1959170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35322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1994492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/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7121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7121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770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267113-696</f>
        <v>266417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800+1000+1200</f>
        <v>3000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254580-424</f>
        <v>254156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4732-3000-1554</f>
        <v>178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3178</v>
      </c>
      <c r="G103" s="41">
        <f>SUM(G88:G102)</f>
        <v>266417</v>
      </c>
      <c r="H103" s="41">
        <f>SUM(H88:H102)</f>
        <v>254156</v>
      </c>
      <c r="I103" s="41">
        <f>SUM(I88:I102)</f>
        <v>0</v>
      </c>
      <c r="J103" s="41">
        <f>SUM(J88:J102)</f>
        <v>770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10219891</v>
      </c>
      <c r="G104" s="41">
        <f>G52+G103</f>
        <v>266417</v>
      </c>
      <c r="H104" s="41">
        <f>H52+H71+H86+H103</f>
        <v>254156</v>
      </c>
      <c r="I104" s="41">
        <f>I52+I103</f>
        <v>0</v>
      </c>
      <c r="J104" s="41">
        <f>J52+J103</f>
        <v>770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6165442-1709576</f>
        <v>4455866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1736007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1709576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7901449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418556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563042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18345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5646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f>3150+3300+5700</f>
        <v>12150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1012093</v>
      </c>
      <c r="G128" s="41">
        <f>SUM(G115:G127)</f>
        <v>5646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8913542</v>
      </c>
      <c r="G132" s="41">
        <f>G113+SUM(G128:G129)</f>
        <v>5646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486800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634952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258962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198252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198252</v>
      </c>
      <c r="G154" s="41">
        <f>SUM(G142:G153)</f>
        <v>258962</v>
      </c>
      <c r="H154" s="41">
        <f>SUM(H142:H153)</f>
        <v>1121752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198252</v>
      </c>
      <c r="G161" s="41">
        <f>G139+G154+SUM(G155:G160)</f>
        <v>258962</v>
      </c>
      <c r="H161" s="41">
        <f>H139+H154+SUM(H155:H160)</f>
        <v>1121752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65337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34978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34978</v>
      </c>
      <c r="G175" s="41">
        <f>SUM(G171:G174)</f>
        <v>65337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34978</v>
      </c>
      <c r="G184" s="41">
        <f>G175+SUM(G180:G183)</f>
        <v>65337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19366663</v>
      </c>
      <c r="G185" s="47">
        <f>G104+G132+G161+G184</f>
        <v>596362</v>
      </c>
      <c r="H185" s="47">
        <f>H104+H132+H161+H184</f>
        <v>1375908</v>
      </c>
      <c r="I185" s="47">
        <f>I104+I132+I161+I184</f>
        <v>0</v>
      </c>
      <c r="J185" s="47">
        <f>J104+J132+J184</f>
        <v>770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1989014</v>
      </c>
      <c r="G189" s="18">
        <v>688205</v>
      </c>
      <c r="H189" s="18">
        <v>3080</v>
      </c>
      <c r="I189" s="18">
        <v>56112</v>
      </c>
      <c r="J189" s="18">
        <v>13927</v>
      </c>
      <c r="K189" s="18">
        <v>862</v>
      </c>
      <c r="L189" s="19">
        <f>SUM(F189:K189)</f>
        <v>2751200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738030</v>
      </c>
      <c r="G190" s="18">
        <v>420997</v>
      </c>
      <c r="H190" s="18">
        <v>157518</v>
      </c>
      <c r="I190" s="18">
        <v>6673</v>
      </c>
      <c r="J190" s="18">
        <v>6740</v>
      </c>
      <c r="K190" s="18">
        <v>94</v>
      </c>
      <c r="L190" s="19">
        <f>SUM(F190:K190)</f>
        <v>1330052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8760</v>
      </c>
      <c r="G192" s="18">
        <v>1320</v>
      </c>
      <c r="H192" s="18"/>
      <c r="I192" s="18"/>
      <c r="J192" s="18"/>
      <c r="K192" s="18"/>
      <c r="L192" s="19">
        <f>SUM(F192:K192)</f>
        <v>10080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419376</v>
      </c>
      <c r="G194" s="18">
        <v>151994</v>
      </c>
      <c r="H194" s="18">
        <v>14601</v>
      </c>
      <c r="I194" s="18">
        <v>6071</v>
      </c>
      <c r="J194" s="18">
        <v>0</v>
      </c>
      <c r="K194" s="18">
        <v>158</v>
      </c>
      <c r="L194" s="19">
        <f t="shared" ref="L194:L200" si="0">SUM(F194:K194)</f>
        <v>592200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155156</v>
      </c>
      <c r="G195" s="18">
        <v>93393</v>
      </c>
      <c r="H195" s="18">
        <v>15697</v>
      </c>
      <c r="I195" s="18">
        <v>39451</v>
      </c>
      <c r="J195" s="18">
        <v>78462</v>
      </c>
      <c r="K195" s="18">
        <v>46</v>
      </c>
      <c r="L195" s="19">
        <f t="shared" si="0"/>
        <v>382205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3674</v>
      </c>
      <c r="G196" s="18">
        <v>19857</v>
      </c>
      <c r="H196" s="18">
        <v>407720</v>
      </c>
      <c r="I196" s="18">
        <v>845</v>
      </c>
      <c r="J196" s="18"/>
      <c r="K196" s="18">
        <v>8209</v>
      </c>
      <c r="L196" s="19">
        <f t="shared" si="0"/>
        <v>440305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222944</v>
      </c>
      <c r="G197" s="18">
        <v>93846</v>
      </c>
      <c r="H197" s="18">
        <v>4598</v>
      </c>
      <c r="I197" s="18">
        <v>5320</v>
      </c>
      <c r="J197" s="18">
        <v>114</v>
      </c>
      <c r="K197" s="18"/>
      <c r="L197" s="19">
        <f t="shared" si="0"/>
        <v>326822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>
        <v>4512</v>
      </c>
      <c r="J198" s="18"/>
      <c r="K198" s="18"/>
      <c r="L198" s="19">
        <f t="shared" si="0"/>
        <v>4512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59657</v>
      </c>
      <c r="G199" s="18">
        <v>16252</v>
      </c>
      <c r="H199" s="18">
        <v>422237</v>
      </c>
      <c r="I199" s="18">
        <v>178687</v>
      </c>
      <c r="J199" s="18"/>
      <c r="K199" s="18"/>
      <c r="L199" s="19">
        <f t="shared" si="0"/>
        <v>676833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281175</v>
      </c>
      <c r="I200" s="18"/>
      <c r="J200" s="18"/>
      <c r="K200" s="18"/>
      <c r="L200" s="19">
        <f t="shared" si="0"/>
        <v>281175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3596611</v>
      </c>
      <c r="G203" s="41">
        <f t="shared" si="1"/>
        <v>1485864</v>
      </c>
      <c r="H203" s="41">
        <f t="shared" si="1"/>
        <v>1306626</v>
      </c>
      <c r="I203" s="41">
        <f t="shared" si="1"/>
        <v>297671</v>
      </c>
      <c r="J203" s="41">
        <f t="shared" si="1"/>
        <v>99243</v>
      </c>
      <c r="K203" s="41">
        <f t="shared" si="1"/>
        <v>9369</v>
      </c>
      <c r="L203" s="41">
        <f t="shared" si="1"/>
        <v>6795384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1264276</v>
      </c>
      <c r="G207" s="18">
        <v>454104</v>
      </c>
      <c r="H207" s="18">
        <v>7373</v>
      </c>
      <c r="I207" s="18">
        <v>47755</v>
      </c>
      <c r="J207" s="18">
        <v>6750</v>
      </c>
      <c r="K207" s="18">
        <v>6607</v>
      </c>
      <c r="L207" s="19">
        <f>SUM(F207:K207)</f>
        <v>1786865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408633</v>
      </c>
      <c r="G208" s="18">
        <v>174723</v>
      </c>
      <c r="H208" s="18">
        <v>125974</v>
      </c>
      <c r="I208" s="18">
        <v>3246</v>
      </c>
      <c r="J208" s="18">
        <v>461</v>
      </c>
      <c r="K208" s="18">
        <v>549</v>
      </c>
      <c r="L208" s="19">
        <f>SUM(F208:K208)</f>
        <v>713586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5850</v>
      </c>
      <c r="G210" s="18">
        <v>877</v>
      </c>
      <c r="H210" s="18">
        <v>20001</v>
      </c>
      <c r="I210" s="18">
        <v>194</v>
      </c>
      <c r="J210" s="18"/>
      <c r="K210" s="18"/>
      <c r="L210" s="19">
        <f>SUM(F210:K210)</f>
        <v>26922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195276</v>
      </c>
      <c r="G212" s="18">
        <v>82221</v>
      </c>
      <c r="H212" s="18">
        <v>10889</v>
      </c>
      <c r="I212" s="18">
        <v>4002</v>
      </c>
      <c r="J212" s="18"/>
      <c r="K212" s="18">
        <v>83</v>
      </c>
      <c r="L212" s="19">
        <f t="shared" ref="L212:L218" si="2">SUM(F212:K212)</f>
        <v>292471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94659</v>
      </c>
      <c r="G213" s="18">
        <v>72675</v>
      </c>
      <c r="H213" s="18">
        <v>8272</v>
      </c>
      <c r="I213" s="18">
        <v>29443</v>
      </c>
      <c r="J213" s="18">
        <v>46856</v>
      </c>
      <c r="K213" s="18">
        <v>24</v>
      </c>
      <c r="L213" s="19">
        <f t="shared" si="2"/>
        <v>251929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1933</v>
      </c>
      <c r="G214" s="18">
        <v>10446</v>
      </c>
      <c r="H214" s="18">
        <v>214481</v>
      </c>
      <c r="I214" s="18">
        <v>444</v>
      </c>
      <c r="J214" s="18"/>
      <c r="K214" s="18">
        <v>4318</v>
      </c>
      <c r="L214" s="19">
        <f t="shared" si="2"/>
        <v>231622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217000</v>
      </c>
      <c r="G215" s="18">
        <v>63136</v>
      </c>
      <c r="H215" s="18">
        <v>5547</v>
      </c>
      <c r="I215" s="18">
        <v>2976</v>
      </c>
      <c r="J215" s="18"/>
      <c r="K215" s="18">
        <v>1107</v>
      </c>
      <c r="L215" s="19">
        <f t="shared" si="2"/>
        <v>289766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2373</v>
      </c>
      <c r="I216" s="18"/>
      <c r="J216" s="18"/>
      <c r="K216" s="18"/>
      <c r="L216" s="19">
        <f t="shared" si="2"/>
        <v>2373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31382</v>
      </c>
      <c r="G217" s="18">
        <v>8550</v>
      </c>
      <c r="H217" s="18">
        <v>222118</v>
      </c>
      <c r="I217" s="18">
        <v>93998</v>
      </c>
      <c r="J217" s="18"/>
      <c r="K217" s="18"/>
      <c r="L217" s="19">
        <f t="shared" si="2"/>
        <v>356048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166223</v>
      </c>
      <c r="I218" s="18"/>
      <c r="J218" s="18"/>
      <c r="K218" s="18"/>
      <c r="L218" s="19">
        <f t="shared" si="2"/>
        <v>166223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2219009</v>
      </c>
      <c r="G221" s="41">
        <f>SUM(G207:G220)</f>
        <v>866732</v>
      </c>
      <c r="H221" s="41">
        <f>SUM(H207:H220)</f>
        <v>783251</v>
      </c>
      <c r="I221" s="41">
        <f>SUM(I207:I220)</f>
        <v>182058</v>
      </c>
      <c r="J221" s="41">
        <f>SUM(J207:J220)</f>
        <v>54067</v>
      </c>
      <c r="K221" s="41">
        <f t="shared" si="3"/>
        <v>12688</v>
      </c>
      <c r="L221" s="41">
        <f t="shared" si="3"/>
        <v>4117805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1658571</v>
      </c>
      <c r="G225" s="18">
        <v>660101</v>
      </c>
      <c r="H225" s="18">
        <v>22112</v>
      </c>
      <c r="I225" s="18">
        <v>68705</v>
      </c>
      <c r="J225" s="18">
        <v>2474</v>
      </c>
      <c r="K225" s="18">
        <v>8937</v>
      </c>
      <c r="L225" s="19">
        <f>SUM(F225:K225)</f>
        <v>2420900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679934</v>
      </c>
      <c r="G226" s="18">
        <v>313932</v>
      </c>
      <c r="H226" s="18">
        <v>573555</v>
      </c>
      <c r="I226" s="18">
        <v>20336</v>
      </c>
      <c r="J226" s="18">
        <v>515</v>
      </c>
      <c r="K226" s="18">
        <v>258</v>
      </c>
      <c r="L226" s="19">
        <f>SUM(F226:K226)</f>
        <v>1588530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43203</v>
      </c>
      <c r="I227" s="18"/>
      <c r="J227" s="18"/>
      <c r="K227" s="18"/>
      <c r="L227" s="19">
        <f>SUM(F227:K227)</f>
        <v>43203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83900</v>
      </c>
      <c r="G228" s="18">
        <v>10117</v>
      </c>
      <c r="H228" s="18">
        <v>20718</v>
      </c>
      <c r="I228" s="18">
        <v>13053</v>
      </c>
      <c r="J228" s="18">
        <v>2650</v>
      </c>
      <c r="K228" s="18">
        <v>8828</v>
      </c>
      <c r="L228" s="19">
        <f>SUM(F228:K228)</f>
        <v>139266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289545</v>
      </c>
      <c r="G230" s="18">
        <v>83237</v>
      </c>
      <c r="H230" s="18">
        <v>11857</v>
      </c>
      <c r="I230" s="18">
        <v>4354</v>
      </c>
      <c r="J230" s="18">
        <v>169</v>
      </c>
      <c r="K230" s="18">
        <v>133</v>
      </c>
      <c r="L230" s="19">
        <f t="shared" ref="L230:L236" si="4">SUM(F230:K230)</f>
        <v>389295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144193</v>
      </c>
      <c r="G231" s="18">
        <v>75303</v>
      </c>
      <c r="H231" s="18">
        <v>13390</v>
      </c>
      <c r="I231" s="18">
        <v>37585</v>
      </c>
      <c r="J231" s="18">
        <v>71597</v>
      </c>
      <c r="K231" s="18">
        <v>357</v>
      </c>
      <c r="L231" s="19">
        <f t="shared" si="4"/>
        <v>342425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3094</v>
      </c>
      <c r="G232" s="18">
        <v>16720</v>
      </c>
      <c r="H232" s="18">
        <v>343307</v>
      </c>
      <c r="I232" s="18">
        <v>711</v>
      </c>
      <c r="J232" s="18"/>
      <c r="K232" s="18">
        <v>6912</v>
      </c>
      <c r="L232" s="19">
        <f t="shared" si="4"/>
        <v>370744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267717</v>
      </c>
      <c r="G233" s="18">
        <v>89770</v>
      </c>
      <c r="H233" s="18">
        <v>8950</v>
      </c>
      <c r="I233" s="18">
        <v>3420</v>
      </c>
      <c r="J233" s="18">
        <v>990</v>
      </c>
      <c r="K233" s="18">
        <v>10393</v>
      </c>
      <c r="L233" s="19">
        <f t="shared" si="4"/>
        <v>381240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3799</v>
      </c>
      <c r="I234" s="18"/>
      <c r="J234" s="18"/>
      <c r="K234" s="18"/>
      <c r="L234" s="19">
        <f t="shared" si="4"/>
        <v>3799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50232</v>
      </c>
      <c r="G235" s="18">
        <v>13684</v>
      </c>
      <c r="H235" s="18">
        <v>347053</v>
      </c>
      <c r="I235" s="18">
        <v>165755</v>
      </c>
      <c r="J235" s="18"/>
      <c r="K235" s="18"/>
      <c r="L235" s="19">
        <f t="shared" si="4"/>
        <v>576724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304370</v>
      </c>
      <c r="I236" s="18"/>
      <c r="J236" s="18"/>
      <c r="K236" s="18"/>
      <c r="L236" s="19">
        <f t="shared" si="4"/>
        <v>304370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3177186</v>
      </c>
      <c r="G239" s="41">
        <f t="shared" si="5"/>
        <v>1262864</v>
      </c>
      <c r="H239" s="41">
        <f t="shared" si="5"/>
        <v>1692314</v>
      </c>
      <c r="I239" s="41">
        <f t="shared" si="5"/>
        <v>313919</v>
      </c>
      <c r="J239" s="41">
        <f t="shared" si="5"/>
        <v>78395</v>
      </c>
      <c r="K239" s="41">
        <f t="shared" si="5"/>
        <v>35818</v>
      </c>
      <c r="L239" s="41">
        <f t="shared" si="5"/>
        <v>6560496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84542</v>
      </c>
      <c r="I247" s="18"/>
      <c r="J247" s="18"/>
      <c r="K247" s="18"/>
      <c r="L247" s="19">
        <f t="shared" si="6"/>
        <v>84542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84542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84542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8992806</v>
      </c>
      <c r="G249" s="41">
        <f t="shared" si="8"/>
        <v>3615460</v>
      </c>
      <c r="H249" s="41">
        <f t="shared" si="8"/>
        <v>3866733</v>
      </c>
      <c r="I249" s="41">
        <f t="shared" si="8"/>
        <v>793648</v>
      </c>
      <c r="J249" s="41">
        <f t="shared" si="8"/>
        <v>231705</v>
      </c>
      <c r="K249" s="41">
        <f t="shared" si="8"/>
        <v>57875</v>
      </c>
      <c r="L249" s="41">
        <f t="shared" si="8"/>
        <v>17558227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740000</v>
      </c>
      <c r="L252" s="19">
        <f>SUM(F252:K252)</f>
        <v>740000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442803</v>
      </c>
      <c r="L253" s="19">
        <f>SUM(F253:K253)</f>
        <v>442803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65337</v>
      </c>
      <c r="L255" s="19">
        <f>SUM(F255:K255)</f>
        <v>65337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1248140</v>
      </c>
      <c r="L262" s="41">
        <f t="shared" si="9"/>
        <v>1248140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8992806</v>
      </c>
      <c r="G263" s="42">
        <f t="shared" si="11"/>
        <v>3615460</v>
      </c>
      <c r="H263" s="42">
        <f t="shared" si="11"/>
        <v>3866733</v>
      </c>
      <c r="I263" s="42">
        <f t="shared" si="11"/>
        <v>793648</v>
      </c>
      <c r="J263" s="42">
        <f t="shared" si="11"/>
        <v>231705</v>
      </c>
      <c r="K263" s="42">
        <f t="shared" si="11"/>
        <v>1306015</v>
      </c>
      <c r="L263" s="42">
        <f t="shared" si="11"/>
        <v>18806367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495420</v>
      </c>
      <c r="G268" s="18">
        <v>110282</v>
      </c>
      <c r="H268" s="18">
        <v>225285</v>
      </c>
      <c r="I268" s="18">
        <v>96794</v>
      </c>
      <c r="J268" s="18">
        <v>86273</v>
      </c>
      <c r="K268" s="18">
        <v>28300</v>
      </c>
      <c r="L268" s="19">
        <f>SUM(F268:K268)</f>
        <v>1042354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495420</v>
      </c>
      <c r="G282" s="42">
        <f t="shared" si="13"/>
        <v>110282</v>
      </c>
      <c r="H282" s="42">
        <f t="shared" si="13"/>
        <v>225285</v>
      </c>
      <c r="I282" s="42">
        <f t="shared" si="13"/>
        <v>96794</v>
      </c>
      <c r="J282" s="42">
        <f t="shared" si="13"/>
        <v>86273</v>
      </c>
      <c r="K282" s="42">
        <f t="shared" si="13"/>
        <v>28300</v>
      </c>
      <c r="L282" s="41">
        <f t="shared" si="13"/>
        <v>1042354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125291</v>
      </c>
      <c r="G287" s="18">
        <v>35656</v>
      </c>
      <c r="H287" s="18">
        <v>28558</v>
      </c>
      <c r="I287" s="18">
        <v>19541</v>
      </c>
      <c r="J287" s="18">
        <v>21844</v>
      </c>
      <c r="K287" s="18">
        <v>4668</v>
      </c>
      <c r="L287" s="19">
        <f>SUM(F287:K287)</f>
        <v>235558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125291</v>
      </c>
      <c r="G301" s="42">
        <f t="shared" si="15"/>
        <v>35656</v>
      </c>
      <c r="H301" s="42">
        <f t="shared" si="15"/>
        <v>28558</v>
      </c>
      <c r="I301" s="42">
        <f t="shared" si="15"/>
        <v>19541</v>
      </c>
      <c r="J301" s="42">
        <f t="shared" si="15"/>
        <v>21844</v>
      </c>
      <c r="K301" s="42">
        <f t="shared" si="15"/>
        <v>4668</v>
      </c>
      <c r="L301" s="41">
        <f t="shared" si="15"/>
        <v>235558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44461</v>
      </c>
      <c r="G306" s="18">
        <v>8283</v>
      </c>
      <c r="H306" s="18">
        <v>11785</v>
      </c>
      <c r="I306" s="18">
        <v>53048</v>
      </c>
      <c r="J306" s="18">
        <v>21844</v>
      </c>
      <c r="K306" s="18">
        <v>2009</v>
      </c>
      <c r="L306" s="19">
        <f>SUM(F306:K306)</f>
        <v>141430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44461</v>
      </c>
      <c r="G320" s="42">
        <f t="shared" si="17"/>
        <v>8283</v>
      </c>
      <c r="H320" s="42">
        <f t="shared" si="17"/>
        <v>11785</v>
      </c>
      <c r="I320" s="42">
        <f t="shared" si="17"/>
        <v>53048</v>
      </c>
      <c r="J320" s="42">
        <f t="shared" si="17"/>
        <v>21844</v>
      </c>
      <c r="K320" s="42">
        <f t="shared" si="17"/>
        <v>2009</v>
      </c>
      <c r="L320" s="41">
        <f t="shared" si="17"/>
        <v>141430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665172</v>
      </c>
      <c r="G330" s="41">
        <f t="shared" si="20"/>
        <v>154221</v>
      </c>
      <c r="H330" s="41">
        <f t="shared" si="20"/>
        <v>265628</v>
      </c>
      <c r="I330" s="41">
        <f t="shared" si="20"/>
        <v>169383</v>
      </c>
      <c r="J330" s="41">
        <f t="shared" si="20"/>
        <v>129961</v>
      </c>
      <c r="K330" s="41">
        <f t="shared" si="20"/>
        <v>34977</v>
      </c>
      <c r="L330" s="41">
        <f t="shared" si="20"/>
        <v>1419342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665172</v>
      </c>
      <c r="G344" s="41">
        <f>G330</f>
        <v>154221</v>
      </c>
      <c r="H344" s="41">
        <f>H330</f>
        <v>265628</v>
      </c>
      <c r="I344" s="41">
        <f>I330</f>
        <v>169383</v>
      </c>
      <c r="J344" s="41">
        <f>J330</f>
        <v>129961</v>
      </c>
      <c r="K344" s="47">
        <f>K330+K343</f>
        <v>34977</v>
      </c>
      <c r="L344" s="41">
        <f>L330+L343</f>
        <v>1419342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71018</v>
      </c>
      <c r="G350" s="18">
        <v>25606</v>
      </c>
      <c r="H350" s="18"/>
      <c r="I350" s="18">
        <v>92573</v>
      </c>
      <c r="J350" s="18">
        <v>3736</v>
      </c>
      <c r="K350" s="18"/>
      <c r="L350" s="13">
        <f>SUM(F350:K350)</f>
        <v>192933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62638</v>
      </c>
      <c r="G351" s="18">
        <v>26830</v>
      </c>
      <c r="H351" s="18"/>
      <c r="I351" s="18">
        <v>89214</v>
      </c>
      <c r="J351" s="18">
        <v>1965</v>
      </c>
      <c r="K351" s="4"/>
      <c r="L351" s="19">
        <f>SUM(F351:J351)</f>
        <v>180647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75300</v>
      </c>
      <c r="G352" s="18">
        <v>39764</v>
      </c>
      <c r="H352" s="18"/>
      <c r="I352" s="18">
        <v>95144</v>
      </c>
      <c r="J352" s="18">
        <v>3145</v>
      </c>
      <c r="K352" s="18"/>
      <c r="L352" s="19">
        <f>SUM(F352:K352)</f>
        <v>213353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208956</v>
      </c>
      <c r="G354" s="47">
        <f t="shared" si="22"/>
        <v>92200</v>
      </c>
      <c r="H354" s="47">
        <f t="shared" si="22"/>
        <v>0</v>
      </c>
      <c r="I354" s="47">
        <f t="shared" si="22"/>
        <v>276931</v>
      </c>
      <c r="J354" s="47">
        <f t="shared" si="22"/>
        <v>8846</v>
      </c>
      <c r="K354" s="47">
        <f t="shared" si="22"/>
        <v>0</v>
      </c>
      <c r="L354" s="47">
        <f t="shared" si="22"/>
        <v>586933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59122+14937</f>
        <v>74059</v>
      </c>
      <c r="G359" s="18">
        <f>7557+66631</f>
        <v>74188</v>
      </c>
      <c r="H359" s="18">
        <f>I352-H360</f>
        <v>83851</v>
      </c>
      <c r="I359" s="56">
        <f>SUM(F359:H359)</f>
        <v>232098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I350-F359</f>
        <v>18514</v>
      </c>
      <c r="G360" s="63">
        <f>I351-G359</f>
        <v>15026</v>
      </c>
      <c r="H360" s="63">
        <v>11293</v>
      </c>
      <c r="I360" s="56">
        <f>SUM(F360:H360)</f>
        <v>44833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92573</v>
      </c>
      <c r="G361" s="47">
        <f>SUM(G359:G360)</f>
        <v>89214</v>
      </c>
      <c r="H361" s="47">
        <f>SUM(H359:H360)</f>
        <v>95144</v>
      </c>
      <c r="I361" s="47">
        <f>SUM(I359:I360)</f>
        <v>276931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493</v>
      </c>
      <c r="I388" s="18"/>
      <c r="J388" s="24" t="s">
        <v>312</v>
      </c>
      <c r="K388" s="24" t="s">
        <v>312</v>
      </c>
      <c r="L388" s="56">
        <f t="shared" si="26"/>
        <v>493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271</v>
      </c>
      <c r="I389" s="18"/>
      <c r="J389" s="24" t="s">
        <v>312</v>
      </c>
      <c r="K389" s="24" t="s">
        <v>312</v>
      </c>
      <c r="L389" s="56">
        <f t="shared" si="26"/>
        <v>271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6</v>
      </c>
      <c r="I392" s="18"/>
      <c r="J392" s="24" t="s">
        <v>312</v>
      </c>
      <c r="K392" s="24" t="s">
        <v>312</v>
      </c>
      <c r="L392" s="56">
        <f t="shared" si="26"/>
        <v>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770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770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770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770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307037</v>
      </c>
      <c r="H431" s="18"/>
      <c r="I431" s="56">
        <f t="shared" ref="I431:I437" si="33">SUM(F431:H431)</f>
        <v>307037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307037</v>
      </c>
      <c r="H438" s="13">
        <f>SUM(H431:H437)</f>
        <v>0</v>
      </c>
      <c r="I438" s="13">
        <f>SUM(I431:I437)</f>
        <v>307037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G431</f>
        <v>307037</v>
      </c>
      <c r="H449" s="18"/>
      <c r="I449" s="56">
        <f>SUM(F449:H449)</f>
        <v>307037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307037</v>
      </c>
      <c r="H450" s="83">
        <f>SUM(H446:H449)</f>
        <v>0</v>
      </c>
      <c r="I450" s="83">
        <f>SUM(I446:I449)</f>
        <v>307037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307037</v>
      </c>
      <c r="H451" s="42">
        <f>H444+H450</f>
        <v>0</v>
      </c>
      <c r="I451" s="42">
        <f>I444+I450</f>
        <v>307037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1015307-17153</f>
        <v>998154</v>
      </c>
      <c r="G455" s="18"/>
      <c r="H455" s="18"/>
      <c r="I455" s="18"/>
      <c r="J455" s="18">
        <v>306267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19366663</v>
      </c>
      <c r="G458" s="18">
        <f>G185</f>
        <v>596362</v>
      </c>
      <c r="H458" s="18">
        <f>H185</f>
        <v>1375908</v>
      </c>
      <c r="I458" s="18"/>
      <c r="J458" s="18">
        <f>J185</f>
        <v>770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19366663</v>
      </c>
      <c r="G460" s="53">
        <f>SUM(G458:G459)</f>
        <v>596362</v>
      </c>
      <c r="H460" s="53">
        <f>SUM(H458:H459)</f>
        <v>1375908</v>
      </c>
      <c r="I460" s="53">
        <f>SUM(I458:I459)</f>
        <v>0</v>
      </c>
      <c r="J460" s="53">
        <f>SUM(J458:J459)</f>
        <v>770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18806367</v>
      </c>
      <c r="G462" s="18">
        <f>L354</f>
        <v>586933</v>
      </c>
      <c r="H462" s="18">
        <f>L330</f>
        <v>1419342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18806367</v>
      </c>
      <c r="G464" s="53">
        <f>SUM(G462:G463)</f>
        <v>586933</v>
      </c>
      <c r="H464" s="53">
        <f>SUM(H462:H463)</f>
        <v>1419342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1558450</v>
      </c>
      <c r="G466" s="53">
        <f>(G455+G460)- G464</f>
        <v>9429</v>
      </c>
      <c r="H466" s="53">
        <f>(H455+H460)- H464</f>
        <v>-43434</v>
      </c>
      <c r="I466" s="53">
        <f>(I455+I460)- I464</f>
        <v>0</v>
      </c>
      <c r="J466" s="53">
        <f>(J455+J460)- J464</f>
        <v>307037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14750000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11050000</v>
      </c>
      <c r="G485" s="18"/>
      <c r="H485" s="18"/>
      <c r="I485" s="18"/>
      <c r="J485" s="18"/>
      <c r="K485" s="53">
        <f>SUM(F485:J485)</f>
        <v>11050000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740000</v>
      </c>
      <c r="G487" s="18"/>
      <c r="H487" s="18"/>
      <c r="I487" s="18"/>
      <c r="J487" s="18"/>
      <c r="K487" s="53">
        <f t="shared" si="34"/>
        <v>740000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10310000</v>
      </c>
      <c r="G488" s="205"/>
      <c r="H488" s="205"/>
      <c r="I488" s="205"/>
      <c r="J488" s="205"/>
      <c r="K488" s="206">
        <f t="shared" si="34"/>
        <v>10310000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3247728-442803</f>
        <v>2804925</v>
      </c>
      <c r="G489" s="18"/>
      <c r="H489" s="18"/>
      <c r="I489" s="18"/>
      <c r="J489" s="18"/>
      <c r="K489" s="53">
        <f t="shared" si="34"/>
        <v>2804925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13114925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13114925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740000</v>
      </c>
      <c r="G491" s="205"/>
      <c r="H491" s="205"/>
      <c r="I491" s="205"/>
      <c r="J491" s="205"/>
      <c r="K491" s="206">
        <f t="shared" si="34"/>
        <v>740000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413203</v>
      </c>
      <c r="G492" s="18"/>
      <c r="H492" s="18"/>
      <c r="I492" s="18"/>
      <c r="J492" s="18"/>
      <c r="K492" s="53">
        <f t="shared" si="34"/>
        <v>413203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1153203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1153203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738030</v>
      </c>
      <c r="G511" s="18">
        <v>420997</v>
      </c>
      <c r="H511" s="18">
        <v>157518</v>
      </c>
      <c r="I511" s="18">
        <v>6672</v>
      </c>
      <c r="J511" s="18">
        <v>6740</v>
      </c>
      <c r="K511" s="18">
        <v>94</v>
      </c>
      <c r="L511" s="88">
        <f>SUM(F511:K511)</f>
        <v>1330051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408633</v>
      </c>
      <c r="G512" s="18">
        <v>174723</v>
      </c>
      <c r="H512" s="18">
        <v>125974</v>
      </c>
      <c r="I512" s="18">
        <v>3246</v>
      </c>
      <c r="J512" s="18">
        <v>461</v>
      </c>
      <c r="K512" s="18">
        <v>549</v>
      </c>
      <c r="L512" s="88">
        <f>SUM(F512:K512)</f>
        <v>713586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679934</v>
      </c>
      <c r="G513" s="18">
        <v>313932</v>
      </c>
      <c r="H513" s="18">
        <v>573555</v>
      </c>
      <c r="I513" s="18">
        <v>20336</v>
      </c>
      <c r="J513" s="18">
        <v>515</v>
      </c>
      <c r="K513" s="18">
        <v>258</v>
      </c>
      <c r="L513" s="88">
        <f>SUM(F513:K513)</f>
        <v>1588530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1826597</v>
      </c>
      <c r="G514" s="108">
        <f t="shared" ref="G514:L514" si="35">SUM(G511:G513)</f>
        <v>909652</v>
      </c>
      <c r="H514" s="108">
        <f t="shared" si="35"/>
        <v>857047</v>
      </c>
      <c r="I514" s="108">
        <f t="shared" si="35"/>
        <v>30254</v>
      </c>
      <c r="J514" s="108">
        <f t="shared" si="35"/>
        <v>7716</v>
      </c>
      <c r="K514" s="108">
        <f t="shared" si="35"/>
        <v>901</v>
      </c>
      <c r="L514" s="89">
        <f t="shared" si="35"/>
        <v>3632167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261843</v>
      </c>
      <c r="G516" s="18">
        <v>101993</v>
      </c>
      <c r="H516" s="18">
        <v>757</v>
      </c>
      <c r="I516" s="18">
        <v>3429</v>
      </c>
      <c r="J516" s="18"/>
      <c r="K516" s="18"/>
      <c r="L516" s="88">
        <f>SUM(F516:K516)</f>
        <v>368022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83262</v>
      </c>
      <c r="G517" s="18">
        <v>31130</v>
      </c>
      <c r="H517" s="18">
        <v>399</v>
      </c>
      <c r="I517" s="18">
        <v>2023</v>
      </c>
      <c r="J517" s="18"/>
      <c r="K517" s="18"/>
      <c r="L517" s="88">
        <f>SUM(F517:K517)</f>
        <v>116814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135653</v>
      </c>
      <c r="G518" s="18">
        <v>34692</v>
      </c>
      <c r="H518" s="18">
        <v>638</v>
      </c>
      <c r="I518" s="18">
        <v>1236</v>
      </c>
      <c r="J518" s="18"/>
      <c r="K518" s="18"/>
      <c r="L518" s="88">
        <f>SUM(F518:K518)</f>
        <v>172219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480758</v>
      </c>
      <c r="G519" s="89">
        <f t="shared" ref="G519:L519" si="36">SUM(G516:G518)</f>
        <v>167815</v>
      </c>
      <c r="H519" s="89">
        <f t="shared" si="36"/>
        <v>1794</v>
      </c>
      <c r="I519" s="89">
        <f t="shared" si="36"/>
        <v>6688</v>
      </c>
      <c r="J519" s="89">
        <f t="shared" si="36"/>
        <v>0</v>
      </c>
      <c r="K519" s="89">
        <f t="shared" si="36"/>
        <v>0</v>
      </c>
      <c r="L519" s="89">
        <f t="shared" si="36"/>
        <v>657055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104732</v>
      </c>
      <c r="G521" s="18">
        <v>64032</v>
      </c>
      <c r="H521" s="18">
        <v>629</v>
      </c>
      <c r="I521" s="18"/>
      <c r="J521" s="18"/>
      <c r="K521" s="18">
        <v>94</v>
      </c>
      <c r="L521" s="88">
        <f>SUM(F521:K521)</f>
        <v>169487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55094</v>
      </c>
      <c r="G522" s="18">
        <v>33684</v>
      </c>
      <c r="H522" s="18">
        <v>331</v>
      </c>
      <c r="I522" s="18"/>
      <c r="J522" s="18"/>
      <c r="K522" s="18">
        <v>49</v>
      </c>
      <c r="L522" s="88">
        <f>SUM(F522:K522)</f>
        <v>89158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88186</v>
      </c>
      <c r="G523" s="18">
        <v>53916</v>
      </c>
      <c r="H523" s="18">
        <v>529</v>
      </c>
      <c r="I523" s="18"/>
      <c r="J523" s="18"/>
      <c r="K523" s="18">
        <v>79</v>
      </c>
      <c r="L523" s="88">
        <f>SUM(F523:K523)</f>
        <v>142710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248012</v>
      </c>
      <c r="G524" s="89">
        <f t="shared" ref="G524:L524" si="37">SUM(G521:G523)</f>
        <v>151632</v>
      </c>
      <c r="H524" s="89">
        <f t="shared" si="37"/>
        <v>1489</v>
      </c>
      <c r="I524" s="89">
        <f t="shared" si="37"/>
        <v>0</v>
      </c>
      <c r="J524" s="89">
        <f t="shared" si="37"/>
        <v>0</v>
      </c>
      <c r="K524" s="89">
        <f t="shared" si="37"/>
        <v>222</v>
      </c>
      <c r="L524" s="89">
        <f t="shared" si="37"/>
        <v>401355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74259</v>
      </c>
      <c r="I531" s="18"/>
      <c r="J531" s="18"/>
      <c r="K531" s="18"/>
      <c r="L531" s="88">
        <f>SUM(F531:K531)</f>
        <v>74259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39064</v>
      </c>
      <c r="I532" s="18"/>
      <c r="J532" s="18"/>
      <c r="K532" s="18"/>
      <c r="L532" s="88">
        <f>SUM(F532:K532)</f>
        <v>39064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62528</v>
      </c>
      <c r="I533" s="18"/>
      <c r="J533" s="18"/>
      <c r="K533" s="18"/>
      <c r="L533" s="88">
        <f>SUM(F533:K533)</f>
        <v>62528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175851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175851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2555367</v>
      </c>
      <c r="G535" s="89">
        <f t="shared" ref="G535:L535" si="40">G514+G519+G524+G529+G534</f>
        <v>1229099</v>
      </c>
      <c r="H535" s="89">
        <f t="shared" si="40"/>
        <v>1036181</v>
      </c>
      <c r="I535" s="89">
        <f t="shared" si="40"/>
        <v>36942</v>
      </c>
      <c r="J535" s="89">
        <f t="shared" si="40"/>
        <v>7716</v>
      </c>
      <c r="K535" s="89">
        <f t="shared" si="40"/>
        <v>1123</v>
      </c>
      <c r="L535" s="89">
        <f t="shared" si="40"/>
        <v>4866428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1330051</v>
      </c>
      <c r="G539" s="87">
        <f>L516</f>
        <v>368022</v>
      </c>
      <c r="H539" s="87">
        <f>L521</f>
        <v>169487</v>
      </c>
      <c r="I539" s="87">
        <f>L526</f>
        <v>0</v>
      </c>
      <c r="J539" s="87">
        <f>L531</f>
        <v>74259</v>
      </c>
      <c r="K539" s="87">
        <f>SUM(F539:J539)</f>
        <v>1941819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713586</v>
      </c>
      <c r="G540" s="87">
        <f>L517</f>
        <v>116814</v>
      </c>
      <c r="H540" s="87">
        <f>L522</f>
        <v>89158</v>
      </c>
      <c r="I540" s="87">
        <f>L527</f>
        <v>0</v>
      </c>
      <c r="J540" s="87">
        <f>L532</f>
        <v>39064</v>
      </c>
      <c r="K540" s="87">
        <f>SUM(F540:J540)</f>
        <v>958622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1588530</v>
      </c>
      <c r="G541" s="87">
        <f>L518</f>
        <v>172219</v>
      </c>
      <c r="H541" s="87">
        <f>L523</f>
        <v>142710</v>
      </c>
      <c r="I541" s="87">
        <f>L528</f>
        <v>0</v>
      </c>
      <c r="J541" s="87">
        <f>L533</f>
        <v>62528</v>
      </c>
      <c r="K541" s="87">
        <f>SUM(F541:J541)</f>
        <v>1965987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3632167</v>
      </c>
      <c r="G542" s="89">
        <f t="shared" si="41"/>
        <v>657055</v>
      </c>
      <c r="H542" s="89">
        <f t="shared" si="41"/>
        <v>401355</v>
      </c>
      <c r="I542" s="89">
        <f t="shared" si="41"/>
        <v>0</v>
      </c>
      <c r="J542" s="89">
        <f t="shared" si="41"/>
        <v>175851</v>
      </c>
      <c r="K542" s="89">
        <f t="shared" si="41"/>
        <v>4866428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111488+12734</f>
        <v>124222</v>
      </c>
      <c r="G572" s="18">
        <f>91241+33356</f>
        <v>124597</v>
      </c>
      <c r="H572" s="18">
        <f>528150+40857</f>
        <v>569007</v>
      </c>
      <c r="I572" s="87">
        <f t="shared" si="46"/>
        <v>817826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f>24044+19158</f>
        <v>43202</v>
      </c>
      <c r="I574" s="87">
        <f t="shared" si="46"/>
        <v>43202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186827</v>
      </c>
      <c r="I581" s="18">
        <v>98280</v>
      </c>
      <c r="J581" s="18">
        <v>157312</v>
      </c>
      <c r="K581" s="104">
        <f t="shared" ref="K581:K587" si="47">SUM(H581:J581)</f>
        <v>442419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74259</v>
      </c>
      <c r="I582" s="18">
        <v>39065</v>
      </c>
      <c r="J582" s="18">
        <v>62528</v>
      </c>
      <c r="K582" s="104">
        <f t="shared" si="47"/>
        <v>175852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41261</v>
      </c>
      <c r="K583" s="104">
        <f t="shared" si="47"/>
        <v>41261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35616</v>
      </c>
      <c r="K584" s="104">
        <f t="shared" si="47"/>
        <v>35616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20089</v>
      </c>
      <c r="I585" s="18">
        <v>28878</v>
      </c>
      <c r="J585" s="18">
        <v>7653</v>
      </c>
      <c r="K585" s="104">
        <f t="shared" si="47"/>
        <v>56620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281175</v>
      </c>
      <c r="I588" s="108">
        <f>SUM(I581:I587)</f>
        <v>166223</v>
      </c>
      <c r="J588" s="108">
        <f>SUM(J581:J587)</f>
        <v>304370</v>
      </c>
      <c r="K588" s="108">
        <f>SUM(K581:K587)</f>
        <v>751768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99243+86273</f>
        <v>185516</v>
      </c>
      <c r="I594" s="18">
        <f>54067+21844</f>
        <v>75911</v>
      </c>
      <c r="J594" s="18">
        <f>78395+21844</f>
        <v>100239</v>
      </c>
      <c r="K594" s="104">
        <f>SUM(H594:J594)</f>
        <v>361666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185516</v>
      </c>
      <c r="I595" s="108">
        <f>SUM(I592:I594)</f>
        <v>75911</v>
      </c>
      <c r="J595" s="108">
        <f>SUM(J592:J594)</f>
        <v>100239</v>
      </c>
      <c r="K595" s="108">
        <f>SUM(K592:K594)</f>
        <v>361666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1764851</v>
      </c>
      <c r="H607" s="109">
        <f>SUM(F44)</f>
        <v>1764851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24249</v>
      </c>
      <c r="H608" s="109">
        <f>SUM(G44)</f>
        <v>24249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212398</v>
      </c>
      <c r="H609" s="109">
        <f>SUM(H44)</f>
        <v>212398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307037</v>
      </c>
      <c r="H611" s="109">
        <f>SUM(J44)</f>
        <v>307037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1558450</v>
      </c>
      <c r="H612" s="109">
        <f>F466</f>
        <v>1558450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9429</v>
      </c>
      <c r="H613" s="109">
        <f>G466</f>
        <v>9429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-43434</v>
      </c>
      <c r="H614" s="109">
        <f>H466</f>
        <v>-43434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307037</v>
      </c>
      <c r="H616" s="109">
        <f>J466</f>
        <v>307037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19366663</v>
      </c>
      <c r="H617" s="104">
        <f>SUM(F458)</f>
        <v>19366663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596362</v>
      </c>
      <c r="H618" s="104">
        <f>SUM(G458)</f>
        <v>596362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1375908</v>
      </c>
      <c r="H619" s="104">
        <f>SUM(H458)</f>
        <v>1375908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770</v>
      </c>
      <c r="H621" s="104">
        <f>SUM(J458)</f>
        <v>770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18806367</v>
      </c>
      <c r="H622" s="104">
        <f>SUM(F462)</f>
        <v>18806367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1419342</v>
      </c>
      <c r="H623" s="104">
        <f>SUM(H462)</f>
        <v>1419342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276931</v>
      </c>
      <c r="H624" s="104">
        <f>I361</f>
        <v>276931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586933</v>
      </c>
      <c r="H625" s="104">
        <f>SUM(G462)</f>
        <v>586933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770</v>
      </c>
      <c r="H627" s="164">
        <f>SUM(J458)</f>
        <v>770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307037</v>
      </c>
      <c r="H630" s="104">
        <f>SUM(G451)</f>
        <v>307037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307037</v>
      </c>
      <c r="H632" s="104">
        <f>SUM(I451)</f>
        <v>307037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770</v>
      </c>
      <c r="H634" s="104">
        <f>H400</f>
        <v>770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770</v>
      </c>
      <c r="H636" s="104">
        <f>L400</f>
        <v>770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751768</v>
      </c>
      <c r="H637" s="104">
        <f>L200+L218+L236</f>
        <v>751768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361666</v>
      </c>
      <c r="H638" s="104">
        <f>(J249+J330)-(J247+J328)</f>
        <v>361666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281175</v>
      </c>
      <c r="H639" s="104">
        <f>H588</f>
        <v>281175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166223</v>
      </c>
      <c r="H640" s="104">
        <f>I588</f>
        <v>166223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304370</v>
      </c>
      <c r="H641" s="104">
        <f>J588</f>
        <v>304370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65337</v>
      </c>
      <c r="H642" s="104">
        <f>K255+K337</f>
        <v>65337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8030671</v>
      </c>
      <c r="G650" s="19">
        <f>(L221+L301+L351)</f>
        <v>4534010</v>
      </c>
      <c r="H650" s="19">
        <f>(L239+L320+L352)</f>
        <v>6915279</v>
      </c>
      <c r="I650" s="19">
        <f>SUM(F650:H650)</f>
        <v>19479960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87574.954996566899</v>
      </c>
      <c r="G651" s="19">
        <f>(L351/IF(SUM(L350:L352)=0,1,SUM(L350:L352))*(SUM(G89:G102)))</f>
        <v>81998.169806434467</v>
      </c>
      <c r="H651" s="19">
        <f>(L352/IF(SUM(L350:L352)=0,1,SUM(L350:L352))*(SUM(G89:G102)))</f>
        <v>96843.875196998648</v>
      </c>
      <c r="I651" s="19">
        <f>SUM(F651:H651)</f>
        <v>266417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281175</v>
      </c>
      <c r="G652" s="19">
        <f>(L218+L298)-(J218+J298)</f>
        <v>166223</v>
      </c>
      <c r="H652" s="19">
        <f>(L236+L317)-(J236+J317)</f>
        <v>304370</v>
      </c>
      <c r="I652" s="19">
        <f>SUM(F652:H652)</f>
        <v>751768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309738</v>
      </c>
      <c r="G653" s="200">
        <f>SUM(G565:G577)+SUM(I592:I594)+L602</f>
        <v>200508</v>
      </c>
      <c r="H653" s="200">
        <f>SUM(H565:H577)+SUM(J592:J594)+L603</f>
        <v>712448</v>
      </c>
      <c r="I653" s="19">
        <f>SUM(F653:H653)</f>
        <v>1222694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7352183.0450034328</v>
      </c>
      <c r="G654" s="19">
        <f>G650-SUM(G651:G653)</f>
        <v>4085280.8301935657</v>
      </c>
      <c r="H654" s="19">
        <f>H650-SUM(H651:H653)</f>
        <v>5801617.1248030011</v>
      </c>
      <c r="I654" s="19">
        <f>I650-SUM(I651:I653)</f>
        <v>17239081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575.4</v>
      </c>
      <c r="G655" s="249">
        <v>315.81</v>
      </c>
      <c r="H655" s="249">
        <v>483.59</v>
      </c>
      <c r="I655" s="19">
        <f>SUM(F655:H655)</f>
        <v>1374.8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12777.52</v>
      </c>
      <c r="G657" s="19">
        <f>ROUND(G654/G655,2)</f>
        <v>12935.88</v>
      </c>
      <c r="H657" s="19">
        <f>ROUND(H654/H655,2)</f>
        <v>11996.97</v>
      </c>
      <c r="I657" s="19">
        <f>ROUND(I654/I655,2)</f>
        <v>12539.34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-12.18</v>
      </c>
      <c r="I660" s="19">
        <f>SUM(F660:H660)</f>
        <v>-12.18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12777.52</v>
      </c>
      <c r="G662" s="19">
        <f>ROUND((G654+G659)/(G655+G660),2)</f>
        <v>12935.88</v>
      </c>
      <c r="H662" s="19">
        <f>ROUND((H654+H659)/(H655+H660),2)</f>
        <v>12306.95</v>
      </c>
      <c r="I662" s="19">
        <f>ROUND((I654+I659)/(I655+I660),2)</f>
        <v>12651.42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FF36-5690-4834-9286-216D80FD6468}">
  <sheetPr>
    <tabColor indexed="20"/>
  </sheetPr>
  <dimension ref="A1:C52"/>
  <sheetViews>
    <sheetView topLeftCell="A3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Hillsboro-Deering Coop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5577033</v>
      </c>
      <c r="C9" s="230">
        <f>'DOE25'!G189+'DOE25'!G207+'DOE25'!G225+'DOE25'!G268+'DOE25'!G287+'DOE25'!G306</f>
        <v>1956631</v>
      </c>
    </row>
    <row r="10" spans="1:3" x14ac:dyDescent="0.2">
      <c r="A10" t="s">
        <v>813</v>
      </c>
      <c r="B10" s="241">
        <v>5103444</v>
      </c>
      <c r="C10" s="241">
        <v>1783579</v>
      </c>
    </row>
    <row r="11" spans="1:3" x14ac:dyDescent="0.2">
      <c r="A11" t="s">
        <v>814</v>
      </c>
      <c r="B11" s="241">
        <v>135578</v>
      </c>
      <c r="C11" s="241">
        <v>135899</v>
      </c>
    </row>
    <row r="12" spans="1:3" x14ac:dyDescent="0.2">
      <c r="A12" t="s">
        <v>815</v>
      </c>
      <c r="B12" s="241">
        <v>338011</v>
      </c>
      <c r="C12" s="241">
        <v>37153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5577033</v>
      </c>
      <c r="C13" s="232">
        <f>SUM(C10:C12)</f>
        <v>1956631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1826597</v>
      </c>
      <c r="C18" s="230">
        <f>'DOE25'!G190+'DOE25'!G208+'DOE25'!G226+'DOE25'!G269+'DOE25'!G288+'DOE25'!G307</f>
        <v>909652</v>
      </c>
    </row>
    <row r="19" spans="1:3" x14ac:dyDescent="0.2">
      <c r="A19" t="s">
        <v>813</v>
      </c>
      <c r="B19" s="241">
        <v>1330745</v>
      </c>
      <c r="C19" s="241">
        <v>722792</v>
      </c>
    </row>
    <row r="20" spans="1:3" x14ac:dyDescent="0.2">
      <c r="A20" t="s">
        <v>814</v>
      </c>
      <c r="B20" s="241">
        <v>446207</v>
      </c>
      <c r="C20" s="241">
        <v>169503</v>
      </c>
    </row>
    <row r="21" spans="1:3" x14ac:dyDescent="0.2">
      <c r="A21" t="s">
        <v>815</v>
      </c>
      <c r="B21" s="241">
        <v>49645</v>
      </c>
      <c r="C21" s="241">
        <v>17357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1826597</v>
      </c>
      <c r="C22" s="232">
        <f>SUM(C19:C21)</f>
        <v>909652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98510</v>
      </c>
      <c r="C36" s="236">
        <f>'DOE25'!G192+'DOE25'!G210+'DOE25'!G228+'DOE25'!G271+'DOE25'!G290+'DOE25'!G309</f>
        <v>12314</v>
      </c>
    </row>
    <row r="37" spans="1:3" x14ac:dyDescent="0.2">
      <c r="A37" t="s">
        <v>813</v>
      </c>
      <c r="B37" s="241">
        <v>98510</v>
      </c>
      <c r="C37" s="241">
        <v>12314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98510</v>
      </c>
      <c r="C40" s="232">
        <f>SUM(C37:C39)</f>
        <v>12314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0" right="0" top="0" bottom="0" header="0.5" footer="0.5"/>
  <pageSetup scale="125"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ACD6-0FAD-4C5A-AF10-F697A1EFFA3E}">
  <sheetPr>
    <tabColor indexed="11"/>
  </sheetPr>
  <dimension ref="A1:I51"/>
  <sheetViews>
    <sheetView workbookViewId="0">
      <pane ySplit="4" topLeftCell="A5" activePane="bottomLeft" state="frozen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Hillsboro-Deering Coop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10810604</v>
      </c>
      <c r="D5" s="20">
        <f>SUM('DOE25'!L189:L192)+SUM('DOE25'!L207:L210)+SUM('DOE25'!L225:L228)-F5-G5</f>
        <v>10750952</v>
      </c>
      <c r="E5" s="244"/>
      <c r="F5" s="256">
        <f>SUM('DOE25'!J189:J192)+SUM('DOE25'!J207:J210)+SUM('DOE25'!J225:J228)</f>
        <v>33517</v>
      </c>
      <c r="G5" s="53">
        <f>SUM('DOE25'!K189:K192)+SUM('DOE25'!K207:K210)+SUM('DOE25'!K225:K228)</f>
        <v>26135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1273966</v>
      </c>
      <c r="D6" s="20">
        <f>'DOE25'!L194+'DOE25'!L212+'DOE25'!L230-F6-G6</f>
        <v>1273423</v>
      </c>
      <c r="E6" s="244"/>
      <c r="F6" s="256">
        <f>'DOE25'!J194+'DOE25'!J212+'DOE25'!J230</f>
        <v>169</v>
      </c>
      <c r="G6" s="53">
        <f>'DOE25'!K194+'DOE25'!K212+'DOE25'!K230</f>
        <v>374</v>
      </c>
      <c r="H6" s="260"/>
    </row>
    <row r="7" spans="1:9" x14ac:dyDescent="0.2">
      <c r="A7" s="32">
        <v>2200</v>
      </c>
      <c r="B7" t="s">
        <v>868</v>
      </c>
      <c r="C7" s="246">
        <f t="shared" si="0"/>
        <v>976559</v>
      </c>
      <c r="D7" s="20">
        <f>'DOE25'!L195+'DOE25'!L213+'DOE25'!L231-F7-G7</f>
        <v>779217</v>
      </c>
      <c r="E7" s="244"/>
      <c r="F7" s="256">
        <f>'DOE25'!J195+'DOE25'!J213+'DOE25'!J231</f>
        <v>196915</v>
      </c>
      <c r="G7" s="53">
        <f>'DOE25'!K195+'DOE25'!K213+'DOE25'!K231</f>
        <v>427</v>
      </c>
      <c r="H7" s="260"/>
    </row>
    <row r="8" spans="1:9" x14ac:dyDescent="0.2">
      <c r="A8" s="32">
        <v>2300</v>
      </c>
      <c r="B8" t="s">
        <v>836</v>
      </c>
      <c r="C8" s="246">
        <f t="shared" si="0"/>
        <v>849765</v>
      </c>
      <c r="D8" s="244"/>
      <c r="E8" s="20">
        <f>'DOE25'!L196+'DOE25'!L214+'DOE25'!L232-F8-G8-D9-D11</f>
        <v>830326</v>
      </c>
      <c r="F8" s="256">
        <f>'DOE25'!J196+'DOE25'!J214+'DOE25'!J232</f>
        <v>0</v>
      </c>
      <c r="G8" s="53">
        <f>'DOE25'!K196+'DOE25'!K214+'DOE25'!K232</f>
        <v>19439</v>
      </c>
      <c r="H8" s="260"/>
    </row>
    <row r="9" spans="1:9" x14ac:dyDescent="0.2">
      <c r="A9" s="32">
        <v>2310</v>
      </c>
      <c r="B9" t="s">
        <v>852</v>
      </c>
      <c r="C9" s="246">
        <f t="shared" si="0"/>
        <v>30532</v>
      </c>
      <c r="D9" s="245">
        <v>30532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29400</v>
      </c>
      <c r="D10" s="244"/>
      <c r="E10" s="245">
        <v>29400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162374</v>
      </c>
      <c r="D11" s="245">
        <v>162374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997828</v>
      </c>
      <c r="D12" s="20">
        <f>'DOE25'!L197+'DOE25'!L215+'DOE25'!L233-F12-G12</f>
        <v>985224</v>
      </c>
      <c r="E12" s="244"/>
      <c r="F12" s="256">
        <f>'DOE25'!J197+'DOE25'!J215+'DOE25'!J233</f>
        <v>1104</v>
      </c>
      <c r="G12" s="53">
        <f>'DOE25'!K197+'DOE25'!K215+'DOE25'!K233</f>
        <v>11500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10684</v>
      </c>
      <c r="D13" s="244"/>
      <c r="E13" s="20">
        <f>'DOE25'!L198+'DOE25'!L216+'DOE25'!L234-F13-G13</f>
        <v>10684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1609605</v>
      </c>
      <c r="D14" s="20">
        <f>'DOE25'!L199+'DOE25'!L217+'DOE25'!L235-F14-G14</f>
        <v>1609605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751768</v>
      </c>
      <c r="D15" s="20">
        <f>'DOE25'!L200+'DOE25'!L218+'DOE25'!L236-F15-G15</f>
        <v>751768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84542</v>
      </c>
      <c r="D22" s="244"/>
      <c r="E22" s="244"/>
      <c r="F22" s="256">
        <f>'DOE25'!L247+'DOE25'!L328</f>
        <v>84542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1182803</v>
      </c>
      <c r="D25" s="244"/>
      <c r="E25" s="244"/>
      <c r="F25" s="259"/>
      <c r="G25" s="257"/>
      <c r="H25" s="258">
        <f>'DOE25'!L252+'DOE25'!L253+'DOE25'!L333+'DOE25'!L334</f>
        <v>1182803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354835</v>
      </c>
      <c r="D29" s="20">
        <f>'DOE25'!L350+'DOE25'!L351+'DOE25'!L352-'DOE25'!I359-F29-G29</f>
        <v>256775</v>
      </c>
      <c r="E29" s="244"/>
      <c r="F29" s="256">
        <f>'DOE25'!J350+'DOE25'!I351+'DOE25'!J352</f>
        <v>96095</v>
      </c>
      <c r="G29" s="53">
        <f>'DOE25'!K350+'DOE25'!J351+'DOE25'!K352</f>
        <v>1965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1419342</v>
      </c>
      <c r="D31" s="20">
        <f>'DOE25'!L282+'DOE25'!L301+'DOE25'!L320+'DOE25'!L325+'DOE25'!L326+'DOE25'!L327-F31-G31</f>
        <v>1254404</v>
      </c>
      <c r="E31" s="244"/>
      <c r="F31" s="256">
        <f>'DOE25'!J282+'DOE25'!J301+'DOE25'!J320+'DOE25'!J325+'DOE25'!J326+'DOE25'!J327</f>
        <v>129961</v>
      </c>
      <c r="G31" s="53">
        <f>'DOE25'!K282+'DOE25'!K301+'DOE25'!K320+'DOE25'!K325+'DOE25'!K326+'DOE25'!K327</f>
        <v>34977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17854274</v>
      </c>
      <c r="E33" s="247">
        <f>SUM(E5:E31)</f>
        <v>870410</v>
      </c>
      <c r="F33" s="247">
        <f>SUM(F5:F31)</f>
        <v>542303</v>
      </c>
      <c r="G33" s="247">
        <f>SUM(G5:G31)</f>
        <v>94817</v>
      </c>
      <c r="H33" s="247">
        <f>SUM(H5:H31)</f>
        <v>1182803</v>
      </c>
    </row>
    <row r="35" spans="2:8" ht="12" thickBot="1" x14ac:dyDescent="0.25">
      <c r="B35" s="254" t="s">
        <v>881</v>
      </c>
      <c r="D35" s="255">
        <f>E33</f>
        <v>870410</v>
      </c>
      <c r="E35" s="250"/>
    </row>
    <row r="36" spans="2:8" ht="12" thickTop="1" x14ac:dyDescent="0.2">
      <c r="B36" t="s">
        <v>849</v>
      </c>
      <c r="D36" s="20">
        <f>D33</f>
        <v>17854274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BB42-ED85-43ED-8F7B-279036B70EC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Hillsboro-Deering Coop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1116814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307037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166665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480794</v>
      </c>
      <c r="D13" s="95">
        <f>'DOE25'!H13</f>
        <v>212398</v>
      </c>
      <c r="E13" s="95" t="e">
        <f>'DOE25'!#REF!</f>
        <v>#REF!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578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10953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1764851</v>
      </c>
      <c r="D19" s="41">
        <f>SUM(D9:D18)</f>
        <v>223351</v>
      </c>
      <c r="E19" s="41" t="e">
        <f>SUM(E9:E18)</f>
        <v>#REF!</v>
      </c>
      <c r="F19" s="41">
        <f>SUM(F9:F18)</f>
        <v>0</v>
      </c>
      <c r="G19" s="41">
        <f>SUM(G9:G18)</f>
        <v>307037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159992</v>
      </c>
      <c r="D22" s="95">
        <f>'DOE25'!H23</f>
        <v>95840</v>
      </c>
      <c r="E22" s="95" t="e">
        <f>'DOE25'!#REF!</f>
        <v>#REF!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46409</v>
      </c>
      <c r="D30" s="95">
        <f>'DOE25'!G31</f>
        <v>0</v>
      </c>
      <c r="E30" s="95">
        <f>'DOE25'!H31</f>
        <v>159992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206401</v>
      </c>
      <c r="D32" s="41">
        <f>SUM(D22:D31)</f>
        <v>95840</v>
      </c>
      <c r="E32" s="41" t="e">
        <f>SUM(E22:E31)</f>
        <v>#REF!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283265</v>
      </c>
      <c r="D36" s="95">
        <f>'DOE25'!G37</f>
        <v>9429</v>
      </c>
      <c r="E36" s="95">
        <f>'DOE25'!H37</f>
        <v>149501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-192935</v>
      </c>
      <c r="F40" s="95">
        <f>'DOE25'!I41</f>
        <v>0</v>
      </c>
      <c r="G40" s="95">
        <f>'DOE25'!J41</f>
        <v>307037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1275185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1558450</v>
      </c>
      <c r="D42" s="41">
        <f>SUM(D34:D41)</f>
        <v>9429</v>
      </c>
      <c r="E42" s="41">
        <f>SUM(E34:E41)</f>
        <v>-43434</v>
      </c>
      <c r="F42" s="41">
        <f>SUM(F34:F41)</f>
        <v>0</v>
      </c>
      <c r="G42" s="41">
        <f>SUM(G34:G41)</f>
        <v>307037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1764851</v>
      </c>
      <c r="D43" s="41">
        <f>D42+D32</f>
        <v>105269</v>
      </c>
      <c r="E43" s="41" t="e">
        <f>E42+E32</f>
        <v>#REF!</v>
      </c>
      <c r="F43" s="41">
        <f>F42+F32</f>
        <v>0</v>
      </c>
      <c r="G43" s="41">
        <f>G42+G32</f>
        <v>307037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8215100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1994492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7121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770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266417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3178</v>
      </c>
      <c r="D53" s="95">
        <f>SUM('DOE25'!G90:G102)</f>
        <v>0</v>
      </c>
      <c r="E53" s="95">
        <f>SUM('DOE25'!H90:H102)</f>
        <v>254156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2004791</v>
      </c>
      <c r="D54" s="130">
        <f>SUM(D49:D53)</f>
        <v>266417</v>
      </c>
      <c r="E54" s="130">
        <f>SUM(E49:E53)</f>
        <v>254156</v>
      </c>
      <c r="F54" s="130">
        <f>SUM(F49:F53)</f>
        <v>0</v>
      </c>
      <c r="G54" s="130">
        <f>SUM(G49:G53)</f>
        <v>770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10219891</v>
      </c>
      <c r="D55" s="22">
        <f>D48+D54</f>
        <v>266417</v>
      </c>
      <c r="E55" s="22">
        <f>E48+E54</f>
        <v>254156</v>
      </c>
      <c r="F55" s="22">
        <f>F48+F54</f>
        <v>0</v>
      </c>
      <c r="G55" s="22">
        <f>G48+G54</f>
        <v>770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4455866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1736007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1709576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7901449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418556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563042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18345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12150</v>
      </c>
      <c r="D69" s="95">
        <f>SUM('DOE25'!G123:G127)</f>
        <v>5646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1012093</v>
      </c>
      <c r="D70" s="130">
        <f>SUM(D64:D69)</f>
        <v>5646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8913542</v>
      </c>
      <c r="D73" s="130">
        <f>SUM(D71:D72)+D70+D62</f>
        <v>5646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198252</v>
      </c>
      <c r="D80" s="95">
        <f>SUM('DOE25'!G145:G153)</f>
        <v>258962</v>
      </c>
      <c r="E80" s="95">
        <f>SUM('DOE25'!H145:H153)</f>
        <v>1121752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198252</v>
      </c>
      <c r="D83" s="131">
        <f>SUM(D77:D82)</f>
        <v>258962</v>
      </c>
      <c r="E83" s="131">
        <f>SUM(E77:E82)</f>
        <v>1121752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65337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34978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34978</v>
      </c>
      <c r="D95" s="86">
        <f>SUM(D85:D94)</f>
        <v>65337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19366663</v>
      </c>
      <c r="D96" s="86">
        <f>D55+D73+D83+D95</f>
        <v>596362</v>
      </c>
      <c r="E96" s="86">
        <f>E55+E73+E83+E95</f>
        <v>1375908</v>
      </c>
      <c r="F96" s="86">
        <f>F55+F73+F83+F95</f>
        <v>0</v>
      </c>
      <c r="G96" s="86">
        <f>G55+G73+G95</f>
        <v>770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6958965</v>
      </c>
      <c r="D101" s="24" t="s">
        <v>312</v>
      </c>
      <c r="E101" s="95">
        <f>('DOE25'!L268)+('DOE25'!L287)+('DOE25'!L306)</f>
        <v>1419342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3632168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43203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176268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10810604</v>
      </c>
      <c r="D107" s="86">
        <f>SUM(D101:D106)</f>
        <v>0</v>
      </c>
      <c r="E107" s="86">
        <f>SUM(E101:E106)</f>
        <v>1419342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1273966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976559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1042671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997828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10684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1609605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751768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586933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6663081</v>
      </c>
      <c r="D120" s="86">
        <f>SUM(D110:D119)</f>
        <v>586933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84542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442803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65337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770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-770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1332682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18806367</v>
      </c>
      <c r="D137" s="86">
        <f>(D107+D120+D136)</f>
        <v>586933</v>
      </c>
      <c r="E137" s="86">
        <f>(E107+E120+E136)</f>
        <v>1419342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14750000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11050000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11050000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740000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740000</v>
      </c>
    </row>
    <row r="151" spans="1:7" x14ac:dyDescent="0.2">
      <c r="A151" s="22" t="s">
        <v>35</v>
      </c>
      <c r="B151" s="137">
        <f>'DOE25'!F488</f>
        <v>10310000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10310000</v>
      </c>
    </row>
    <row r="152" spans="1:7" x14ac:dyDescent="0.2">
      <c r="A152" s="22" t="s">
        <v>36</v>
      </c>
      <c r="B152" s="137">
        <f>'DOE25'!F489</f>
        <v>2804925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2804925</v>
      </c>
    </row>
    <row r="153" spans="1:7" x14ac:dyDescent="0.2">
      <c r="A153" s="22" t="s">
        <v>37</v>
      </c>
      <c r="B153" s="137">
        <f>'DOE25'!F490</f>
        <v>13114925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13114925</v>
      </c>
    </row>
    <row r="154" spans="1:7" x14ac:dyDescent="0.2">
      <c r="A154" s="22" t="s">
        <v>38</v>
      </c>
      <c r="B154" s="137">
        <f>'DOE25'!F491</f>
        <v>740000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740000</v>
      </c>
    </row>
    <row r="155" spans="1:7" x14ac:dyDescent="0.2">
      <c r="A155" s="22" t="s">
        <v>39</v>
      </c>
      <c r="B155" s="137">
        <f>'DOE25'!F492</f>
        <v>413203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413203</v>
      </c>
    </row>
    <row r="156" spans="1:7" x14ac:dyDescent="0.2">
      <c r="A156" s="22" t="s">
        <v>269</v>
      </c>
      <c r="B156" s="137">
        <f>'DOE25'!F493</f>
        <v>1153203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1153203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E25B-7592-47E5-B55B-307CF8282917}">
  <sheetPr codeName="Sheet3"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Hillsboro-Deering Coop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12778</v>
      </c>
    </row>
    <row r="5" spans="1:4" x14ac:dyDescent="0.2">
      <c r="B5" t="s">
        <v>735</v>
      </c>
      <c r="C5" s="179">
        <f>IF('DOE25'!G655+'DOE25'!G660=0,0,ROUND('DOE25'!G662,0))</f>
        <v>12936</v>
      </c>
    </row>
    <row r="6" spans="1:4" x14ac:dyDescent="0.2">
      <c r="B6" t="s">
        <v>62</v>
      </c>
      <c r="C6" s="179">
        <f>IF('DOE25'!H655+'DOE25'!H660=0,0,ROUND('DOE25'!H662,0))</f>
        <v>12307</v>
      </c>
    </row>
    <row r="7" spans="1:4" x14ac:dyDescent="0.2">
      <c r="B7" t="s">
        <v>736</v>
      </c>
      <c r="C7" s="179">
        <f>IF('DOE25'!I655+'DOE25'!I660=0,0,ROUND('DOE25'!I662,0))</f>
        <v>12651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8378307</v>
      </c>
      <c r="D10" s="182">
        <f>ROUND((C10/$C$28)*100,1)</f>
        <v>42.6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3632168</v>
      </c>
      <c r="D11" s="182">
        <f>ROUND((C11/$C$28)*100,1)</f>
        <v>18.5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43203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176268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1273966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976559</v>
      </c>
      <c r="D16" s="182">
        <f t="shared" si="0"/>
        <v>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1042671</v>
      </c>
      <c r="D17" s="182">
        <f t="shared" si="0"/>
        <v>5.3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997828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10684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1609605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751768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442803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320516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19656346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84542</v>
      </c>
    </row>
    <row r="30" spans="1:4" x14ac:dyDescent="0.2">
      <c r="B30" s="187" t="s">
        <v>760</v>
      </c>
      <c r="C30" s="180">
        <f>SUM(C28:C29)</f>
        <v>19740888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740000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8215100</v>
      </c>
      <c r="D35" s="182">
        <f t="shared" ref="D35:D40" si="1">ROUND((C35/$C$41)*100,1)</f>
        <v>39.200000000000003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2259717</v>
      </c>
      <c r="D36" s="182">
        <f t="shared" si="1"/>
        <v>10.8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6191873</v>
      </c>
      <c r="D37" s="182">
        <f t="shared" si="1"/>
        <v>29.5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2727315</v>
      </c>
      <c r="D38" s="182">
        <f t="shared" si="1"/>
        <v>13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1578966</v>
      </c>
      <c r="D39" s="182">
        <f t="shared" si="1"/>
        <v>7.5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20972971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61C-242A-4405-BA19-098B9C23C97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Hillsboro-Deering Coop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P40:CZ40"/>
    <mergeCell ref="DC40:DM40"/>
    <mergeCell ref="EP40:EZ40"/>
    <mergeCell ref="DP40:DZ40"/>
    <mergeCell ref="AP39:AZ39"/>
    <mergeCell ref="C39:M39"/>
    <mergeCell ref="AC40:AM40"/>
    <mergeCell ref="C42:M42"/>
    <mergeCell ref="IC40:IM40"/>
    <mergeCell ref="IP40:IV40"/>
    <mergeCell ref="GC40:GM40"/>
    <mergeCell ref="GP40:GZ40"/>
    <mergeCell ref="HC40:HM40"/>
    <mergeCell ref="HP40:HZ40"/>
    <mergeCell ref="C52:M52"/>
    <mergeCell ref="C50:M50"/>
    <mergeCell ref="C47:M47"/>
    <mergeCell ref="C48:M48"/>
    <mergeCell ref="C49:M49"/>
    <mergeCell ref="C43:M43"/>
    <mergeCell ref="C51:M51"/>
    <mergeCell ref="C45:M45"/>
    <mergeCell ref="C46:M46"/>
    <mergeCell ref="C44:M44"/>
    <mergeCell ref="DC39:DM39"/>
    <mergeCell ref="DP39:DZ39"/>
    <mergeCell ref="EC39:EM39"/>
    <mergeCell ref="GC39:GM39"/>
    <mergeCell ref="BC40:BM40"/>
    <mergeCell ref="BP40:BZ40"/>
    <mergeCell ref="EC40:EM40"/>
    <mergeCell ref="FC40:FM40"/>
    <mergeCell ref="FP40:FZ40"/>
    <mergeCell ref="CC40:CM40"/>
    <mergeCell ref="HC38:HM38"/>
    <mergeCell ref="GP38:GZ38"/>
    <mergeCell ref="HP39:HZ39"/>
    <mergeCell ref="IC39:IM39"/>
    <mergeCell ref="HC39:HM39"/>
    <mergeCell ref="GP39:GZ39"/>
    <mergeCell ref="HP38:HZ38"/>
    <mergeCell ref="IC38:IM38"/>
    <mergeCell ref="FP38:FZ38"/>
    <mergeCell ref="GC38:GM38"/>
    <mergeCell ref="DP32:DZ32"/>
    <mergeCell ref="IP38:IV38"/>
    <mergeCell ref="CC39:CM39"/>
    <mergeCell ref="CP39:CZ39"/>
    <mergeCell ref="IP39:IV39"/>
    <mergeCell ref="EP39:EZ39"/>
    <mergeCell ref="FC39:FM39"/>
    <mergeCell ref="FP39:FZ39"/>
    <mergeCell ref="CC32:CM32"/>
    <mergeCell ref="CP38:CZ38"/>
    <mergeCell ref="DC38:DM38"/>
    <mergeCell ref="DC32:DM32"/>
    <mergeCell ref="EP38:EZ38"/>
    <mergeCell ref="FC38:FM38"/>
    <mergeCell ref="EC38:EM38"/>
    <mergeCell ref="DP38:DZ38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CC38:CM38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GP31:GZ31"/>
    <mergeCell ref="DC31:DM31"/>
    <mergeCell ref="FC30:FM30"/>
    <mergeCell ref="CC30:CM30"/>
    <mergeCell ref="CP30:CZ30"/>
    <mergeCell ref="DC30:DM30"/>
    <mergeCell ref="DP30:DZ30"/>
    <mergeCell ref="EC30:EM30"/>
    <mergeCell ref="EP30:EZ30"/>
    <mergeCell ref="BC30:BM30"/>
    <mergeCell ref="BC31:BM31"/>
    <mergeCell ref="BC32:BM32"/>
    <mergeCell ref="BC39:BM39"/>
    <mergeCell ref="BP31:BZ31"/>
    <mergeCell ref="BC38:BM38"/>
    <mergeCell ref="BP38:BZ38"/>
    <mergeCell ref="BP39:BZ39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CP29:CZ29"/>
    <mergeCell ref="DC29:DM29"/>
    <mergeCell ref="DP29:DZ29"/>
    <mergeCell ref="EC29:EM29"/>
    <mergeCell ref="EP29:EZ29"/>
    <mergeCell ref="P29:Z29"/>
    <mergeCell ref="AC29:AM29"/>
    <mergeCell ref="C41:M41"/>
    <mergeCell ref="C33:M33"/>
    <mergeCell ref="AP40:AZ40"/>
    <mergeCell ref="P38:Z38"/>
    <mergeCell ref="AC38:AM38"/>
    <mergeCell ref="AP38:AZ38"/>
    <mergeCell ref="C40:M40"/>
    <mergeCell ref="P40:Z40"/>
    <mergeCell ref="P39:Z39"/>
    <mergeCell ref="AC39:AM39"/>
    <mergeCell ref="IC29:IM29"/>
    <mergeCell ref="HC29:HM29"/>
    <mergeCell ref="HP29:HZ29"/>
    <mergeCell ref="AC31:AM31"/>
    <mergeCell ref="AP31:AZ31"/>
    <mergeCell ref="P30:Z30"/>
    <mergeCell ref="AC30:AM30"/>
    <mergeCell ref="AP30:AZ30"/>
    <mergeCell ref="GC29:GM29"/>
    <mergeCell ref="GP29:GZ29"/>
    <mergeCell ref="C10:M10"/>
    <mergeCell ref="C11:M11"/>
    <mergeCell ref="C12:M12"/>
    <mergeCell ref="AP32:AZ32"/>
    <mergeCell ref="FC29:FM29"/>
    <mergeCell ref="FP29:FZ29"/>
    <mergeCell ref="AC32:AM32"/>
    <mergeCell ref="BC29:BM29"/>
    <mergeCell ref="BP29:BZ29"/>
    <mergeCell ref="CC29:CM29"/>
    <mergeCell ref="C31:M31"/>
    <mergeCell ref="P31:Z31"/>
    <mergeCell ref="P32:Z32"/>
    <mergeCell ref="IP29:IV29"/>
    <mergeCell ref="C5:M5"/>
    <mergeCell ref="C6:M6"/>
    <mergeCell ref="C7:M7"/>
    <mergeCell ref="C8:M8"/>
    <mergeCell ref="AP29:AZ29"/>
    <mergeCell ref="C9:M9"/>
    <mergeCell ref="C59:M59"/>
    <mergeCell ref="C60:M60"/>
    <mergeCell ref="C58:M58"/>
    <mergeCell ref="A2:E2"/>
    <mergeCell ref="A1:I1"/>
    <mergeCell ref="C3:M3"/>
    <mergeCell ref="C4:M4"/>
    <mergeCell ref="F2:I2"/>
    <mergeCell ref="C32:M32"/>
    <mergeCell ref="C30:M30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2010-08-30T16:47:56Z</cp:lastPrinted>
  <dcterms:created xsi:type="dcterms:W3CDTF">1997-12-04T19:04:30Z</dcterms:created>
  <dcterms:modified xsi:type="dcterms:W3CDTF">2025-01-02T15:02:49Z</dcterms:modified>
</cp:coreProperties>
</file>