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5B7CD3A4-5C4B-41FE-9948-C7922C6CA4B8}" xr6:coauthVersionLast="47" xr6:coauthVersionMax="47" xr10:uidLastSave="{00000000-0000-0000-0000-000000000000}"/>
  <workbookProtection workbookPassword="B70A" lockStructure="1"/>
  <bookViews>
    <workbookView xWindow="3540" yWindow="3540" windowWidth="21600" windowHeight="11505" tabRatio="855" xr2:uid="{396F53B4-91AE-49C2-B6F9-2AA0519D5E8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6" i="1" l="1"/>
  <c r="H228" i="1"/>
  <c r="H218" i="1"/>
  <c r="L218" i="1" s="1"/>
  <c r="H210" i="1"/>
  <c r="H227" i="1"/>
  <c r="L227" i="1" s="1"/>
  <c r="C103" i="2" s="1"/>
  <c r="I236" i="1"/>
  <c r="L236" i="1" s="1"/>
  <c r="B37" i="12"/>
  <c r="B40" i="12" s="1"/>
  <c r="A40" i="12" s="1"/>
  <c r="G23" i="1"/>
  <c r="G41" i="1"/>
  <c r="J352" i="1"/>
  <c r="G89" i="1"/>
  <c r="D52" i="2" s="1"/>
  <c r="H512" i="1"/>
  <c r="H514" i="1" s="1"/>
  <c r="H535" i="1" s="1"/>
  <c r="H518" i="1"/>
  <c r="H513" i="1"/>
  <c r="F518" i="1"/>
  <c r="F513" i="1"/>
  <c r="L513" i="1" s="1"/>
  <c r="F541" i="1" s="1"/>
  <c r="H517" i="1"/>
  <c r="F517" i="1"/>
  <c r="L517" i="1" s="1"/>
  <c r="G540" i="1" s="1"/>
  <c r="F512" i="1"/>
  <c r="G518" i="1"/>
  <c r="G517" i="1"/>
  <c r="G513" i="1"/>
  <c r="G512" i="1"/>
  <c r="L512" i="1" s="1"/>
  <c r="F540" i="1" s="1"/>
  <c r="K540" i="1" s="1"/>
  <c r="I488" i="1"/>
  <c r="E151" i="2" s="1"/>
  <c r="G151" i="2" s="1"/>
  <c r="H488" i="1"/>
  <c r="G488" i="1"/>
  <c r="F488" i="1"/>
  <c r="K488" i="1" s="1"/>
  <c r="H572" i="1"/>
  <c r="I572" i="1" s="1"/>
  <c r="J594" i="1"/>
  <c r="J595" i="1" s="1"/>
  <c r="I594" i="1"/>
  <c r="I595" i="1" s="1"/>
  <c r="J581" i="1"/>
  <c r="I581" i="1"/>
  <c r="H360" i="1"/>
  <c r="G360" i="1"/>
  <c r="G221" i="1"/>
  <c r="G249" i="1" s="1"/>
  <c r="G263" i="1" s="1"/>
  <c r="G239" i="1"/>
  <c r="F352" i="1"/>
  <c r="F351" i="1"/>
  <c r="H311" i="1"/>
  <c r="H309" i="1"/>
  <c r="L309" i="1" s="1"/>
  <c r="G311" i="1"/>
  <c r="G320" i="1" s="1"/>
  <c r="F311" i="1"/>
  <c r="F320" i="1" s="1"/>
  <c r="H328" i="1"/>
  <c r="H235" i="1"/>
  <c r="H232" i="1"/>
  <c r="I231" i="1"/>
  <c r="H233" i="1"/>
  <c r="L233" i="1" s="1"/>
  <c r="H230" i="1"/>
  <c r="H226" i="1"/>
  <c r="F230" i="1"/>
  <c r="L230" i="1" s="1"/>
  <c r="F225" i="1"/>
  <c r="F239" i="1" s="1"/>
  <c r="H217" i="1"/>
  <c r="L217" i="1" s="1"/>
  <c r="H214" i="1"/>
  <c r="L214" i="1" s="1"/>
  <c r="I213" i="1"/>
  <c r="L213" i="1" s="1"/>
  <c r="H215" i="1"/>
  <c r="L215" i="1" s="1"/>
  <c r="H212" i="1"/>
  <c r="H208" i="1"/>
  <c r="F213" i="1"/>
  <c r="F212" i="1"/>
  <c r="L212" i="1" s="1"/>
  <c r="C110" i="2" s="1"/>
  <c r="F207" i="1"/>
  <c r="F221" i="1" s="1"/>
  <c r="K227" i="1"/>
  <c r="J225" i="1"/>
  <c r="I235" i="1"/>
  <c r="I230" i="1"/>
  <c r="I225" i="1"/>
  <c r="I239" i="1" s="1"/>
  <c r="H231" i="1"/>
  <c r="H225" i="1"/>
  <c r="F231" i="1"/>
  <c r="J215" i="1"/>
  <c r="I207" i="1"/>
  <c r="H207" i="1"/>
  <c r="H221" i="1" s="1"/>
  <c r="H151" i="1"/>
  <c r="H154" i="1" s="1"/>
  <c r="H161" i="1" s="1"/>
  <c r="H147" i="1"/>
  <c r="G150" i="1"/>
  <c r="H94" i="1"/>
  <c r="H103" i="1" s="1"/>
  <c r="F49" i="1"/>
  <c r="F52" i="1" s="1"/>
  <c r="F42" i="1"/>
  <c r="F43" i="1" s="1"/>
  <c r="F25" i="1"/>
  <c r="C24" i="2" s="1"/>
  <c r="C32" i="2" s="1"/>
  <c r="I41" i="1"/>
  <c r="H41" i="1"/>
  <c r="H25" i="1"/>
  <c r="G9" i="1"/>
  <c r="F12" i="1"/>
  <c r="F19" i="1" s="1"/>
  <c r="G607" i="1" s="1"/>
  <c r="F462" i="1"/>
  <c r="H622" i="1" s="1"/>
  <c r="H462" i="1"/>
  <c r="H458" i="1"/>
  <c r="C60" i="2"/>
  <c r="B2" i="13"/>
  <c r="F8" i="13"/>
  <c r="G8" i="13"/>
  <c r="L196" i="1"/>
  <c r="E8" i="13" s="1"/>
  <c r="L232" i="1"/>
  <c r="D39" i="13"/>
  <c r="F13" i="13"/>
  <c r="G13" i="13"/>
  <c r="L198" i="1"/>
  <c r="C19" i="10" s="1"/>
  <c r="L216" i="1"/>
  <c r="E13" i="13" s="1"/>
  <c r="C13" i="13" s="1"/>
  <c r="L234" i="1"/>
  <c r="F16" i="13"/>
  <c r="G16" i="13"/>
  <c r="L201" i="1"/>
  <c r="L219" i="1"/>
  <c r="L237" i="1"/>
  <c r="E16" i="13"/>
  <c r="C16" i="13" s="1"/>
  <c r="F5" i="13"/>
  <c r="G5" i="13"/>
  <c r="L189" i="1"/>
  <c r="L190" i="1"/>
  <c r="C102" i="2" s="1"/>
  <c r="L191" i="1"/>
  <c r="L192" i="1"/>
  <c r="L208" i="1"/>
  <c r="L209" i="1"/>
  <c r="L210" i="1"/>
  <c r="C104" i="2" s="1"/>
  <c r="L225" i="1"/>
  <c r="L226" i="1"/>
  <c r="L228" i="1"/>
  <c r="F6" i="13"/>
  <c r="G6" i="13"/>
  <c r="L194" i="1"/>
  <c r="F7" i="13"/>
  <c r="G7" i="13"/>
  <c r="L195" i="1"/>
  <c r="L231" i="1"/>
  <c r="F12" i="13"/>
  <c r="G12" i="13"/>
  <c r="L197" i="1"/>
  <c r="F14" i="13"/>
  <c r="G14" i="13"/>
  <c r="L199" i="1"/>
  <c r="L235" i="1"/>
  <c r="F15" i="13"/>
  <c r="G15" i="13"/>
  <c r="L200" i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L352" i="1"/>
  <c r="D29" i="13" s="1"/>
  <c r="C29" i="13" s="1"/>
  <c r="I359" i="1"/>
  <c r="J282" i="1"/>
  <c r="F31" i="13" s="1"/>
  <c r="J301" i="1"/>
  <c r="J320" i="1"/>
  <c r="K282" i="1"/>
  <c r="K301" i="1"/>
  <c r="G31" i="13" s="1"/>
  <c r="K320" i="1"/>
  <c r="K330" i="1" s="1"/>
  <c r="K344" i="1" s="1"/>
  <c r="L268" i="1"/>
  <c r="L269" i="1"/>
  <c r="L282" i="1" s="1"/>
  <c r="L270" i="1"/>
  <c r="L271" i="1"/>
  <c r="L273" i="1"/>
  <c r="L274" i="1"/>
  <c r="L275" i="1"/>
  <c r="L276" i="1"/>
  <c r="L277" i="1"/>
  <c r="L278" i="1"/>
  <c r="E115" i="2" s="1"/>
  <c r="L279" i="1"/>
  <c r="E116" i="2" s="1"/>
  <c r="L280" i="1"/>
  <c r="L287" i="1"/>
  <c r="L288" i="1"/>
  <c r="L301" i="1" s="1"/>
  <c r="L289" i="1"/>
  <c r="L290" i="1"/>
  <c r="L292" i="1"/>
  <c r="L293" i="1"/>
  <c r="L294" i="1"/>
  <c r="L295" i="1"/>
  <c r="L296" i="1"/>
  <c r="E114" i="2" s="1"/>
  <c r="L297" i="1"/>
  <c r="L298" i="1"/>
  <c r="L299" i="1"/>
  <c r="L306" i="1"/>
  <c r="L307" i="1"/>
  <c r="L308" i="1"/>
  <c r="L312" i="1"/>
  <c r="L313" i="1"/>
  <c r="L314" i="1"/>
  <c r="L315" i="1"/>
  <c r="L316" i="1"/>
  <c r="L317" i="1"/>
  <c r="L318" i="1"/>
  <c r="E117" i="2" s="1"/>
  <c r="L325" i="1"/>
  <c r="E106" i="2" s="1"/>
  <c r="L326" i="1"/>
  <c r="L327" i="1"/>
  <c r="L252" i="1"/>
  <c r="H25" i="13" s="1"/>
  <c r="L253" i="1"/>
  <c r="L333" i="1"/>
  <c r="E123" i="2" s="1"/>
  <c r="L334" i="1"/>
  <c r="E124" i="2" s="1"/>
  <c r="L247" i="1"/>
  <c r="C122" i="2" s="1"/>
  <c r="L328" i="1"/>
  <c r="C11" i="13"/>
  <c r="C10" i="13"/>
  <c r="C9" i="13"/>
  <c r="L353" i="1"/>
  <c r="L354" i="1" s="1"/>
  <c r="B4" i="12"/>
  <c r="B36" i="12"/>
  <c r="C36" i="12"/>
  <c r="C40" i="12"/>
  <c r="B27" i="12"/>
  <c r="C27" i="12"/>
  <c r="B31" i="12"/>
  <c r="A31" i="12" s="1"/>
  <c r="C31" i="12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3" i="1" s="1"/>
  <c r="C131" i="2" s="1"/>
  <c r="L390" i="1"/>
  <c r="L391" i="1"/>
  <c r="L392" i="1"/>
  <c r="L395" i="1"/>
  <c r="L396" i="1"/>
  <c r="L397" i="1"/>
  <c r="L399" i="1" s="1"/>
  <c r="C132" i="2" s="1"/>
  <c r="L398" i="1"/>
  <c r="L258" i="1"/>
  <c r="J52" i="1"/>
  <c r="J104" i="1" s="1"/>
  <c r="G51" i="2"/>
  <c r="G54" i="2" s="1"/>
  <c r="G53" i="2"/>
  <c r="F2" i="11"/>
  <c r="L603" i="1"/>
  <c r="H653" i="1" s="1"/>
  <c r="L602" i="1"/>
  <c r="G653" i="1"/>
  <c r="L601" i="1"/>
  <c r="F653" i="1" s="1"/>
  <c r="I653" i="1" s="1"/>
  <c r="C40" i="10"/>
  <c r="G52" i="1"/>
  <c r="H52" i="1"/>
  <c r="I52" i="1"/>
  <c r="F71" i="1"/>
  <c r="C49" i="2" s="1"/>
  <c r="C54" i="2" s="1"/>
  <c r="F86" i="1"/>
  <c r="F103" i="1"/>
  <c r="H71" i="1"/>
  <c r="E49" i="2" s="1"/>
  <c r="E54" i="2" s="1"/>
  <c r="H86" i="1"/>
  <c r="E50" i="2" s="1"/>
  <c r="I103" i="1"/>
  <c r="I104" i="1"/>
  <c r="I185" i="1" s="1"/>
  <c r="G620" i="1" s="1"/>
  <c r="J620" i="1" s="1"/>
  <c r="J103" i="1"/>
  <c r="C37" i="10"/>
  <c r="F113" i="1"/>
  <c r="F128" i="1"/>
  <c r="F132" i="1"/>
  <c r="G113" i="1"/>
  <c r="G132" i="1" s="1"/>
  <c r="G128" i="1"/>
  <c r="H113" i="1"/>
  <c r="H128" i="1"/>
  <c r="H132" i="1"/>
  <c r="I113" i="1"/>
  <c r="I128" i="1"/>
  <c r="I132" i="1"/>
  <c r="J113" i="1"/>
  <c r="J128" i="1"/>
  <c r="J132" i="1"/>
  <c r="F139" i="1"/>
  <c r="F161" i="1" s="1"/>
  <c r="F154" i="1"/>
  <c r="G139" i="1"/>
  <c r="G161" i="1" s="1"/>
  <c r="G154" i="1"/>
  <c r="H139" i="1"/>
  <c r="E77" i="2" s="1"/>
  <c r="I139" i="1"/>
  <c r="I161" i="1" s="1"/>
  <c r="I154" i="1"/>
  <c r="C11" i="10"/>
  <c r="L242" i="1"/>
  <c r="C105" i="2" s="1"/>
  <c r="L324" i="1"/>
  <c r="E105" i="2" s="1"/>
  <c r="C23" i="10"/>
  <c r="L246" i="1"/>
  <c r="L260" i="1"/>
  <c r="L261" i="1"/>
  <c r="C26" i="10" s="1"/>
  <c r="L341" i="1"/>
  <c r="E134" i="2" s="1"/>
  <c r="L342" i="1"/>
  <c r="I655" i="1"/>
  <c r="I660" i="1"/>
  <c r="L203" i="1"/>
  <c r="I659" i="1"/>
  <c r="C4" i="10"/>
  <c r="C42" i="10"/>
  <c r="L366" i="1"/>
  <c r="L367" i="1"/>
  <c r="L368" i="1"/>
  <c r="L369" i="1"/>
  <c r="L374" i="1" s="1"/>
  <c r="G626" i="1" s="1"/>
  <c r="J626" i="1" s="1"/>
  <c r="L370" i="1"/>
  <c r="L371" i="1"/>
  <c r="L372" i="1"/>
  <c r="B2" i="10"/>
  <c r="L336" i="1"/>
  <c r="L337" i="1"/>
  <c r="L338" i="1"/>
  <c r="L339" i="1"/>
  <c r="K343" i="1"/>
  <c r="L511" i="1"/>
  <c r="F539" i="1"/>
  <c r="L516" i="1"/>
  <c r="L519" i="1" s="1"/>
  <c r="G539" i="1"/>
  <c r="L518" i="1"/>
  <c r="G541" i="1" s="1"/>
  <c r="L521" i="1"/>
  <c r="H539" i="1" s="1"/>
  <c r="H542" i="1" s="1"/>
  <c r="L522" i="1"/>
  <c r="H540" i="1" s="1"/>
  <c r="L523" i="1"/>
  <c r="H541" i="1"/>
  <c r="L526" i="1"/>
  <c r="I539" i="1"/>
  <c r="L527" i="1"/>
  <c r="I540" i="1" s="1"/>
  <c r="I542" i="1" s="1"/>
  <c r="L528" i="1"/>
  <c r="I541" i="1"/>
  <c r="L531" i="1"/>
  <c r="J539" i="1" s="1"/>
  <c r="L532" i="1"/>
  <c r="J540" i="1"/>
  <c r="L533" i="1"/>
  <c r="J541" i="1" s="1"/>
  <c r="K262" i="1"/>
  <c r="J262" i="1"/>
  <c r="I262" i="1"/>
  <c r="H262" i="1"/>
  <c r="L262" i="1" s="1"/>
  <c r="G262" i="1"/>
  <c r="F262" i="1"/>
  <c r="C124" i="2"/>
  <c r="A1" i="2"/>
  <c r="A2" i="2"/>
  <c r="C9" i="2"/>
  <c r="D9" i="2"/>
  <c r="E9" i="2"/>
  <c r="F9" i="2"/>
  <c r="I431" i="1"/>
  <c r="I438" i="1" s="1"/>
  <c r="G632" i="1" s="1"/>
  <c r="J9" i="1"/>
  <c r="G9" i="2" s="1"/>
  <c r="G19" i="2" s="1"/>
  <c r="C10" i="2"/>
  <c r="D10" i="2"/>
  <c r="E10" i="2"/>
  <c r="F10" i="2"/>
  <c r="I432" i="1"/>
  <c r="J10" i="1" s="1"/>
  <c r="G10" i="2" s="1"/>
  <c r="C11" i="2"/>
  <c r="D12" i="2"/>
  <c r="D19" i="2" s="1"/>
  <c r="E12" i="2"/>
  <c r="E19" i="2" s="1"/>
  <c r="F12" i="2"/>
  <c r="I433" i="1"/>
  <c r="J12" i="1"/>
  <c r="G12" i="2" s="1"/>
  <c r="C13" i="2"/>
  <c r="D13" i="2"/>
  <c r="E13" i="2"/>
  <c r="F13" i="2"/>
  <c r="I434" i="1"/>
  <c r="J13" i="1"/>
  <c r="G13" i="2"/>
  <c r="C14" i="2"/>
  <c r="D14" i="2"/>
  <c r="E14" i="2"/>
  <c r="F14" i="2"/>
  <c r="F19" i="2" s="1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C23" i="2"/>
  <c r="D23" i="2"/>
  <c r="D32" i="2" s="1"/>
  <c r="E23" i="2"/>
  <c r="E32" i="2" s="1"/>
  <c r="F23" i="2"/>
  <c r="F32" i="2" s="1"/>
  <c r="I441" i="1"/>
  <c r="J24" i="1" s="1"/>
  <c r="G23" i="2" s="1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E34" i="2"/>
  <c r="F34" i="2"/>
  <c r="F42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D42" i="2" s="1"/>
  <c r="E38" i="2"/>
  <c r="E42" i="2" s="1"/>
  <c r="E43" i="2" s="1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D48" i="2"/>
  <c r="E48" i="2"/>
  <c r="F48" i="2"/>
  <c r="C50" i="2"/>
  <c r="C51" i="2"/>
  <c r="D51" i="2"/>
  <c r="E51" i="2"/>
  <c r="F51" i="2"/>
  <c r="F54" i="2" s="1"/>
  <c r="C53" i="2"/>
  <c r="D53" i="2"/>
  <c r="E53" i="2"/>
  <c r="F53" i="2"/>
  <c r="C58" i="2"/>
  <c r="C62" i="2" s="1"/>
  <c r="C59" i="2"/>
  <c r="C61" i="2"/>
  <c r="D61" i="2"/>
  <c r="E61" i="2"/>
  <c r="F61" i="2"/>
  <c r="G61" i="2"/>
  <c r="D62" i="2"/>
  <c r="E62" i="2"/>
  <c r="E73" i="2" s="1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G70" i="2" s="1"/>
  <c r="G73" i="2" s="1"/>
  <c r="D70" i="2"/>
  <c r="D73" i="2" s="1"/>
  <c r="E70" i="2"/>
  <c r="C71" i="2"/>
  <c r="D71" i="2"/>
  <c r="E71" i="2"/>
  <c r="C72" i="2"/>
  <c r="E72" i="2"/>
  <c r="C77" i="2"/>
  <c r="F77" i="2"/>
  <c r="F83" i="2" s="1"/>
  <c r="C79" i="2"/>
  <c r="C83" i="2" s="1"/>
  <c r="E79" i="2"/>
  <c r="F79" i="2"/>
  <c r="C80" i="2"/>
  <c r="D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G95" i="2" s="1"/>
  <c r="C89" i="2"/>
  <c r="D89" i="2"/>
  <c r="E89" i="2"/>
  <c r="F89" i="2"/>
  <c r="G89" i="2"/>
  <c r="C90" i="2"/>
  <c r="D90" i="2"/>
  <c r="D95" i="2" s="1"/>
  <c r="E90" i="2"/>
  <c r="G90" i="2"/>
  <c r="C91" i="2"/>
  <c r="D91" i="2"/>
  <c r="E91" i="2"/>
  <c r="E95" i="2" s="1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3" i="2"/>
  <c r="D107" i="2"/>
  <c r="F107" i="2"/>
  <c r="G107" i="2"/>
  <c r="E111" i="2"/>
  <c r="E112" i="2"/>
  <c r="E113" i="2"/>
  <c r="C114" i="2"/>
  <c r="C117" i="2"/>
  <c r="F120" i="2"/>
  <c r="G120" i="2"/>
  <c r="E122" i="2"/>
  <c r="D126" i="2"/>
  <c r="D136" i="2" s="1"/>
  <c r="E126" i="2"/>
  <c r="F126" i="2"/>
  <c r="K411" i="1"/>
  <c r="K419" i="1"/>
  <c r="K425" i="1"/>
  <c r="K426" i="1"/>
  <c r="G126" i="2"/>
  <c r="G136" i="2" s="1"/>
  <c r="L255" i="1"/>
  <c r="C127" i="2"/>
  <c r="E127" i="2"/>
  <c r="L256" i="1"/>
  <c r="C128" i="2"/>
  <c r="L257" i="1"/>
  <c r="C129" i="2" s="1"/>
  <c r="E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F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 s="1"/>
  <c r="H493" i="1"/>
  <c r="D156" i="2" s="1"/>
  <c r="I493" i="1"/>
  <c r="K493" i="1" s="1"/>
  <c r="E156" i="2"/>
  <c r="J493" i="1"/>
  <c r="F156" i="2"/>
  <c r="G19" i="1"/>
  <c r="G608" i="1" s="1"/>
  <c r="J608" i="1" s="1"/>
  <c r="H19" i="1"/>
  <c r="I19" i="1"/>
  <c r="G33" i="1"/>
  <c r="H33" i="1"/>
  <c r="I33" i="1"/>
  <c r="G43" i="1"/>
  <c r="G44" i="1" s="1"/>
  <c r="H608" i="1" s="1"/>
  <c r="H43" i="1"/>
  <c r="G614" i="1" s="1"/>
  <c r="I43" i="1"/>
  <c r="I44" i="1" s="1"/>
  <c r="H610" i="1" s="1"/>
  <c r="J610" i="1" s="1"/>
  <c r="F169" i="1"/>
  <c r="F184" i="1" s="1"/>
  <c r="I169" i="1"/>
  <c r="F175" i="1"/>
  <c r="G175" i="1"/>
  <c r="H175" i="1"/>
  <c r="H184" i="1" s="1"/>
  <c r="I175" i="1"/>
  <c r="I184" i="1" s="1"/>
  <c r="J175" i="1"/>
  <c r="J184" i="1" s="1"/>
  <c r="F180" i="1"/>
  <c r="G180" i="1"/>
  <c r="H180" i="1"/>
  <c r="I180" i="1"/>
  <c r="G184" i="1"/>
  <c r="F203" i="1"/>
  <c r="G203" i="1"/>
  <c r="H203" i="1"/>
  <c r="I203" i="1"/>
  <c r="I249" i="1" s="1"/>
  <c r="I263" i="1" s="1"/>
  <c r="J203" i="1"/>
  <c r="K203" i="1"/>
  <c r="K249" i="1" s="1"/>
  <c r="K263" i="1" s="1"/>
  <c r="I221" i="1"/>
  <c r="J221" i="1"/>
  <c r="K221" i="1"/>
  <c r="J239" i="1"/>
  <c r="K239" i="1"/>
  <c r="F248" i="1"/>
  <c r="G248" i="1"/>
  <c r="H248" i="1"/>
  <c r="L248" i="1" s="1"/>
  <c r="I248" i="1"/>
  <c r="J248" i="1"/>
  <c r="K248" i="1"/>
  <c r="J249" i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I301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G399" i="1"/>
  <c r="G400" i="1" s="1"/>
  <c r="H635" i="1" s="1"/>
  <c r="H399" i="1"/>
  <c r="I399" i="1"/>
  <c r="H400" i="1"/>
  <c r="I400" i="1"/>
  <c r="L405" i="1"/>
  <c r="L406" i="1"/>
  <c r="L407" i="1"/>
  <c r="L408" i="1"/>
  <c r="L411" i="1" s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F426" i="1" s="1"/>
  <c r="G425" i="1"/>
  <c r="H425" i="1"/>
  <c r="I425" i="1"/>
  <c r="J425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G460" i="1"/>
  <c r="G466" i="1" s="1"/>
  <c r="H613" i="1" s="1"/>
  <c r="H460" i="1"/>
  <c r="H466" i="1" s="1"/>
  <c r="H614" i="1" s="1"/>
  <c r="I460" i="1"/>
  <c r="J460" i="1"/>
  <c r="G464" i="1"/>
  <c r="H464" i="1"/>
  <c r="I464" i="1"/>
  <c r="I466" i="1" s="1"/>
  <c r="H615" i="1" s="1"/>
  <c r="J464" i="1"/>
  <c r="J466" i="1"/>
  <c r="H616" i="1" s="1"/>
  <c r="K485" i="1"/>
  <c r="K486" i="1"/>
  <c r="K487" i="1"/>
  <c r="K489" i="1"/>
  <c r="K491" i="1"/>
  <c r="K492" i="1"/>
  <c r="F507" i="1"/>
  <c r="G507" i="1"/>
  <c r="H507" i="1"/>
  <c r="I507" i="1"/>
  <c r="I514" i="1"/>
  <c r="I535" i="1" s="1"/>
  <c r="J514" i="1"/>
  <c r="J535" i="1" s="1"/>
  <c r="K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G561" i="1" s="1"/>
  <c r="H550" i="1"/>
  <c r="H561" i="1" s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K561" i="1" s="1"/>
  <c r="I561" i="1"/>
  <c r="J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5" i="1" s="1"/>
  <c r="G638" i="1" s="1"/>
  <c r="K593" i="1"/>
  <c r="K594" i="1"/>
  <c r="H595" i="1"/>
  <c r="F604" i="1"/>
  <c r="G604" i="1"/>
  <c r="H604" i="1"/>
  <c r="I604" i="1"/>
  <c r="J604" i="1"/>
  <c r="K604" i="1"/>
  <c r="G609" i="1"/>
  <c r="G610" i="1"/>
  <c r="G613" i="1"/>
  <c r="J613" i="1" s="1"/>
  <c r="G615" i="1"/>
  <c r="J615" i="1" s="1"/>
  <c r="H617" i="1"/>
  <c r="H618" i="1"/>
  <c r="H619" i="1"/>
  <c r="H620" i="1"/>
  <c r="H621" i="1"/>
  <c r="H623" i="1"/>
  <c r="H625" i="1"/>
  <c r="H626" i="1"/>
  <c r="H627" i="1"/>
  <c r="H628" i="1"/>
  <c r="H629" i="1"/>
  <c r="G630" i="1"/>
  <c r="G631" i="1"/>
  <c r="J631" i="1" s="1"/>
  <c r="G633" i="1"/>
  <c r="J633" i="1" s="1"/>
  <c r="G634" i="1"/>
  <c r="H634" i="1"/>
  <c r="J634" i="1"/>
  <c r="G635" i="1"/>
  <c r="J635" i="1" s="1"/>
  <c r="G639" i="1"/>
  <c r="J639" i="1" s="1"/>
  <c r="H641" i="1"/>
  <c r="G642" i="1"/>
  <c r="H642" i="1"/>
  <c r="J642" i="1"/>
  <c r="G643" i="1"/>
  <c r="J643" i="1" s="1"/>
  <c r="H643" i="1"/>
  <c r="G644" i="1"/>
  <c r="H644" i="1"/>
  <c r="J644" i="1" s="1"/>
  <c r="G645" i="1"/>
  <c r="J645" i="1" s="1"/>
  <c r="H645" i="1"/>
  <c r="H33" i="13" l="1"/>
  <c r="C25" i="13"/>
  <c r="F650" i="1"/>
  <c r="E107" i="2"/>
  <c r="F43" i="2"/>
  <c r="C19" i="2"/>
  <c r="K539" i="1"/>
  <c r="K542" i="1" s="1"/>
  <c r="D54" i="2"/>
  <c r="D55" i="2" s="1"/>
  <c r="J542" i="1"/>
  <c r="J185" i="1"/>
  <c r="C27" i="10"/>
  <c r="G625" i="1"/>
  <c r="J625" i="1" s="1"/>
  <c r="J637" i="1"/>
  <c r="F542" i="1"/>
  <c r="C39" i="10"/>
  <c r="C38" i="10"/>
  <c r="C133" i="2"/>
  <c r="L400" i="1"/>
  <c r="J609" i="1"/>
  <c r="G36" i="2"/>
  <c r="G42" i="2" s="1"/>
  <c r="J43" i="1"/>
  <c r="L514" i="1"/>
  <c r="C8" i="13"/>
  <c r="E33" i="13"/>
  <c r="D35" i="13" s="1"/>
  <c r="C113" i="2"/>
  <c r="C120" i="2" s="1"/>
  <c r="C18" i="10"/>
  <c r="F55" i="2"/>
  <c r="F96" i="2" s="1"/>
  <c r="D12" i="13"/>
  <c r="C12" i="13" s="1"/>
  <c r="L239" i="1"/>
  <c r="D7" i="13"/>
  <c r="C7" i="13" s="1"/>
  <c r="C111" i="2"/>
  <c r="C16" i="10"/>
  <c r="H652" i="1"/>
  <c r="G641" i="1"/>
  <c r="J641" i="1" s="1"/>
  <c r="J624" i="1"/>
  <c r="F249" i="1"/>
  <c r="F263" i="1" s="1"/>
  <c r="E55" i="2"/>
  <c r="G612" i="1"/>
  <c r="C112" i="2"/>
  <c r="C17" i="10"/>
  <c r="G32" i="2"/>
  <c r="C136" i="2"/>
  <c r="C48" i="2"/>
  <c r="C55" i="2" s="1"/>
  <c r="C96" i="2" s="1"/>
  <c r="F104" i="1"/>
  <c r="F185" i="1" s="1"/>
  <c r="G617" i="1" s="1"/>
  <c r="J617" i="1" s="1"/>
  <c r="C35" i="10"/>
  <c r="C20" i="10"/>
  <c r="C115" i="2"/>
  <c r="D14" i="13"/>
  <c r="C14" i="13" s="1"/>
  <c r="E104" i="2"/>
  <c r="K541" i="1"/>
  <c r="F466" i="1"/>
  <c r="H612" i="1" s="1"/>
  <c r="J614" i="1"/>
  <c r="I451" i="1"/>
  <c r="H632" i="1" s="1"/>
  <c r="J632" i="1" s="1"/>
  <c r="C21" i="10"/>
  <c r="C116" i="2"/>
  <c r="G640" i="1"/>
  <c r="J640" i="1" s="1"/>
  <c r="H637" i="1"/>
  <c r="G652" i="1"/>
  <c r="L561" i="1"/>
  <c r="G137" i="2"/>
  <c r="D43" i="2"/>
  <c r="E136" i="2"/>
  <c r="C13" i="10"/>
  <c r="L426" i="1"/>
  <c r="G628" i="1" s="1"/>
  <c r="J628" i="1" s="1"/>
  <c r="H330" i="1"/>
  <c r="H344" i="1" s="1"/>
  <c r="G156" i="2"/>
  <c r="F137" i="2"/>
  <c r="D15" i="13"/>
  <c r="C15" i="13" s="1"/>
  <c r="G33" i="13"/>
  <c r="C12" i="10"/>
  <c r="I450" i="1"/>
  <c r="I490" i="1"/>
  <c r="J330" i="1"/>
  <c r="J344" i="1" s="1"/>
  <c r="C12" i="2"/>
  <c r="L343" i="1"/>
  <c r="F652" i="1"/>
  <c r="D6" i="13"/>
  <c r="C6" i="13" s="1"/>
  <c r="G514" i="1"/>
  <c r="G535" i="1" s="1"/>
  <c r="F464" i="1"/>
  <c r="H320" i="1"/>
  <c r="H239" i="1"/>
  <c r="H249" i="1" s="1"/>
  <c r="H263" i="1" s="1"/>
  <c r="H44" i="1"/>
  <c r="H609" i="1" s="1"/>
  <c r="F33" i="1"/>
  <c r="F44" i="1" s="1"/>
  <c r="H607" i="1" s="1"/>
  <c r="J607" i="1" s="1"/>
  <c r="C106" i="2"/>
  <c r="D77" i="2"/>
  <c r="D83" i="2" s="1"/>
  <c r="C25" i="10"/>
  <c r="H104" i="1"/>
  <c r="H185" i="1" s="1"/>
  <c r="G619" i="1" s="1"/>
  <c r="J619" i="1" s="1"/>
  <c r="F514" i="1"/>
  <c r="F535" i="1" s="1"/>
  <c r="J263" i="1"/>
  <c r="J19" i="1"/>
  <c r="G611" i="1" s="1"/>
  <c r="D119" i="2"/>
  <c r="D120" i="2" s="1"/>
  <c r="D137" i="2" s="1"/>
  <c r="H651" i="1"/>
  <c r="C24" i="10"/>
  <c r="F22" i="13"/>
  <c r="C22" i="13" s="1"/>
  <c r="L311" i="1"/>
  <c r="E110" i="2" s="1"/>
  <c r="E120" i="2" s="1"/>
  <c r="L207" i="1"/>
  <c r="C32" i="10"/>
  <c r="G651" i="1"/>
  <c r="L534" i="1"/>
  <c r="F651" i="1"/>
  <c r="I651" i="1" s="1"/>
  <c r="G48" i="2"/>
  <c r="G55" i="2" s="1"/>
  <c r="G96" i="2" s="1"/>
  <c r="B9" i="12"/>
  <c r="A13" i="12" s="1"/>
  <c r="E80" i="2"/>
  <c r="E83" i="2" s="1"/>
  <c r="G542" i="1"/>
  <c r="L604" i="1"/>
  <c r="F122" i="2"/>
  <c r="F136" i="2" s="1"/>
  <c r="C123" i="2"/>
  <c r="G103" i="1"/>
  <c r="G104" i="1" s="1"/>
  <c r="G185" i="1" s="1"/>
  <c r="G618" i="1" s="1"/>
  <c r="J618" i="1" s="1"/>
  <c r="C29" i="10"/>
  <c r="E102" i="2"/>
  <c r="J33" i="1"/>
  <c r="E137" i="2" l="1"/>
  <c r="L535" i="1"/>
  <c r="F33" i="13"/>
  <c r="H638" i="1"/>
  <c r="J638" i="1" s="1"/>
  <c r="L221" i="1"/>
  <c r="D5" i="13"/>
  <c r="C10" i="10"/>
  <c r="C101" i="2"/>
  <c r="C107" i="2" s="1"/>
  <c r="C137" i="2" s="1"/>
  <c r="G616" i="1"/>
  <c r="J616" i="1" s="1"/>
  <c r="J44" i="1"/>
  <c r="H611" i="1" s="1"/>
  <c r="J611" i="1" s="1"/>
  <c r="C15" i="10"/>
  <c r="L320" i="1"/>
  <c r="G43" i="2"/>
  <c r="F654" i="1"/>
  <c r="E153" i="2"/>
  <c r="G153" i="2" s="1"/>
  <c r="K490" i="1"/>
  <c r="J612" i="1"/>
  <c r="H650" i="1"/>
  <c r="H654" i="1" s="1"/>
  <c r="G636" i="1"/>
  <c r="G621" i="1"/>
  <c r="J621" i="1" s="1"/>
  <c r="I652" i="1"/>
  <c r="C36" i="10"/>
  <c r="C41" i="10"/>
  <c r="G627" i="1"/>
  <c r="J627" i="1" s="1"/>
  <c r="H636" i="1"/>
  <c r="D96" i="2"/>
  <c r="E96" i="2"/>
  <c r="D37" i="10" l="1"/>
  <c r="D40" i="10"/>
  <c r="D35" i="10"/>
  <c r="D41" i="10" s="1"/>
  <c r="F662" i="1"/>
  <c r="F657" i="1"/>
  <c r="C5" i="13"/>
  <c r="D36" i="10"/>
  <c r="G650" i="1"/>
  <c r="L249" i="1"/>
  <c r="L263" i="1" s="1"/>
  <c r="G622" i="1" s="1"/>
  <c r="J622" i="1" s="1"/>
  <c r="C28" i="10"/>
  <c r="D10" i="10"/>
  <c r="D38" i="10"/>
  <c r="D31" i="13"/>
  <c r="C31" i="13" s="1"/>
  <c r="L330" i="1"/>
  <c r="L344" i="1" s="1"/>
  <c r="G623" i="1" s="1"/>
  <c r="J623" i="1" s="1"/>
  <c r="D39" i="10"/>
  <c r="J636" i="1"/>
  <c r="H662" i="1"/>
  <c r="C6" i="10" s="1"/>
  <c r="H657" i="1"/>
  <c r="C30" i="10" l="1"/>
  <c r="D22" i="10"/>
  <c r="D11" i="10"/>
  <c r="D23" i="10"/>
  <c r="D26" i="10"/>
  <c r="D19" i="10"/>
  <c r="D17" i="10"/>
  <c r="D13" i="10"/>
  <c r="D12" i="10"/>
  <c r="D21" i="10"/>
  <c r="D16" i="10"/>
  <c r="D25" i="10"/>
  <c r="D20" i="10"/>
  <c r="D18" i="10"/>
  <c r="D28" i="10" s="1"/>
  <c r="D27" i="10"/>
  <c r="D24" i="10"/>
  <c r="G654" i="1"/>
  <c r="I650" i="1"/>
  <c r="I654" i="1" s="1"/>
  <c r="D33" i="13"/>
  <c r="D36" i="13" s="1"/>
  <c r="H646" i="1"/>
  <c r="D15" i="10"/>
  <c r="I662" i="1" l="1"/>
  <c r="C7" i="10" s="1"/>
  <c r="I657" i="1"/>
  <c r="G657" i="1"/>
  <c r="G662" i="1"/>
  <c r="C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FDAEB71-183D-4D55-8514-E10F895BC67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805DF5E-8D9D-4105-B415-61DAEE7C4A8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65939CB-0372-483D-839C-064A5E0C860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D2D4BB0-78D0-45A3-91C3-C9EEC770E4AB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18ACF12-3707-4C79-A820-E4731C0EFC8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B43AB0E-AAAF-4C67-B3B3-63529627E26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03EA81E-6AA2-402E-A0FA-952DD277066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44DBFCC-68A4-40E2-9F8C-326A9A009E7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8EE9A4C-8FE2-4852-9EB4-F2EE9B605FD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45DAABC-A161-4039-A142-4C3C8AA9EC7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D8EF152-0B81-458F-B7E8-8292910E9C6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EF572A9-0DCA-45B0-ABBF-337AD0D25B6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<sst xmlns="http://schemas.openxmlformats.org/spreadsheetml/2006/main" count="3866" uniqueCount="903">
  <si>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</si>
  <si>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</si>
  <si>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</si>
  <si>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</si>
  <si>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</si>
  <si>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</si>
  <si>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</si>
  <si>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</si>
  <si>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</si>
  <si>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</si>
  <si>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</si>
  <si>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</si>
  <si>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</si>
  <si>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</si>
  <si>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</si>
  <si>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</si>
  <si>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</si>
  <si>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</si>
  <si>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</si>
  <si>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</si>
  <si>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</si>
  <si>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</si>
  <si>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</si>
  <si>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</si>
  <si>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</si>
  <si>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</si>
  <si>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</si>
  <si>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</si>
  <si>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</si>
  <si>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</si>
  <si>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</si>
  <si>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</si>
  <si>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</si>
  <si>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</si>
  <si>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</si>
  <si>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</si>
  <si>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</si>
  <si>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</si>
  <si>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</si>
  <si>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</si>
  <si>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</si>
  <si>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</si>
  <si>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</si>
  <si>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</si>
  <si>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</si>
  <si>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</si>
  <si>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</si>
  <si>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</si>
  <si>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</si>
  <si>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</si>
  <si>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</si>
  <si>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</si>
  <si>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</si>
  <si>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</si>
  <si>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</si>
  <si>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</si>
  <si>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</si>
  <si>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</si>
  <si>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</si>
  <si>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</si>
  <si>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</si>
  <si>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</si>
  <si>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</si>
  <si>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</si>
  <si>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</si>
  <si>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</si>
  <si>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</si>
  <si>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</si>
  <si>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</si>
  <si>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</si>
  <si>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</si>
  <si>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</si>
  <si>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</si>
  <si>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</si>
  <si>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</si>
  <si>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</si>
  <si>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</si>
  <si>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</si>
  <si>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</si>
  <si>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</si>
  <si>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</si>
  <si>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</si>
  <si>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</si>
  <si>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</si>
  <si>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</si>
  <si>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</si>
  <si>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</si>
  <si>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</si>
  <si>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</si>
  <si>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</si>
  <si>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</si>
  <si>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</si>
  <si>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</si>
  <si>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</si>
  <si>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</si>
  <si>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</si>
  <si>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</si>
  <si>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</si>
  <si>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</si>
  <si>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</si>
  <si>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</si>
  <si>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</si>
  <si>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</si>
  <si>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</si>
  <si>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</si>
  <si>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</si>
  <si>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</si>
  <si>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</si>
  <si>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</si>
  <si>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</si>
  <si>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</si>
  <si>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</si>
  <si>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</si>
  <si>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</si>
  <si>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</si>
  <si>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</si>
  <si>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</si>
  <si>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</si>
  <si>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</si>
  <si>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</si>
  <si>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</si>
  <si>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</si>
  <si>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</si>
  <si>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</si>
  <si>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</si>
  <si>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</si>
  <si>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</si>
  <si>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</si>
  <si>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</si>
  <si>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</si>
  <si>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</si>
  <si>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</si>
  <si>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</si>
  <si>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</si>
  <si>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</si>
  <si>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</si>
  <si>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</si>
  <si>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</si>
  <si>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</si>
  <si>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</si>
  <si>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</si>
  <si>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</si>
  <si>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</si>
  <si>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</si>
  <si>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</si>
  <si>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</si>
  <si>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</si>
  <si>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</si>
  <si>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</si>
  <si>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</si>
  <si>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</si>
  <si>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</si>
  <si>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</si>
  <si>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</si>
  <si>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</si>
  <si>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</si>
  <si>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</si>
  <si>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</si>
  <si>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</si>
  <si>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</si>
  <si>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</si>
  <si>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</si>
  <si>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</si>
  <si>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</si>
  <si>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</si>
  <si>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</si>
  <si>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</si>
  <si>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</si>
  <si>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</si>
  <si>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</si>
  <si>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</si>
  <si>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</si>
  <si>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</si>
  <si>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</si>
  <si>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</si>
  <si>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</si>
  <si>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</si>
  <si>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</si>
  <si>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</si>
  <si>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</si>
  <si>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</si>
  <si>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</si>
  <si>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</si>
  <si>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</si>
  <si>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</si>
  <si>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</si>
  <si>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</si>
  <si>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</si>
  <si>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</si>
  <si>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</si>
  <si>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</si>
  <si>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</si>
  <si>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</si>
  <si>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</si>
  <si>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</si>
  <si>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</si>
  <si>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</si>
  <si>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</si>
  <si>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</si>
  <si>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</si>
  <si>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</si>
  <si>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</si>
  <si>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</si>
  <si>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</si>
  <si>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</si>
  <si>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</si>
  <si>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</si>
  <si>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</si>
  <si>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</si>
  <si>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</si>
  <si>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</si>
  <si>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</si>
  <si>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</si>
  <si>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</si>
  <si>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</si>
  <si>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</si>
  <si>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</si>
  <si>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</si>
  <si>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</si>
  <si>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</si>
  <si>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</si>
  <si>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</si>
  <si>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</si>
  <si>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</si>
  <si>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</si>
  <si>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</si>
  <si>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</si>
  <si>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</si>
  <si>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</si>
  <si>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</si>
  <si>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</si>
  <si>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</si>
  <si>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</si>
  <si>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</si>
  <si>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</si>
  <si>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</si>
  <si>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</si>
  <si>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</si>
  <si>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</si>
  <si>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</si>
  <si>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</si>
  <si>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</si>
  <si>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</si>
  <si>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</si>
  <si>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</si>
  <si>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</si>
  <si>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</si>
  <si>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</si>
  <si>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</si>
  <si>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</si>
  <si>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</si>
  <si>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</si>
  <si>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</si>
  <si>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</si>
  <si>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</si>
  <si>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</si>
  <si>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</si>
  <si>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</si>
  <si>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</si>
  <si>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</si>
  <si>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</si>
  <si>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</si>
  <si>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</si>
  <si>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</si>
  <si>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</si>
  <si>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</si>
  <si>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</si>
  <si>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</si>
  <si>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</si>
  <si>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</si>
  <si>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</si>
  <si>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</si>
  <si>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</si>
  <si>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</si>
  <si>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</si>
  <si>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</si>
  <si>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</si>
  <si>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</si>
  <si>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</si>
  <si>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</si>
  <si>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</si>
  <si>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</si>
  <si>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</si>
  <si>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</si>
  <si>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</si>
  <si>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</si>
  <si>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</si>
  <si>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</si>
  <si>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</si>
  <si>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</si>
  <si>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</si>
  <si>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</si>
  <si>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</si>
  <si>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</si>
  <si>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</si>
  <si>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</si>
  <si>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</si>
  <si>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</si>
  <si>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</si>
  <si>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</si>
  <si>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</si>
  <si>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</si>
  <si>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</si>
  <si>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</si>
  <si>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</si>
  <si>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</si>
  <si>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</si>
  <si>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</si>
  <si>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</si>
  <si>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</si>
  <si>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</si>
  <si>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</si>
  <si>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</si>
  <si>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</si>
  <si>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</si>
  <si>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</si>
  <si>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</si>
  <si>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</si>
  <si>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</si>
  <si>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</si>
  <si>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</si>
  <si>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</si>
  <si>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</si>
  <si>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</si>
  <si>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</si>
  <si>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</si>
  <si>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</si>
  <si>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</si>
  <si>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</si>
  <si>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</si>
  <si>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</si>
  <si>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</si>
  <si>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</si>
  <si>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</si>
  <si>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</si>
  <si>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</si>
  <si>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</si>
  <si>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</si>
  <si>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</si>
  <si>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</si>
  <si>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</si>
  <si>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</si>
  <si>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</si>
  <si>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</si>
  <si>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</si>
  <si>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</si>
  <si>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</si>
  <si>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</si>
  <si>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</si>
  <si>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</si>
  <si>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</si>
  <si>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</si>
  <si>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</si>
  <si>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</si>
  <si>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</si>
  <si>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</si>
  <si>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</si>
  <si>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</si>
  <si>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</si>
  <si>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</si>
  <si>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</si>
  <si>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</si>
  <si>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</si>
  <si>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</si>
  <si>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</si>
  <si>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</si>
  <si>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</si>
  <si>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</si>
  <si>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</si>
  <si>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</si>
  <si>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</si>
  <si>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</si>
  <si>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</si>
  <si>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</si>
  <si>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</si>
  <si>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</si>
  <si>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</si>
  <si>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</si>
  <si>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</si>
  <si>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</si>
  <si>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</si>
  <si>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</si>
  <si>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</si>
  <si>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</si>
  <si>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</si>
  <si>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</si>
  <si>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</si>
  <si>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</si>
  <si>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</si>
  <si>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</si>
  <si>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</si>
  <si>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</si>
  <si>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</si>
  <si>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</si>
  <si>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</si>
  <si>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</si>
  <si>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</si>
  <si>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</si>
  <si>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</si>
  <si>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</si>
  <si>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</si>
  <si>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</si>
  <si>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</si>
  <si>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</si>
  <si>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</si>
  <si>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</si>
  <si>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</si>
  <si>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</si>
  <si>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</si>
  <si>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</si>
  <si>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</si>
  <si>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</si>
  <si>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</si>
  <si>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</si>
  <si>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</si>
  <si>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</si>
  <si>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</si>
  <si>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</si>
  <si>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</si>
  <si>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</si>
  <si>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</si>
  <si>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</si>
  <si>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</si>
  <si>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</si>
  <si>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</si>
  <si>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</si>
  <si>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</si>
  <si>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</si>
  <si>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</si>
  <si>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</si>
  <si>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</si>
  <si>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</si>
  <si>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</si>
  <si>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</si>
  <si>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</si>
  <si>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</si>
  <si>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</si>
  <si>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</si>
  <si>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</si>
  <si>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</si>
  <si>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</si>
  <si>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</si>
  <si>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</si>
  <si>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</si>
  <si>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</si>
  <si>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</si>
  <si>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</si>
  <si>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</si>
  <si>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</si>
  <si>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</si>
  <si>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</si>
  <si>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</si>
  <si>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</si>
  <si>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</si>
  <si>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</si>
  <si>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</si>
  <si>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</si>
  <si>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</si>
  <si>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</si>
  <si>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</si>
  <si>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</si>
  <si>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</si>
  <si>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</si>
  <si>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</si>
  <si>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</si>
  <si>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</si>
  <si>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</si>
  <si>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</si>
  <si>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</si>
  <si>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</si>
  <si>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</si>
  <si>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</si>
  <si>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</si>
  <si>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</si>
  <si>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</si>
  <si>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</si>
  <si>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</si>
  <si>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</si>
  <si>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</si>
  <si>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</si>
  <si>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</si>
  <si>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</si>
  <si>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</si>
  <si>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</si>
  <si>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</si>
  <si>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</si>
  <si>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</si>
  <si>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</si>
  <si>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</si>
  <si>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</si>
  <si>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</si>
  <si>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</si>
  <si>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</si>
  <si>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</si>
  <si>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</si>
  <si>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</si>
  <si>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</si>
  <si>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</si>
  <si>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</si>
  <si>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</si>
  <si>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</si>
  <si>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</si>
  <si>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</si>
  <si>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</si>
  <si>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</si>
  <si>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</si>
  <si>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</si>
  <si>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</si>
  <si>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</si>
  <si>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</si>
  <si>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</si>
  <si>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</si>
  <si>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</si>
  <si>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</si>
  <si>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</si>
  <si>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</si>
  <si>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</si>
  <si>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</si>
  <si>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</si>
  <si>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</si>
  <si>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</si>
  <si>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</si>
  <si>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</si>
  <si>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</si>
  <si>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</si>
  <si>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</si>
  <si>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</si>
  <si>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</si>
  <si>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</si>
  <si>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</si>
  <si>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</si>
  <si>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</si>
  <si>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</si>
  <si>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</si>
  <si>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</si>
  <si>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</si>
  <si>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</si>
  <si>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</si>
  <si>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</si>
  <si>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</si>
  <si>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</si>
  <si>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</si>
  <si>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</si>
  <si>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</si>
  <si>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</si>
  <si>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</si>
  <si>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</si>
  <si>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</si>
  <si>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</si>
  <si>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</si>
  <si>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</si>
  <si>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</si>
  <si>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</si>
  <si>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</si>
  <si>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</si>
  <si>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</si>
  <si>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</si>
  <si>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</si>
  <si>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</si>
  <si>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</si>
  <si>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</si>
  <si>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</si>
  <si>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</si>
  <si>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</si>
  <si>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</si>
  <si>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</si>
  <si>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</si>
  <si>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</si>
  <si>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</si>
  <si>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</si>
  <si>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</si>
  <si>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</si>
  <si>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</si>
  <si>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</si>
  <si>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</si>
  <si>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</si>
  <si>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</si>
  <si>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</si>
  <si>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</si>
  <si>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</si>
  <si>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</si>
  <si>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</si>
  <si>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</si>
  <si>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</si>
  <si>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</si>
  <si>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</si>
  <si>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</si>
  <si>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</si>
  <si>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</si>
  <si>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</si>
  <si>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</si>
  <si>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</si>
  <si>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</si>
  <si>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</si>
  <si>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</si>
  <si>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</si>
  <si>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</si>
  <si>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</si>
  <si>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</si>
  <si>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</si>
  <si>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</si>
  <si>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</si>
  <si>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</si>
  <si>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</si>
  <si>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</si>
  <si>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</si>
  <si>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</si>
  <si>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</si>
  <si>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</si>
  <si>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</si>
  <si>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</si>
  <si>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</si>
  <si>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</si>
  <si>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</si>
  <si>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</si>
  <si>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</si>
  <si>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</si>
  <si>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</si>
  <si>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</si>
  <si>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</si>
  <si>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</si>
  <si>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</si>
  <si>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</si>
  <si>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</si>
  <si>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</si>
  <si>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</si>
  <si>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</si>
  <si>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</si>
  <si>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</si>
  <si>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</si>
  <si>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</si>
  <si>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</si>
  <si>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</si>
  <si>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</si>
  <si>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</si>
  <si>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</si>
  <si>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</si>
  <si>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</si>
  <si>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</si>
  <si>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</si>
  <si>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</si>
  <si>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</si>
  <si>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</si>
  <si>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</si>
  <si>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</si>
  <si>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</si>
  <si>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</si>
  <si>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</si>
  <si>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</si>
  <si>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</si>
  <si>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</si>
  <si>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</si>
  <si>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</si>
  <si>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</si>
  <si>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</si>
  <si>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</si>
  <si>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</si>
  <si>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</si>
  <si>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</si>
  <si>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</si>
  <si>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</si>
  <si>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</si>
  <si>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</si>
  <si>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</si>
  <si>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</si>
  <si>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</si>
  <si>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</si>
  <si>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</si>
  <si>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</si>
  <si>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</si>
  <si>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</si>
  <si>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</si>
  <si>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</si>
  <si>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</si>
  <si>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</si>
  <si>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</si>
  <si>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</si>
  <si>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</si>
  <si>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</si>
  <si>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</si>
  <si>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</si>
  <si>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</si>
  <si>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</si>
  <si>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</si>
  <si>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</si>
  <si>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</si>
  <si>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</si>
  <si>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</si>
  <si>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</si>
  <si>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</si>
  <si>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</si>
  <si>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</si>
  <si>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</si>
  <si>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</si>
  <si>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</si>
  <si>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</si>
  <si>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</si>
  <si>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</si>
  <si>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</si>
  <si>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</si>
  <si>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</si>
  <si>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</si>
  <si>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</si>
  <si>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</si>
  <si>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</si>
  <si>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</si>
  <si>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</si>
  <si>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</si>
  <si>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</si>
  <si>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</si>
  <si>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</si>
  <si>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</si>
  <si>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</si>
  <si>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</si>
  <si>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</si>
  <si>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</si>
  <si>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</si>
  <si>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</si>
  <si>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</si>
  <si>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</si>
  <si>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</si>
  <si>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</si>
  <si>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</si>
  <si>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</si>
  <si>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</si>
  <si>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</si>
  <si>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</si>
  <si>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</si>
  <si>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</si>
  <si>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</si>
  <si>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</si>
  <si>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</si>
  <si>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</si>
  <si>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</si>
  <si>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</si>
  <si>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</si>
  <si>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</si>
  <si>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</si>
  <si>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</si>
  <si>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</si>
  <si>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</si>
  <si>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</si>
  <si>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</si>
  <si>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</si>
  <si>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</si>
  <si>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</si>
  <si>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</si>
  <si>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</si>
  <si>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</si>
  <si>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</si>
  <si>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</si>
  <si>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</si>
  <si>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</si>
  <si>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</si>
  <si>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</si>
  <si>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</si>
  <si>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</si>
  <si>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</si>
  <si>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</si>
  <si>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</si>
  <si>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</si>
  <si>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</si>
  <si>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</si>
  <si>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</si>
  <si>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</si>
  <si>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</si>
  <si>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</si>
  <si>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</si>
  <si>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</si>
  <si>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</si>
  <si>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</si>
  <si>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</si>
  <si>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</si>
  <si>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</si>
  <si>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</si>
  <si>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</si>
  <si>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</si>
  <si>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</si>
  <si>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</si>
  <si>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</si>
  <si>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</si>
  <si>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</si>
  <si>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</si>
  <si>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</si>
  <si>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</si>
  <si>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</si>
  <si>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</si>
  <si>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</si>
  <si>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</si>
  <si>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</si>
  <si>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</si>
  <si>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</si>
  <si>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</si>
  <si>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</si>
  <si>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</si>
  <si>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</si>
  <si>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</si>
  <si>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</si>
  <si>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</si>
  <si>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</si>
  <si>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</si>
  <si>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</si>
  <si>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</si>
  <si>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</si>
  <si>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</si>
  <si>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</si>
  <si>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</si>
  <si>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</si>
  <si>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</si>
  <si>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</si>
  <si>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</si>
  <si>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</si>
  <si>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</si>
  <si>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</si>
  <si>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</si>
  <si>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</si>
  <si>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</si>
  <si>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</si>
  <si>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</si>
  <si>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</si>
  <si>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</si>
  <si>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</si>
  <si>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</si>
  <si>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</si>
  <si>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</si>
  <si>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</si>
  <si>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</si>
  <si>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</si>
  <si>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</si>
  <si>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</si>
  <si>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</si>
  <si>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</si>
  <si>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</si>
  <si>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</si>
  <si>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</si>
  <si>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</si>
  <si>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</si>
  <si>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</si>
  <si>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</si>
  <si>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</si>
  <si>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</si>
  <si>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</si>
  <si>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</si>
  <si>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</si>
  <si>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</si>
  <si>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</si>
  <si>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</si>
  <si>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</si>
  <si>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</si>
  <si>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</si>
  <si>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</si>
  <si>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</si>
  <si>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</si>
  <si>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</si>
  <si>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</si>
  <si>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</si>
  <si>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</si>
  <si>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</si>
  <si>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</si>
  <si>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</si>
  <si>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</si>
  <si>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</si>
  <si>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</si>
  <si>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</si>
  <si>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</si>
  <si>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</si>
  <si>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</si>
  <si>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</si>
  <si>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</si>
  <si>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</si>
  <si>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</si>
  <si>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</si>
  <si>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</si>
  <si>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</si>
  <si>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</si>
  <si>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</si>
  <si>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</si>
  <si>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</si>
  <si>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</si>
  <si>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</si>
  <si>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</si>
  <si>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</si>
  <si>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</si>
  <si>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</si>
  <si>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</si>
  <si>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</si>
  <si>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</si>
  <si>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</si>
  <si>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</si>
  <si>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</si>
  <si>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</si>
  <si>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</si>
  <si>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</si>
  <si>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</si>
  <si>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08/96</t>
  </si>
  <si>
    <t>07/00</t>
  </si>
  <si>
    <t>12/02</t>
  </si>
  <si>
    <t>07/04</t>
  </si>
  <si>
    <t>08/16</t>
  </si>
  <si>
    <t>08/15</t>
  </si>
  <si>
    <t>01/13</t>
  </si>
  <si>
    <t>08/24</t>
  </si>
  <si>
    <t>HOLLIS-BROOKLINE COOPERATIVE SCHOOL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</si>
</sst>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8B55-BDB7-4497-A4D6-ABF16A441AE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260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817541.18</v>
      </c>
      <c r="G9" s="18">
        <f>147574.33+74</f>
        <v>147648.32999999999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410967.21</f>
        <v>410967.21</v>
      </c>
      <c r="G12" s="18"/>
      <c r="H12" s="18">
        <v>91153.77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30955.040000000001</v>
      </c>
      <c r="G13" s="18">
        <v>8615.01</v>
      </c>
      <c r="H13" s="18">
        <v>274592.62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1894.72</v>
      </c>
      <c r="G17" s="18">
        <v>710.5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1261358.1500000001</v>
      </c>
      <c r="G19" s="41">
        <f>SUM(G9:G18)</f>
        <v>156973.84</v>
      </c>
      <c r="H19" s="41">
        <f>SUM(H9:H18)</f>
        <v>365746.39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230657.12</v>
      </c>
      <c r="G23" s="18">
        <f>6219.78+400+15742</f>
        <v>22361.78</v>
      </c>
      <c r="H23" s="18">
        <v>9687.07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31069.96</v>
      </c>
      <c r="G24" s="18"/>
      <c r="H24" s="18">
        <v>255557.01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48910.49+222.94+224.1</f>
        <v>49357.53</v>
      </c>
      <c r="G25" s="18"/>
      <c r="H25" s="18">
        <f>8315.79+624.55</f>
        <v>8940.34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38247.730000000003</v>
      </c>
      <c r="G29" s="18">
        <v>346.13</v>
      </c>
      <c r="H29" s="18">
        <v>1032.75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87310.99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7811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436643.32999999996</v>
      </c>
      <c r="G33" s="41">
        <f>SUM(G23:G32)</f>
        <v>30518.91</v>
      </c>
      <c r="H33" s="41">
        <f>SUM(H23:H32)</f>
        <v>275217.17000000004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312305.53000000003</v>
      </c>
      <c r="G37" s="18">
        <v>400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102443.33+504101.47-480489.87</f>
        <v>126054.92999999993</v>
      </c>
      <c r="H41" s="18">
        <f>300940.86-300940.86+93783.13+28535.88-31789.79</f>
        <v>90529.22</v>
      </c>
      <c r="I41" s="18">
        <f>250482.49-250482.49</f>
        <v>0</v>
      </c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767120.44+17568932.69-17592762.62-111583.85-119297.37</f>
        <v>512409.29000000167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824714.8200000017</v>
      </c>
      <c r="G43" s="41">
        <f>SUM(G35:G42)</f>
        <v>126454.92999999993</v>
      </c>
      <c r="H43" s="41">
        <f>SUM(H35:H42)</f>
        <v>90529.22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1261358.1500000018</v>
      </c>
      <c r="G44" s="41">
        <f>G43+G33</f>
        <v>156973.83999999994</v>
      </c>
      <c r="H44" s="41">
        <f>H43+H33</f>
        <v>365746.39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7633354+4270264</f>
        <v>11903618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14772.75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11918390.75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14560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15279.27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15279.27</v>
      </c>
      <c r="G71" s="45" t="s">
        <v>312</v>
      </c>
      <c r="H71" s="41">
        <f>SUM(H55:H70)</f>
        <v>14560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5186.79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153339.2+312641.68-7359</f>
        <v>458621.88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900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1129.45+1500</f>
        <v>2629.45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5753.48</v>
      </c>
      <c r="G102" s="18"/>
      <c r="H102" s="18">
        <v>3546.43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11840.27</v>
      </c>
      <c r="G103" s="41">
        <f>SUM(G88:G102)</f>
        <v>458621.88</v>
      </c>
      <c r="H103" s="41">
        <f>SUM(H88:H102)</f>
        <v>6175.8799999999992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11945510.289999999</v>
      </c>
      <c r="G104" s="41">
        <f>G52+G103</f>
        <v>458621.88</v>
      </c>
      <c r="H104" s="41">
        <f>H52+H71+H86+H103</f>
        <v>20735.879999999997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2114722.9500000002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2081658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811353.05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5007734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397486.07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82735.7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4224.8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3891.17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7800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484446.57</v>
      </c>
      <c r="G128" s="41">
        <f>SUM(G115:G127)</f>
        <v>3891.17</v>
      </c>
      <c r="H128" s="41">
        <f>SUM(H115:H127)</f>
        <v>7800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5492180.5700000003</v>
      </c>
      <c r="G132" s="41">
        <f>G113+SUM(G128:G129)</f>
        <v>3891.17</v>
      </c>
      <c r="H132" s="41">
        <f>H113+SUM(H128:H131)</f>
        <v>7800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3393.71+11285.62+1805+135.4+10299.26+4857.88</f>
        <v>31776.870000000006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0.18+17193.98+24394.26</f>
        <v>41588.42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228006+41157.99</f>
        <v>269163.99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122871.29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122871.29</v>
      </c>
      <c r="G154" s="41">
        <f>SUM(G142:G153)</f>
        <v>41588.42</v>
      </c>
      <c r="H154" s="41">
        <f>SUM(H142:H153)</f>
        <v>300940.86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122871.29</v>
      </c>
      <c r="G161" s="41">
        <f>G139+G154+SUM(G155:G160)</f>
        <v>41588.42</v>
      </c>
      <c r="H161" s="41">
        <f>H139+H154+SUM(H155:H160)</f>
        <v>300940.86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8370.5400000000009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8370.5400000000009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8370.5400000000009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17568932.689999998</v>
      </c>
      <c r="G185" s="47">
        <f>G104+G132+G161+G184</f>
        <v>504101.47</v>
      </c>
      <c r="H185" s="47">
        <f>H104+H132+H161+H184</f>
        <v>329476.74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1821262.65+48.02</f>
        <v>1821310.67</v>
      </c>
      <c r="G207" s="18">
        <v>603584.44999999995</v>
      </c>
      <c r="H207" s="18">
        <f>32803.33+332.67</f>
        <v>33136</v>
      </c>
      <c r="I207" s="18">
        <f>62760.14+2159.08</f>
        <v>64919.22</v>
      </c>
      <c r="J207" s="18">
        <v>26118.29</v>
      </c>
      <c r="K207" s="18"/>
      <c r="L207" s="19">
        <f>SUM(F207:K207)</f>
        <v>2549068.6300000004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563924.37</v>
      </c>
      <c r="G208" s="18">
        <v>186885.18</v>
      </c>
      <c r="H208" s="18">
        <f>152625.08+633.29</f>
        <v>153258.37</v>
      </c>
      <c r="I208" s="18">
        <v>1047.08</v>
      </c>
      <c r="J208" s="18">
        <v>3351.08</v>
      </c>
      <c r="K208" s="18"/>
      <c r="L208" s="19">
        <f>SUM(F208:K208)</f>
        <v>908466.08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40700</v>
      </c>
      <c r="G210" s="18">
        <v>13488.03</v>
      </c>
      <c r="H210" s="18">
        <f>17213.62-7995.62</f>
        <v>9218</v>
      </c>
      <c r="I210" s="18">
        <v>6084.17</v>
      </c>
      <c r="J210" s="18"/>
      <c r="K210" s="18"/>
      <c r="L210" s="19">
        <f>SUM(F210:K210)</f>
        <v>69490.2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233771.29+9290.07</f>
        <v>243061.36000000002</v>
      </c>
      <c r="G212" s="18">
        <v>80550.81</v>
      </c>
      <c r="H212" s="18">
        <f>56353.37+19239.28</f>
        <v>75592.649999999994</v>
      </c>
      <c r="I212" s="18">
        <v>2649.79</v>
      </c>
      <c r="J212" s="18"/>
      <c r="K212" s="18"/>
      <c r="L212" s="19">
        <f t="shared" ref="L212:L218" si="2">SUM(F212:K212)</f>
        <v>401854.61000000004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65634</f>
        <v>65634</v>
      </c>
      <c r="G213" s="18">
        <v>82254.33</v>
      </c>
      <c r="H213" s="18">
        <v>1142.6600000000001</v>
      </c>
      <c r="I213" s="18">
        <f>8417.75+307.5+13353.73</f>
        <v>22078.98</v>
      </c>
      <c r="J213" s="18">
        <v>306.82</v>
      </c>
      <c r="K213" s="18"/>
      <c r="L213" s="19">
        <f t="shared" si="2"/>
        <v>171416.79000000004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f>274500.66+1677.4</f>
        <v>276178.06</v>
      </c>
      <c r="I214" s="18">
        <v>371.76</v>
      </c>
      <c r="J214" s="18"/>
      <c r="K214" s="18">
        <v>1844.85</v>
      </c>
      <c r="L214" s="19">
        <f t="shared" si="2"/>
        <v>278394.67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274306.03999999998</v>
      </c>
      <c r="G215" s="18">
        <v>90905.34</v>
      </c>
      <c r="H215" s="18">
        <f>14837.59+249.05+6609.3</f>
        <v>21695.94</v>
      </c>
      <c r="I215" s="18">
        <v>867.66</v>
      </c>
      <c r="J215" s="18">
        <f>289.88+2375</f>
        <v>2664.88</v>
      </c>
      <c r="K215" s="18">
        <v>952</v>
      </c>
      <c r="L215" s="19">
        <f t="shared" si="2"/>
        <v>391391.86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9037.59</v>
      </c>
      <c r="I216" s="18"/>
      <c r="J216" s="18"/>
      <c r="K216" s="18"/>
      <c r="L216" s="19">
        <f t="shared" si="2"/>
        <v>9037.59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177739.7</v>
      </c>
      <c r="G217" s="18">
        <v>58903.14</v>
      </c>
      <c r="H217" s="18">
        <f>66407.9+5227.74+20798.3+1105.64</f>
        <v>93539.58</v>
      </c>
      <c r="I217" s="18">
        <v>118349.46</v>
      </c>
      <c r="J217" s="18">
        <v>2020.27</v>
      </c>
      <c r="K217" s="18"/>
      <c r="L217" s="19">
        <f t="shared" si="2"/>
        <v>450552.15000000008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215764.13+7995.62</f>
        <v>223759.75</v>
      </c>
      <c r="I218" s="18">
        <v>28011.73</v>
      </c>
      <c r="J218" s="18"/>
      <c r="K218" s="18"/>
      <c r="L218" s="19">
        <f t="shared" si="2"/>
        <v>251771.48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3186676.14</v>
      </c>
      <c r="G221" s="41">
        <f>SUM(G207:G220)</f>
        <v>1116571.2799999998</v>
      </c>
      <c r="H221" s="41">
        <f>SUM(H207:H220)</f>
        <v>896558.59999999986</v>
      </c>
      <c r="I221" s="41">
        <f>SUM(I207:I220)</f>
        <v>244379.85</v>
      </c>
      <c r="J221" s="41">
        <f>SUM(J207:J220)</f>
        <v>34461.340000000004</v>
      </c>
      <c r="K221" s="41">
        <f t="shared" si="3"/>
        <v>2796.85</v>
      </c>
      <c r="L221" s="41">
        <f t="shared" si="3"/>
        <v>5481444.0600000015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3247052.85+72.03</f>
        <v>3247124.88</v>
      </c>
      <c r="G225" s="18">
        <v>1076100.9099999999</v>
      </c>
      <c r="H225" s="18">
        <f>7598.32+1380.13</f>
        <v>8978.4500000000007</v>
      </c>
      <c r="I225" s="18">
        <f>141934.26+2024.86</f>
        <v>143959.12</v>
      </c>
      <c r="J225" s="18">
        <f>14362.34+494.25</f>
        <v>14856.59</v>
      </c>
      <c r="K225" s="18">
        <v>1310.97</v>
      </c>
      <c r="L225" s="19">
        <f>SUM(F225:K225)</f>
        <v>4492330.92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973480.64</v>
      </c>
      <c r="G226" s="18">
        <v>322612.59999999998</v>
      </c>
      <c r="H226" s="18">
        <f>441058.51+9800+949.94</f>
        <v>451808.45</v>
      </c>
      <c r="I226" s="18">
        <v>10028.200000000001</v>
      </c>
      <c r="J226" s="18">
        <v>1126.24</v>
      </c>
      <c r="K226" s="18">
        <v>837</v>
      </c>
      <c r="L226" s="19">
        <f>SUM(F226:K226)</f>
        <v>1759893.13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24506.6</v>
      </c>
      <c r="G227" s="18">
        <v>8121.52</v>
      </c>
      <c r="H227" s="18">
        <f>66199.69+165-40961.5</f>
        <v>25403.190000000002</v>
      </c>
      <c r="I227" s="18">
        <v>238.33</v>
      </c>
      <c r="J227" s="18"/>
      <c r="K227" s="18">
        <f>110+495</f>
        <v>605</v>
      </c>
      <c r="L227" s="19">
        <f>SUM(F227:K227)</f>
        <v>58874.64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235630.26</v>
      </c>
      <c r="G228" s="18">
        <v>78088.14</v>
      </c>
      <c r="H228" s="18">
        <f>102756.45-50499.78</f>
        <v>52256.67</v>
      </c>
      <c r="I228" s="18">
        <v>11392.09</v>
      </c>
      <c r="J228" s="18">
        <v>22308.68</v>
      </c>
      <c r="K228" s="18">
        <v>19655.5</v>
      </c>
      <c r="L228" s="19">
        <f>SUM(F228:K228)</f>
        <v>419331.34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497320.63+13935.1</f>
        <v>511255.73</v>
      </c>
      <c r="G230" s="18">
        <v>169430.74</v>
      </c>
      <c r="H230" s="18">
        <f>113608.48+28858.92</f>
        <v>142467.4</v>
      </c>
      <c r="I230" s="18">
        <f>7700.65+578.4</f>
        <v>8279.0499999999993</v>
      </c>
      <c r="J230" s="18"/>
      <c r="K230" s="18">
        <v>640</v>
      </c>
      <c r="L230" s="19">
        <f t="shared" ref="L230:L236" si="4">SUM(F230:K230)</f>
        <v>832072.92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168740.43+5200</f>
        <v>173940.43</v>
      </c>
      <c r="G231" s="18">
        <v>148398.87</v>
      </c>
      <c r="H231" s="18">
        <f>13884.92+706.04</f>
        <v>14590.96</v>
      </c>
      <c r="I231" s="18">
        <f>36946.52+20030.59</f>
        <v>56977.11</v>
      </c>
      <c r="J231" s="18">
        <v>37412.22</v>
      </c>
      <c r="K231" s="18">
        <v>180</v>
      </c>
      <c r="L231" s="19">
        <f t="shared" si="4"/>
        <v>431499.58999999997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f>411750.99+2516.1</f>
        <v>414267.08999999997</v>
      </c>
      <c r="I232" s="18">
        <v>557.64</v>
      </c>
      <c r="J232" s="18"/>
      <c r="K232" s="18">
        <v>2767.27</v>
      </c>
      <c r="L232" s="19">
        <f t="shared" si="4"/>
        <v>417592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389278.61</v>
      </c>
      <c r="G233" s="18">
        <v>129007.38</v>
      </c>
      <c r="H233" s="18">
        <f>61425.25+473.15+9913.86</f>
        <v>71812.260000000009</v>
      </c>
      <c r="I233" s="18">
        <v>1614.6</v>
      </c>
      <c r="J233" s="18">
        <v>3649.03</v>
      </c>
      <c r="K233" s="18">
        <v>12607.83</v>
      </c>
      <c r="L233" s="19">
        <f t="shared" si="4"/>
        <v>607969.71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13556.39</v>
      </c>
      <c r="I234" s="18"/>
      <c r="J234" s="18"/>
      <c r="K234" s="18"/>
      <c r="L234" s="19">
        <f t="shared" si="4"/>
        <v>13556.39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255109.9</v>
      </c>
      <c r="G235" s="18">
        <v>84543.71</v>
      </c>
      <c r="H235" s="18">
        <f>132127.9+68214.3+31197.45+1658.46</f>
        <v>233198.11000000002</v>
      </c>
      <c r="I235" s="18">
        <f>225285.92+6730.05</f>
        <v>232015.97</v>
      </c>
      <c r="J235" s="18">
        <v>637.5</v>
      </c>
      <c r="K235" s="18"/>
      <c r="L235" s="19">
        <f t="shared" si="4"/>
        <v>805505.19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366916.86+40961.5+50499.78</f>
        <v>458378.14</v>
      </c>
      <c r="I236" s="18">
        <f>30679.46</f>
        <v>30679.46</v>
      </c>
      <c r="J236" s="18"/>
      <c r="K236" s="18"/>
      <c r="L236" s="19">
        <f t="shared" si="4"/>
        <v>489057.60000000003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5810327.0499999998</v>
      </c>
      <c r="G239" s="41">
        <f t="shared" si="5"/>
        <v>2016303.8699999996</v>
      </c>
      <c r="H239" s="41">
        <f t="shared" si="5"/>
        <v>1886717.1099999999</v>
      </c>
      <c r="I239" s="41">
        <f t="shared" si="5"/>
        <v>495741.57</v>
      </c>
      <c r="J239" s="41">
        <f t="shared" si="5"/>
        <v>79990.260000000009</v>
      </c>
      <c r="K239" s="41">
        <f t="shared" si="5"/>
        <v>38603.57</v>
      </c>
      <c r="L239" s="41">
        <f t="shared" si="5"/>
        <v>10327683.43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8997003.1899999995</v>
      </c>
      <c r="G249" s="41">
        <f t="shared" si="8"/>
        <v>3132875.1499999994</v>
      </c>
      <c r="H249" s="41">
        <f t="shared" si="8"/>
        <v>2783275.71</v>
      </c>
      <c r="I249" s="41">
        <f t="shared" si="8"/>
        <v>740121.42</v>
      </c>
      <c r="J249" s="41">
        <f t="shared" si="8"/>
        <v>114451.6</v>
      </c>
      <c r="K249" s="41">
        <f t="shared" si="8"/>
        <v>41400.42</v>
      </c>
      <c r="L249" s="41">
        <f t="shared" si="8"/>
        <v>15809127.490000002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1004762.28</v>
      </c>
      <c r="L252" s="19">
        <f>SUM(F252:K252)</f>
        <v>1004762.28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898170.22</v>
      </c>
      <c r="L253" s="19">
        <f>SUM(F253:K253)</f>
        <v>898170.22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1902932.5</v>
      </c>
      <c r="L262" s="41">
        <f t="shared" si="9"/>
        <v>1902932.5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8997003.1899999995</v>
      </c>
      <c r="G263" s="42">
        <f t="shared" si="11"/>
        <v>3132875.1499999994</v>
      </c>
      <c r="H263" s="42">
        <f t="shared" si="11"/>
        <v>2783275.71</v>
      </c>
      <c r="I263" s="42">
        <f t="shared" si="11"/>
        <v>740121.42</v>
      </c>
      <c r="J263" s="42">
        <f t="shared" si="11"/>
        <v>114451.6</v>
      </c>
      <c r="K263" s="42">
        <f t="shared" si="11"/>
        <v>1944332.92</v>
      </c>
      <c r="L263" s="42">
        <f t="shared" si="11"/>
        <v>17712059.990000002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>
        <v>4517</v>
      </c>
      <c r="K287" s="18"/>
      <c r="L287" s="19">
        <f>SUM(F287:K287)</f>
        <v>4517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38198</v>
      </c>
      <c r="G288" s="18">
        <v>2820.8</v>
      </c>
      <c r="H288" s="18">
        <v>479.2</v>
      </c>
      <c r="I288" s="18">
        <v>2767.24</v>
      </c>
      <c r="J288" s="18"/>
      <c r="K288" s="18"/>
      <c r="L288" s="19">
        <f>SUM(F288:K288)</f>
        <v>44265.24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>
        <v>8096.76</v>
      </c>
      <c r="I290" s="18"/>
      <c r="J290" s="18"/>
      <c r="K290" s="18"/>
      <c r="L290" s="19">
        <f>SUM(F290:K290)</f>
        <v>8096.76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33703.199999999997</v>
      </c>
      <c r="G292" s="18">
        <v>2564.4</v>
      </c>
      <c r="H292" s="18">
        <v>19036</v>
      </c>
      <c r="I292" s="18"/>
      <c r="J292" s="18"/>
      <c r="K292" s="18"/>
      <c r="L292" s="19">
        <f t="shared" ref="L292:L298" si="14">SUM(F292:K292)</f>
        <v>55303.6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>
        <v>106</v>
      </c>
      <c r="J299" s="18"/>
      <c r="K299" s="18"/>
      <c r="L299" s="19">
        <f>SUM(F299:K299)</f>
        <v>106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71901.2</v>
      </c>
      <c r="G301" s="42">
        <f t="shared" si="15"/>
        <v>5385.2000000000007</v>
      </c>
      <c r="H301" s="42">
        <f t="shared" si="15"/>
        <v>27611.96</v>
      </c>
      <c r="I301" s="42">
        <f t="shared" si="15"/>
        <v>2873.24</v>
      </c>
      <c r="J301" s="42">
        <f t="shared" si="15"/>
        <v>4517</v>
      </c>
      <c r="K301" s="42">
        <f t="shared" si="15"/>
        <v>0</v>
      </c>
      <c r="L301" s="41">
        <f t="shared" si="15"/>
        <v>112288.6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>
        <v>2019.4</v>
      </c>
      <c r="I306" s="18"/>
      <c r="J306" s="18">
        <v>877.99</v>
      </c>
      <c r="K306" s="18"/>
      <c r="L306" s="19">
        <f>SUM(F306:K306)</f>
        <v>2897.3900000000003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57297</v>
      </c>
      <c r="G307" s="18">
        <v>4231.2</v>
      </c>
      <c r="H307" s="18">
        <v>718.8</v>
      </c>
      <c r="I307" s="18">
        <v>4150.8500000000004</v>
      </c>
      <c r="J307" s="18"/>
      <c r="K307" s="18"/>
      <c r="L307" s="19">
        <f>SUM(F307:K307)</f>
        <v>66397.850000000006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f>22356.63+12145.14</f>
        <v>34501.770000000004</v>
      </c>
      <c r="I309" s="18">
        <v>1396.21</v>
      </c>
      <c r="J309" s="18"/>
      <c r="K309" s="18"/>
      <c r="L309" s="19">
        <f>SUM(F309:K309)</f>
        <v>35897.980000000003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9636.83+50554.8</f>
        <v>60191.630000000005</v>
      </c>
      <c r="G311" s="18">
        <f>575.63+3846.6</f>
        <v>4422.2299999999996</v>
      </c>
      <c r="H311" s="18">
        <f>3220.75+28554</f>
        <v>31774.75</v>
      </c>
      <c r="I311" s="18">
        <v>259.76</v>
      </c>
      <c r="J311" s="18"/>
      <c r="K311" s="18"/>
      <c r="L311" s="19">
        <f t="shared" ref="L311:L317" si="16">SUM(F311:K311)</f>
        <v>96648.37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>
        <v>1319.5</v>
      </c>
      <c r="J312" s="18">
        <v>9887.1200000000008</v>
      </c>
      <c r="K312" s="18"/>
      <c r="L312" s="19">
        <f t="shared" si="16"/>
        <v>11206.62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>
        <v>2376.96</v>
      </c>
      <c r="J316" s="18"/>
      <c r="K316" s="18"/>
      <c r="L316" s="19">
        <f t="shared" si="16"/>
        <v>2376.96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>
        <v>159</v>
      </c>
      <c r="J318" s="18"/>
      <c r="K318" s="18"/>
      <c r="L318" s="19">
        <f>SUM(F318:K318)</f>
        <v>159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117488.63</v>
      </c>
      <c r="G320" s="42">
        <f t="shared" si="17"/>
        <v>8653.43</v>
      </c>
      <c r="H320" s="42">
        <f t="shared" si="17"/>
        <v>69014.720000000001</v>
      </c>
      <c r="I320" s="42">
        <f t="shared" si="17"/>
        <v>9662.2800000000007</v>
      </c>
      <c r="J320" s="42">
        <f t="shared" si="17"/>
        <v>10765.11</v>
      </c>
      <c r="K320" s="42">
        <f t="shared" si="17"/>
        <v>0</v>
      </c>
      <c r="L320" s="41">
        <f t="shared" si="17"/>
        <v>215584.16999999998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f>4857.88</f>
        <v>4857.88</v>
      </c>
      <c r="I328" s="18"/>
      <c r="J328" s="18"/>
      <c r="K328" s="18"/>
      <c r="L328" s="19">
        <f t="shared" si="18"/>
        <v>4857.88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4857.88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4857.88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189389.83000000002</v>
      </c>
      <c r="G330" s="41">
        <f t="shared" si="20"/>
        <v>14038.630000000001</v>
      </c>
      <c r="H330" s="41">
        <f t="shared" si="20"/>
        <v>101484.56</v>
      </c>
      <c r="I330" s="41">
        <f t="shared" si="20"/>
        <v>12535.52</v>
      </c>
      <c r="J330" s="41">
        <f t="shared" si="20"/>
        <v>15282.11</v>
      </c>
      <c r="K330" s="41">
        <f t="shared" si="20"/>
        <v>0</v>
      </c>
      <c r="L330" s="41">
        <f t="shared" si="20"/>
        <v>332730.65000000002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189389.83000000002</v>
      </c>
      <c r="G344" s="41">
        <f>G330</f>
        <v>14038.630000000001</v>
      </c>
      <c r="H344" s="41">
        <f>H330</f>
        <v>101484.56</v>
      </c>
      <c r="I344" s="41">
        <f>I330</f>
        <v>12535.52</v>
      </c>
      <c r="J344" s="41">
        <f>J330</f>
        <v>15282.11</v>
      </c>
      <c r="K344" s="47">
        <f>K330+K343</f>
        <v>0</v>
      </c>
      <c r="L344" s="41">
        <f>L330+L343</f>
        <v>332730.65000000002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56175.71+13700.79</f>
        <v>69876.5</v>
      </c>
      <c r="G351" s="18">
        <v>236.5</v>
      </c>
      <c r="H351" s="18">
        <v>2055.86</v>
      </c>
      <c r="I351" s="18">
        <v>94948.81</v>
      </c>
      <c r="J351" s="18">
        <v>692.08</v>
      </c>
      <c r="K351" s="18"/>
      <c r="L351" s="19">
        <f>SUM(F351:K351)</f>
        <v>167809.74999999997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86535.52+20551.19</f>
        <v>107086.71</v>
      </c>
      <c r="G352" s="18">
        <v>354.75</v>
      </c>
      <c r="H352" s="18">
        <v>4770.38</v>
      </c>
      <c r="I352" s="18">
        <v>195706.97</v>
      </c>
      <c r="J352" s="18">
        <f>4361.31+400</f>
        <v>4761.3100000000004</v>
      </c>
      <c r="K352" s="18"/>
      <c r="L352" s="19">
        <f>SUM(F352:K352)</f>
        <v>312680.12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176963.21000000002</v>
      </c>
      <c r="G354" s="47">
        <f t="shared" si="22"/>
        <v>591.25</v>
      </c>
      <c r="H354" s="47">
        <f t="shared" si="22"/>
        <v>6826.24</v>
      </c>
      <c r="I354" s="47">
        <f t="shared" si="22"/>
        <v>290655.78000000003</v>
      </c>
      <c r="J354" s="47">
        <f t="shared" si="22"/>
        <v>5453.39</v>
      </c>
      <c r="K354" s="47">
        <f t="shared" si="22"/>
        <v>0</v>
      </c>
      <c r="L354" s="47">
        <f t="shared" si="22"/>
        <v>480489.87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>
        <v>87094.66</v>
      </c>
      <c r="H359" s="18">
        <v>182201.25</v>
      </c>
      <c r="I359" s="56">
        <f>SUM(F359:H359)</f>
        <v>269295.91000000003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>
        <f>5880.19+1973.96</f>
        <v>7854.15</v>
      </c>
      <c r="H360" s="63">
        <f>11270.05+2235.67</f>
        <v>13505.72</v>
      </c>
      <c r="I360" s="56">
        <f>SUM(F360:H360)</f>
        <v>21359.87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94948.81</v>
      </c>
      <c r="H361" s="47">
        <f>SUM(H359:H360)</f>
        <v>195706.97</v>
      </c>
      <c r="I361" s="47">
        <f>SUM(I359:I360)</f>
        <v>290655.78000000003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967842.12</v>
      </c>
      <c r="G455" s="18">
        <v>102843.33</v>
      </c>
      <c r="H455" s="18">
        <v>93783.13</v>
      </c>
      <c r="I455" s="18">
        <v>0</v>
      </c>
      <c r="J455" s="18">
        <v>0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17568932.690000001</v>
      </c>
      <c r="G458" s="18">
        <v>504101.47</v>
      </c>
      <c r="H458" s="18">
        <f>300940.86+28535.88</f>
        <v>329476.74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17568932.690000001</v>
      </c>
      <c r="G460" s="53">
        <f>SUM(G458:G459)</f>
        <v>504101.47</v>
      </c>
      <c r="H460" s="53">
        <f>SUM(H458:H459)</f>
        <v>329476.74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17592762.62+119297.37</f>
        <v>17712059.990000002</v>
      </c>
      <c r="G462" s="18">
        <v>480489.87</v>
      </c>
      <c r="H462" s="18">
        <f>300940.86+31789.79</f>
        <v>332730.64999999997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17712059.990000002</v>
      </c>
      <c r="G464" s="53">
        <f>SUM(G462:G463)</f>
        <v>480489.87</v>
      </c>
      <c r="H464" s="53">
        <f>SUM(H462:H463)</f>
        <v>332730.64999999997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824714.8200000003</v>
      </c>
      <c r="G466" s="53">
        <f>(G455+G460)- G464</f>
        <v>126454.92999999993</v>
      </c>
      <c r="H466" s="53">
        <f>(H455+H460)- H464</f>
        <v>90529.22000000003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15</v>
      </c>
      <c r="H480" s="154">
        <v>10</v>
      </c>
      <c r="I480" s="154">
        <v>20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899</v>
      </c>
      <c r="H482" s="155" t="s">
        <v>900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10800000</v>
      </c>
      <c r="G483" s="18">
        <v>3200000</v>
      </c>
      <c r="H483" s="18">
        <v>650000</v>
      </c>
      <c r="I483" s="18">
        <v>7703400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5.71</v>
      </c>
      <c r="G484" s="18">
        <v>5.2</v>
      </c>
      <c r="H484" s="18">
        <v>4.25</v>
      </c>
      <c r="I484" s="18">
        <v>4.54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3577163.9</v>
      </c>
      <c r="G485" s="18">
        <v>1162831.3600000001</v>
      </c>
      <c r="H485" s="18">
        <v>260000</v>
      </c>
      <c r="I485" s="18">
        <v>6705000</v>
      </c>
      <c r="J485" s="18"/>
      <c r="K485" s="53">
        <f>SUM(F485:J485)</f>
        <v>11704995.26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466921.74</v>
      </c>
      <c r="G487" s="18">
        <v>192840.54</v>
      </c>
      <c r="H487" s="18">
        <v>65000</v>
      </c>
      <c r="I487" s="18">
        <v>280000</v>
      </c>
      <c r="J487" s="18"/>
      <c r="K487" s="53">
        <f t="shared" si="34"/>
        <v>1004762.28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3110242.16</v>
      </c>
      <c r="G488" s="205">
        <f>G485-G487</f>
        <v>969990.82000000007</v>
      </c>
      <c r="H488" s="205">
        <f>H485-H487</f>
        <v>195000</v>
      </c>
      <c r="I488" s="205">
        <f>I485-I487</f>
        <v>6425000</v>
      </c>
      <c r="J488" s="205"/>
      <c r="K488" s="206">
        <f t="shared" si="34"/>
        <v>10700232.98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3230145.34</v>
      </c>
      <c r="G489" s="18">
        <v>886743.04000000004</v>
      </c>
      <c r="H489" s="18">
        <v>43912.5</v>
      </c>
      <c r="I489" s="18">
        <v>2839537.5</v>
      </c>
      <c r="J489" s="18"/>
      <c r="K489" s="53">
        <f t="shared" si="34"/>
        <v>7000338.3799999999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6340387.5</v>
      </c>
      <c r="G490" s="42">
        <f>SUM(G488:G489)</f>
        <v>1856733.86</v>
      </c>
      <c r="H490" s="42">
        <f>SUM(H488:H489)</f>
        <v>238912.5</v>
      </c>
      <c r="I490" s="42">
        <f>SUM(I488:I489)</f>
        <v>9264537.5</v>
      </c>
      <c r="J490" s="42">
        <f>SUM(J488:J489)</f>
        <v>0</v>
      </c>
      <c r="K490" s="42">
        <f t="shared" si="34"/>
        <v>17700571.359999999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414022.43</v>
      </c>
      <c r="G491" s="205">
        <v>182317.68</v>
      </c>
      <c r="H491" s="205">
        <v>65000</v>
      </c>
      <c r="I491" s="205">
        <v>295000</v>
      </c>
      <c r="J491" s="205"/>
      <c r="K491" s="206">
        <f t="shared" si="34"/>
        <v>956340.11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445066.74</v>
      </c>
      <c r="G492" s="18">
        <v>124299.82</v>
      </c>
      <c r="H492" s="18">
        <v>14350</v>
      </c>
      <c r="I492" s="18">
        <v>311500</v>
      </c>
      <c r="J492" s="18"/>
      <c r="K492" s="53">
        <f t="shared" si="34"/>
        <v>895216.56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859089.16999999993</v>
      </c>
      <c r="G493" s="42">
        <f>SUM(G491:G492)</f>
        <v>306617.5</v>
      </c>
      <c r="H493" s="42">
        <f>SUM(H491:H492)</f>
        <v>79350</v>
      </c>
      <c r="I493" s="42">
        <f>SUM(I491:I492)</f>
        <v>606500</v>
      </c>
      <c r="J493" s="42">
        <f>SUM(J491:J492)</f>
        <v>0</v>
      </c>
      <c r="K493" s="42">
        <f t="shared" si="34"/>
        <v>1851556.67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38198+563924.37</f>
        <v>602122.37</v>
      </c>
      <c r="G512" s="18">
        <f>2820.8+186885.18</f>
        <v>189705.97999999998</v>
      </c>
      <c r="H512" s="18">
        <f>633.29+152625.08+9800</f>
        <v>163058.37</v>
      </c>
      <c r="I512" s="18">
        <v>1047.08</v>
      </c>
      <c r="J512" s="18">
        <v>3351.08</v>
      </c>
      <c r="K512" s="18"/>
      <c r="L512" s="88">
        <f>SUM(F512:K512)</f>
        <v>959284.87999999989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57297+973480.64</f>
        <v>1030777.64</v>
      </c>
      <c r="G513" s="18">
        <f>4231.2+322612.6</f>
        <v>326843.8</v>
      </c>
      <c r="H513" s="18">
        <f>949.94+441058.51</f>
        <v>442008.45</v>
      </c>
      <c r="I513" s="18">
        <v>10028.200000000001</v>
      </c>
      <c r="J513" s="18">
        <v>1126.24</v>
      </c>
      <c r="K513" s="18">
        <v>837</v>
      </c>
      <c r="L513" s="88">
        <f>SUM(F513:K513)</f>
        <v>1811621.3299999998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1632900.01</v>
      </c>
      <c r="G514" s="108">
        <f t="shared" ref="G514:L514" si="35">SUM(G511:G513)</f>
        <v>516549.77999999997</v>
      </c>
      <c r="H514" s="108">
        <f t="shared" si="35"/>
        <v>605066.82000000007</v>
      </c>
      <c r="I514" s="108">
        <f t="shared" si="35"/>
        <v>11075.28</v>
      </c>
      <c r="J514" s="108">
        <f t="shared" si="35"/>
        <v>4477.32</v>
      </c>
      <c r="K514" s="108">
        <f t="shared" si="35"/>
        <v>837</v>
      </c>
      <c r="L514" s="89">
        <f t="shared" si="35"/>
        <v>2770906.21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33703.2+41687.97</f>
        <v>75391.17</v>
      </c>
      <c r="G517" s="18">
        <f>2564.4+13815.44</f>
        <v>16379.84</v>
      </c>
      <c r="H517" s="18">
        <f>23834.97+56353.37</f>
        <v>80188.34</v>
      </c>
      <c r="I517" s="18">
        <v>218.9</v>
      </c>
      <c r="J517" s="18"/>
      <c r="K517" s="18"/>
      <c r="L517" s="88">
        <f>SUM(F517:K517)</f>
        <v>172178.24999999997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50554.8+95416.63</f>
        <v>145971.43</v>
      </c>
      <c r="G518" s="18">
        <f>3846.6+31621.18</f>
        <v>35467.78</v>
      </c>
      <c r="H518" s="18">
        <f>35752.45+113408.48</f>
        <v>149160.93</v>
      </c>
      <c r="I518" s="18">
        <v>470.79</v>
      </c>
      <c r="J518" s="18"/>
      <c r="K518" s="18"/>
      <c r="L518" s="88">
        <f>SUM(F518:K518)</f>
        <v>331070.93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221362.59999999998</v>
      </c>
      <c r="G519" s="89">
        <f t="shared" ref="G519:L519" si="36">SUM(G516:G518)</f>
        <v>51847.619999999995</v>
      </c>
      <c r="H519" s="89">
        <f t="shared" si="36"/>
        <v>229349.27</v>
      </c>
      <c r="I519" s="89">
        <f t="shared" si="36"/>
        <v>689.69</v>
      </c>
      <c r="J519" s="89">
        <f t="shared" si="36"/>
        <v>0</v>
      </c>
      <c r="K519" s="89">
        <f t="shared" si="36"/>
        <v>0</v>
      </c>
      <c r="L519" s="89">
        <f t="shared" si="36"/>
        <v>503249.17999999993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34928</v>
      </c>
      <c r="G522" s="18">
        <v>13389.86</v>
      </c>
      <c r="H522" s="18">
        <v>35.33</v>
      </c>
      <c r="I522" s="18">
        <v>91.09</v>
      </c>
      <c r="J522" s="18"/>
      <c r="K522" s="18">
        <v>106.78</v>
      </c>
      <c r="L522" s="88">
        <f>SUM(F522:K522)</f>
        <v>48551.06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52391.99</v>
      </c>
      <c r="G523" s="18">
        <v>20084.79</v>
      </c>
      <c r="H523" s="18">
        <v>53</v>
      </c>
      <c r="I523" s="18">
        <v>136.63</v>
      </c>
      <c r="J523" s="18"/>
      <c r="K523" s="18">
        <v>160.18</v>
      </c>
      <c r="L523" s="88">
        <f>SUM(F523:K523)</f>
        <v>72826.59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87319.989999999991</v>
      </c>
      <c r="G524" s="89">
        <f t="shared" ref="G524:L524" si="37">SUM(G521:G523)</f>
        <v>33474.65</v>
      </c>
      <c r="H524" s="89">
        <f t="shared" si="37"/>
        <v>88.33</v>
      </c>
      <c r="I524" s="89">
        <f t="shared" si="37"/>
        <v>227.72</v>
      </c>
      <c r="J524" s="89">
        <f t="shared" si="37"/>
        <v>0</v>
      </c>
      <c r="K524" s="89">
        <f t="shared" si="37"/>
        <v>266.96000000000004</v>
      </c>
      <c r="L524" s="89">
        <f t="shared" si="37"/>
        <v>121377.65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495.4</v>
      </c>
      <c r="I527" s="18"/>
      <c r="J527" s="18"/>
      <c r="K527" s="18"/>
      <c r="L527" s="88">
        <f>SUM(F527:K527)</f>
        <v>495.4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743.09</v>
      </c>
      <c r="I528" s="18"/>
      <c r="J528" s="18"/>
      <c r="K528" s="18"/>
      <c r="L528" s="88">
        <f>SUM(F528:K528)</f>
        <v>743.09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1238.49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1238.49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38457.870000000003</v>
      </c>
      <c r="I532" s="18"/>
      <c r="J532" s="18"/>
      <c r="K532" s="18"/>
      <c r="L532" s="88">
        <f>SUM(F532:K532)</f>
        <v>38457.870000000003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186174.37</v>
      </c>
      <c r="I533" s="18"/>
      <c r="J533" s="18"/>
      <c r="K533" s="18"/>
      <c r="L533" s="88">
        <f>SUM(F533:K533)</f>
        <v>186174.37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224632.24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224632.24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1941582.5999999999</v>
      </c>
      <c r="G535" s="89">
        <f t="shared" ref="G535:L535" si="40">G514+G519+G524+G529+G534</f>
        <v>601872.04999999993</v>
      </c>
      <c r="H535" s="89">
        <f t="shared" si="40"/>
        <v>1060375.1499999999</v>
      </c>
      <c r="I535" s="89">
        <f t="shared" si="40"/>
        <v>11992.69</v>
      </c>
      <c r="J535" s="89">
        <f t="shared" si="40"/>
        <v>4477.32</v>
      </c>
      <c r="K535" s="89">
        <f t="shared" si="40"/>
        <v>1103.96</v>
      </c>
      <c r="L535" s="89">
        <f t="shared" si="40"/>
        <v>3621403.7699999996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959284.87999999989</v>
      </c>
      <c r="G540" s="87">
        <f>L517</f>
        <v>172178.24999999997</v>
      </c>
      <c r="H540" s="87">
        <f>L522</f>
        <v>48551.06</v>
      </c>
      <c r="I540" s="87">
        <f>L527</f>
        <v>495.4</v>
      </c>
      <c r="J540" s="87">
        <f>L532</f>
        <v>38457.870000000003</v>
      </c>
      <c r="K540" s="87">
        <f>SUM(F540:J540)</f>
        <v>1218967.46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1811621.3299999998</v>
      </c>
      <c r="G541" s="87">
        <f>L518</f>
        <v>331070.93</v>
      </c>
      <c r="H541" s="87">
        <f>L523</f>
        <v>72826.59</v>
      </c>
      <c r="I541" s="87">
        <f>L528</f>
        <v>743.09</v>
      </c>
      <c r="J541" s="87">
        <f>L533</f>
        <v>186174.37</v>
      </c>
      <c r="K541" s="87">
        <f>SUM(F541:J541)</f>
        <v>2402436.3099999996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2770906.21</v>
      </c>
      <c r="G542" s="89">
        <f t="shared" si="41"/>
        <v>503249.17999999993</v>
      </c>
      <c r="H542" s="89">
        <f t="shared" si="41"/>
        <v>121377.65</v>
      </c>
      <c r="I542" s="89">
        <f t="shared" si="41"/>
        <v>1238.49</v>
      </c>
      <c r="J542" s="89">
        <f t="shared" si="41"/>
        <v>224632.24</v>
      </c>
      <c r="K542" s="89">
        <f t="shared" si="41"/>
        <v>3621403.7699999996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>
        <v>800</v>
      </c>
      <c r="J559" s="18"/>
      <c r="K559" s="18"/>
      <c r="L559" s="88">
        <f>SUM(F559:K559)</f>
        <v>800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800</v>
      </c>
      <c r="J560" s="194">
        <f t="shared" si="44"/>
        <v>0</v>
      </c>
      <c r="K560" s="194">
        <f t="shared" si="44"/>
        <v>0</v>
      </c>
      <c r="L560" s="194">
        <f t="shared" si="44"/>
        <v>800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800</v>
      </c>
      <c r="J561" s="89">
        <f t="shared" si="45"/>
        <v>0</v>
      </c>
      <c r="K561" s="89">
        <f t="shared" si="45"/>
        <v>0</v>
      </c>
      <c r="L561" s="89">
        <f t="shared" si="45"/>
        <v>800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v>151660.07999999999</v>
      </c>
      <c r="H572" s="18">
        <f>438450.05+9800</f>
        <v>448250.05</v>
      </c>
      <c r="I572" s="87">
        <f t="shared" si="46"/>
        <v>599910.13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24915.29</v>
      </c>
      <c r="I574" s="87">
        <f t="shared" si="46"/>
        <v>24915.29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>
        <f>177306.26+28011.73</f>
        <v>205317.99000000002</v>
      </c>
      <c r="J581" s="18">
        <f>180742.49+30679.46</f>
        <v>211421.94999999998</v>
      </c>
      <c r="K581" s="104">
        <f t="shared" ref="K581:K587" si="47">SUM(H581:J581)</f>
        <v>416739.94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>
        <v>38457.870000000003</v>
      </c>
      <c r="J582" s="18">
        <v>186174.37</v>
      </c>
      <c r="K582" s="104">
        <f t="shared" si="47"/>
        <v>224632.24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40961.5</v>
      </c>
      <c r="K583" s="104">
        <f t="shared" si="47"/>
        <v>40961.5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7995.62</v>
      </c>
      <c r="J584" s="18">
        <v>50499.78</v>
      </c>
      <c r="K584" s="104">
        <f t="shared" si="47"/>
        <v>58495.4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251771.48</v>
      </c>
      <c r="J588" s="108">
        <f>SUM(J581:J587)</f>
        <v>489057.6</v>
      </c>
      <c r="K588" s="108">
        <f>SUM(K581:K587)</f>
        <v>740829.08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>
        <f>32086.34+4517+2375</f>
        <v>38978.339999999997</v>
      </c>
      <c r="J594" s="18">
        <f>78858.51+9887.12+877.99+1131.75</f>
        <v>90755.37</v>
      </c>
      <c r="K594" s="104">
        <f>SUM(H594:J594)</f>
        <v>129733.70999999999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38978.339999999997</v>
      </c>
      <c r="J595" s="108">
        <f>SUM(J592:J594)</f>
        <v>90755.37</v>
      </c>
      <c r="K595" s="108">
        <f>SUM(K592:K594)</f>
        <v>129733.70999999999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1261358.1500000001</v>
      </c>
      <c r="H607" s="109">
        <f>SUM(F44)</f>
        <v>1261358.1500000018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156973.84</v>
      </c>
      <c r="H608" s="109">
        <f>SUM(G44)</f>
        <v>156973.83999999994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365746.39</v>
      </c>
      <c r="H609" s="109">
        <f>SUM(H44)</f>
        <v>365746.39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824714.8200000017</v>
      </c>
      <c r="H612" s="109">
        <f>F466</f>
        <v>824714.8200000003</v>
      </c>
      <c r="I612" s="121" t="s">
        <v>106</v>
      </c>
      <c r="J612" s="109">
        <f t="shared" ref="J612:J645" si="49">G612-H612</f>
        <v>1.3969838619232178E-9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126454.92999999993</v>
      </c>
      <c r="H613" s="109">
        <f>G466</f>
        <v>126454.92999999993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90529.22</v>
      </c>
      <c r="H614" s="109">
        <f>H466</f>
        <v>90529.22000000003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17568932.689999998</v>
      </c>
      <c r="H617" s="104">
        <f>SUM(F458)</f>
        <v>17568932.690000001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504101.47</v>
      </c>
      <c r="H618" s="104">
        <f>SUM(G458)</f>
        <v>504101.47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329476.74</v>
      </c>
      <c r="H619" s="104">
        <f>SUM(H458)</f>
        <v>329476.74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17712059.990000002</v>
      </c>
      <c r="H622" s="104">
        <f>SUM(F462)</f>
        <v>17712059.990000002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332730.65000000002</v>
      </c>
      <c r="H623" s="104">
        <f>SUM(H462)</f>
        <v>332730.64999999997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290655.78000000003</v>
      </c>
      <c r="H624" s="104">
        <f>I361</f>
        <v>290655.78000000003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480489.87</v>
      </c>
      <c r="H625" s="104">
        <f>SUM(G462)</f>
        <v>480489.87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740829.08</v>
      </c>
      <c r="H637" s="104">
        <f>L200+L218+L236</f>
        <v>740829.08000000007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129733.70999999999</v>
      </c>
      <c r="H638" s="104">
        <f>(J249+J330)-(J247+J328)</f>
        <v>129733.71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251771.48</v>
      </c>
      <c r="H640" s="104">
        <f>I588</f>
        <v>251771.48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489057.60000000003</v>
      </c>
      <c r="H641" s="104">
        <f>J588</f>
        <v>489057.6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5761542.4100000011</v>
      </c>
      <c r="H650" s="19">
        <f>(L239+L320+L352)</f>
        <v>10855947.719999999</v>
      </c>
      <c r="I650" s="19">
        <f>SUM(F650:H650)</f>
        <v>16617490.129999999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160172.41534630061</v>
      </c>
      <c r="H651" s="19">
        <f>(L352/IF(SUM(L350:L352)=0,1,SUM(L350:L352))*(SUM(G89:G102)))</f>
        <v>298449.46465369937</v>
      </c>
      <c r="I651" s="19">
        <f>SUM(F651:H651)</f>
        <v>458621.88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251771.48</v>
      </c>
      <c r="H652" s="19">
        <f>(L236+L317)-(J236+J317)</f>
        <v>489057.60000000003</v>
      </c>
      <c r="I652" s="19">
        <f>SUM(F652:H652)</f>
        <v>740829.08000000007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190638.41999999998</v>
      </c>
      <c r="H653" s="200">
        <f>SUM(H565:H577)+SUM(J592:J594)+L603</f>
        <v>563920.71</v>
      </c>
      <c r="I653" s="19">
        <f>SUM(F653:H653)</f>
        <v>754559.12999999989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5158960.0946537005</v>
      </c>
      <c r="H654" s="19">
        <f>H650-SUM(H651:H653)</f>
        <v>9504519.9453462996</v>
      </c>
      <c r="I654" s="19">
        <f>I650-SUM(I651:I653)</f>
        <v>14663480.039999999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>
        <v>478.71</v>
      </c>
      <c r="H655" s="249">
        <v>890.58</v>
      </c>
      <c r="I655" s="19">
        <f>SUM(F655:H655)</f>
        <v>1369.29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>
        <f>ROUND(G654/G655,2)</f>
        <v>10776.8</v>
      </c>
      <c r="H657" s="19">
        <f>ROUND(H654/H655,2)</f>
        <v>10672.28</v>
      </c>
      <c r="I657" s="19">
        <f>ROUND(I654/I655,2)</f>
        <v>10708.82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-9.1999999999999993</v>
      </c>
      <c r="I660" s="19">
        <f>SUM(F660:H660)</f>
        <v>-9.1999999999999993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>
        <f>ROUND((G654+G659)/(G655+G660),2)</f>
        <v>10776.8</v>
      </c>
      <c r="H662" s="19">
        <f>ROUND((H654+H659)/(H655+H660),2)</f>
        <v>10783.68</v>
      </c>
      <c r="I662" s="19">
        <f>ROUND((I654+I659)/(I655+I660),2)</f>
        <v>10781.26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BCFC-B301-451E-95FD-22DDF52A6EFA}">
  <sheetPr>
    <tabColor indexed="20"/>
  </sheetPr>
  <dimension ref="A1:C52"/>
  <sheetViews>
    <sheetView topLeftCell="A13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HOLLIS-BROOKLINE COOPERATIVE SCHOOL DIST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5068435.55</v>
      </c>
      <c r="C9" s="230">
        <f>'DOE25'!G189+'DOE25'!G207+'DOE25'!G225+'DOE25'!G268+'DOE25'!G287+'DOE25'!G306</f>
        <v>1679685.3599999999</v>
      </c>
    </row>
    <row r="10" spans="1:3" x14ac:dyDescent="0.2">
      <c r="A10" t="s">
        <v>813</v>
      </c>
      <c r="B10" s="241">
        <v>4980362.55</v>
      </c>
      <c r="C10" s="241">
        <v>1650497.86</v>
      </c>
    </row>
    <row r="11" spans="1:3" x14ac:dyDescent="0.2">
      <c r="A11" t="s">
        <v>814</v>
      </c>
      <c r="B11" s="241"/>
      <c r="C11" s="241">
        <v>0</v>
      </c>
    </row>
    <row r="12" spans="1:3" x14ac:dyDescent="0.2">
      <c r="A12" t="s">
        <v>815</v>
      </c>
      <c r="B12" s="241">
        <v>88073</v>
      </c>
      <c r="C12" s="241">
        <v>29187.5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5068435.55</v>
      </c>
      <c r="C13" s="232">
        <f>SUM(C10:C12)</f>
        <v>1679685.36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1632900.01</v>
      </c>
      <c r="C18" s="230">
        <f>'DOE25'!G190+'DOE25'!G208+'DOE25'!G226+'DOE25'!G269+'DOE25'!G288+'DOE25'!G307</f>
        <v>516549.77999999997</v>
      </c>
    </row>
    <row r="19" spans="1:3" x14ac:dyDescent="0.2">
      <c r="A19" t="s">
        <v>813</v>
      </c>
      <c r="B19" s="241">
        <v>845975.2</v>
      </c>
      <c r="C19" s="241">
        <v>267614.86</v>
      </c>
    </row>
    <row r="20" spans="1:3" x14ac:dyDescent="0.2">
      <c r="A20" t="s">
        <v>814</v>
      </c>
      <c r="B20" s="241">
        <v>786924.81</v>
      </c>
      <c r="C20" s="241">
        <v>248934.92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1632900.01</v>
      </c>
      <c r="C22" s="232">
        <f>SUM(C19:C21)</f>
        <v>516549.78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24506.6</v>
      </c>
      <c r="C27" s="235">
        <f>'DOE25'!G191+'DOE25'!G209+'DOE25'!G227+'DOE25'!G270+'DOE25'!G289+'DOE25'!G308</f>
        <v>8121.52</v>
      </c>
    </row>
    <row r="28" spans="1:3" x14ac:dyDescent="0.2">
      <c r="A28" t="s">
        <v>813</v>
      </c>
      <c r="B28" s="241">
        <v>24506.6</v>
      </c>
      <c r="C28" s="241">
        <v>8121.52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24506.6</v>
      </c>
      <c r="C31" s="232">
        <f>SUM(C28:C30)</f>
        <v>8121.52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276330.26</v>
      </c>
      <c r="C36" s="236">
        <f>'DOE25'!G192+'DOE25'!G210+'DOE25'!G228+'DOE25'!G271+'DOE25'!G290+'DOE25'!G309</f>
        <v>91576.17</v>
      </c>
    </row>
    <row r="37" spans="1:3" x14ac:dyDescent="0.2">
      <c r="A37" t="s">
        <v>813</v>
      </c>
      <c r="B37" s="241">
        <f>112526+64399.97</f>
        <v>176925.97</v>
      </c>
      <c r="C37" s="241">
        <v>58633.47</v>
      </c>
    </row>
    <row r="38" spans="1:3" x14ac:dyDescent="0.2">
      <c r="A38" t="s">
        <v>814</v>
      </c>
      <c r="B38" s="241">
        <v>24944.29</v>
      </c>
      <c r="C38" s="241">
        <v>8266.57</v>
      </c>
    </row>
    <row r="39" spans="1:3" x14ac:dyDescent="0.2">
      <c r="A39" t="s">
        <v>815</v>
      </c>
      <c r="B39" s="241">
        <v>74460</v>
      </c>
      <c r="C39" s="241">
        <v>24676.13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276330.26</v>
      </c>
      <c r="C40" s="232">
        <f>SUM(C37:C39)</f>
        <v>91576.170000000013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35AC-BE19-44B8-BA33-B8861B6A3396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HOLLIS-BROOKLINE COOPERATIVE SCHOOL DIST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10257454.939999999</v>
      </c>
      <c r="D5" s="20">
        <f>SUM('DOE25'!L189:L192)+SUM('DOE25'!L207:L210)+SUM('DOE25'!L225:L228)-F5-G5</f>
        <v>10167285.589999998</v>
      </c>
      <c r="E5" s="244"/>
      <c r="F5" s="256">
        <f>SUM('DOE25'!J189:J192)+SUM('DOE25'!J207:J210)+SUM('DOE25'!J225:J228)</f>
        <v>67760.88</v>
      </c>
      <c r="G5" s="53">
        <f>SUM('DOE25'!K189:K192)+SUM('DOE25'!K207:K210)+SUM('DOE25'!K225:K228)</f>
        <v>22408.47</v>
      </c>
      <c r="H5" s="260"/>
    </row>
    <row r="6" spans="1:9" x14ac:dyDescent="0.2">
      <c r="A6" s="32">
        <v>2100</v>
      </c>
      <c r="B6" t="s">
        <v>835</v>
      </c>
      <c r="C6" s="246">
        <f t="shared" si="0"/>
        <v>1233927.53</v>
      </c>
      <c r="D6" s="20">
        <f>'DOE25'!L194+'DOE25'!L212+'DOE25'!L230-F6-G6</f>
        <v>1233287.53</v>
      </c>
      <c r="E6" s="244"/>
      <c r="F6" s="256">
        <f>'DOE25'!J194+'DOE25'!J212+'DOE25'!J230</f>
        <v>0</v>
      </c>
      <c r="G6" s="53">
        <f>'DOE25'!K194+'DOE25'!K212+'DOE25'!K230</f>
        <v>640</v>
      </c>
      <c r="H6" s="260"/>
    </row>
    <row r="7" spans="1:9" x14ac:dyDescent="0.2">
      <c r="A7" s="32">
        <v>2200</v>
      </c>
      <c r="B7" t="s">
        <v>868</v>
      </c>
      <c r="C7" s="246">
        <f t="shared" si="0"/>
        <v>602916.38</v>
      </c>
      <c r="D7" s="20">
        <f>'DOE25'!L195+'DOE25'!L213+'DOE25'!L231-F7-G7</f>
        <v>565017.34</v>
      </c>
      <c r="E7" s="244"/>
      <c r="F7" s="256">
        <f>'DOE25'!J195+'DOE25'!J213+'DOE25'!J231</f>
        <v>37719.040000000001</v>
      </c>
      <c r="G7" s="53">
        <f>'DOE25'!K195+'DOE25'!K213+'DOE25'!K231</f>
        <v>180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695986.66999999993</v>
      </c>
      <c r="D8" s="244"/>
      <c r="E8" s="20">
        <f>'DOE25'!L196+'DOE25'!L214+'DOE25'!L232-F8-G8-D9-D11</f>
        <v>691374.54999999993</v>
      </c>
      <c r="F8" s="256">
        <f>'DOE25'!J196+'DOE25'!J214+'DOE25'!J232</f>
        <v>0</v>
      </c>
      <c r="G8" s="53">
        <f>'DOE25'!K196+'DOE25'!K214+'DOE25'!K232</f>
        <v>4612.12</v>
      </c>
      <c r="H8" s="260"/>
    </row>
    <row r="9" spans="1:9" x14ac:dyDescent="0.2">
      <c r="A9" s="32">
        <v>2310</v>
      </c>
      <c r="B9" t="s">
        <v>852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999361.57</v>
      </c>
      <c r="D12" s="20">
        <f>'DOE25'!L197+'DOE25'!L215+'DOE25'!L233-F12-G12</f>
        <v>979487.83</v>
      </c>
      <c r="E12" s="244"/>
      <c r="F12" s="256">
        <f>'DOE25'!J197+'DOE25'!J215+'DOE25'!J233</f>
        <v>6313.91</v>
      </c>
      <c r="G12" s="53">
        <f>'DOE25'!K197+'DOE25'!K215+'DOE25'!K233</f>
        <v>13559.83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22593.98</v>
      </c>
      <c r="D13" s="244"/>
      <c r="E13" s="20">
        <f>'DOE25'!L198+'DOE25'!L216+'DOE25'!L234-F13-G13</f>
        <v>22593.98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1256057.3400000001</v>
      </c>
      <c r="D14" s="20">
        <f>'DOE25'!L199+'DOE25'!L217+'DOE25'!L235-F14-G14</f>
        <v>1253399.57</v>
      </c>
      <c r="E14" s="244"/>
      <c r="F14" s="256">
        <f>'DOE25'!J199+'DOE25'!J217+'DOE25'!J235</f>
        <v>2657.77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740829.08000000007</v>
      </c>
      <c r="D15" s="20">
        <f>'DOE25'!L200+'DOE25'!L218+'DOE25'!L236-F15-G15</f>
        <v>740829.08000000007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4857.88</v>
      </c>
      <c r="D22" s="244"/>
      <c r="E22" s="244"/>
      <c r="F22" s="256">
        <f>'DOE25'!L247+'DOE25'!L328</f>
        <v>4857.88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1902932.5</v>
      </c>
      <c r="D25" s="244"/>
      <c r="E25" s="244"/>
      <c r="F25" s="259"/>
      <c r="G25" s="257"/>
      <c r="H25" s="258">
        <f>'DOE25'!L252+'DOE25'!L253+'DOE25'!L333+'DOE25'!L334</f>
        <v>1902932.5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211193.95999999996</v>
      </c>
      <c r="D29" s="20">
        <f>'DOE25'!L350+'DOE25'!L351+'DOE25'!L352-'DOE25'!I359-F29-G29</f>
        <v>205740.56999999995</v>
      </c>
      <c r="E29" s="244"/>
      <c r="F29" s="256">
        <f>'DOE25'!J350+'DOE25'!J351+'DOE25'!J352</f>
        <v>5453.39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327872.77</v>
      </c>
      <c r="D31" s="20">
        <f>'DOE25'!L282+'DOE25'!L301+'DOE25'!L320+'DOE25'!L325+'DOE25'!L326+'DOE25'!L327-F31-G31</f>
        <v>312590.66000000003</v>
      </c>
      <c r="E31" s="244"/>
      <c r="F31" s="256">
        <f>'DOE25'!J282+'DOE25'!J301+'DOE25'!J320+'DOE25'!J325+'DOE25'!J326+'DOE25'!J327</f>
        <v>15282.11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15457638.169999998</v>
      </c>
      <c r="E33" s="247">
        <f>SUM(E5:E31)</f>
        <v>713968.52999999991</v>
      </c>
      <c r="F33" s="247">
        <f>SUM(F5:F31)</f>
        <v>140044.98000000004</v>
      </c>
      <c r="G33" s="247">
        <f>SUM(G5:G31)</f>
        <v>41400.42</v>
      </c>
      <c r="H33" s="247">
        <f>SUM(H5:H31)</f>
        <v>1902932.5</v>
      </c>
    </row>
    <row r="35" spans="2:8" ht="12" thickBot="1" x14ac:dyDescent="0.25">
      <c r="B35" s="254" t="s">
        <v>881</v>
      </c>
      <c r="D35" s="255">
        <f>E33</f>
        <v>713968.52999999991</v>
      </c>
      <c r="E35" s="250"/>
    </row>
    <row r="36" spans="2:8" ht="12" thickTop="1" x14ac:dyDescent="0.2">
      <c r="B36" t="s">
        <v>849</v>
      </c>
      <c r="D36" s="20">
        <f>D33</f>
        <v>15457638.169999998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4FF-10C3-43EB-91B6-CD04A443A5D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HOLLIS-BROOKLINE COOPERATIVE SCHOOL DIST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817541.18</v>
      </c>
      <c r="D9" s="95">
        <f>'DOE25'!G9</f>
        <v>147648.32999999999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410967.21</v>
      </c>
      <c r="D12" s="95">
        <f>'DOE25'!G12</f>
        <v>0</v>
      </c>
      <c r="E12" s="95">
        <f>'DOE25'!H12</f>
        <v>91153.77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30955.040000000001</v>
      </c>
      <c r="D13" s="95">
        <f>'DOE25'!G13</f>
        <v>8615.01</v>
      </c>
      <c r="E13" s="95">
        <f>'DOE25'!H13</f>
        <v>274592.62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1894.72</v>
      </c>
      <c r="D17" s="95">
        <f>'DOE25'!G17</f>
        <v>710.5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1261358.1500000001</v>
      </c>
      <c r="D19" s="41">
        <f>SUM(D9:D18)</f>
        <v>156973.84</v>
      </c>
      <c r="E19" s="41">
        <f>SUM(E9:E18)</f>
        <v>365746.39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230657.12</v>
      </c>
      <c r="D22" s="95">
        <f>'DOE25'!G23</f>
        <v>22361.78</v>
      </c>
      <c r="E22" s="95">
        <f>'DOE25'!H23</f>
        <v>9687.07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31069.96</v>
      </c>
      <c r="D23" s="95">
        <f>'DOE25'!G24</f>
        <v>0</v>
      </c>
      <c r="E23" s="95">
        <f>'DOE25'!H24</f>
        <v>255557.01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49357.53</v>
      </c>
      <c r="D24" s="95">
        <f>'DOE25'!G25</f>
        <v>0</v>
      </c>
      <c r="E24" s="95">
        <f>'DOE25'!H25</f>
        <v>8940.34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38247.730000000003</v>
      </c>
      <c r="D28" s="95">
        <f>'DOE25'!G29</f>
        <v>346.13</v>
      </c>
      <c r="E28" s="95">
        <f>'DOE25'!H29</f>
        <v>1032.75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87310.99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7811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436643.32999999996</v>
      </c>
      <c r="D32" s="41">
        <f>SUM(D22:D31)</f>
        <v>30518.91</v>
      </c>
      <c r="E32" s="41">
        <f>SUM(E22:E31)</f>
        <v>275217.17000000004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312305.53000000003</v>
      </c>
      <c r="D36" s="95">
        <f>'DOE25'!G37</f>
        <v>400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126054.92999999993</v>
      </c>
      <c r="E40" s="95">
        <f>'DOE25'!H41</f>
        <v>90529.22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512409.29000000167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824714.8200000017</v>
      </c>
      <c r="D42" s="41">
        <f>SUM(D34:D41)</f>
        <v>126454.92999999993</v>
      </c>
      <c r="E42" s="41">
        <f>SUM(E34:E41)</f>
        <v>90529.22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1261358.1500000018</v>
      </c>
      <c r="D43" s="41">
        <f>D42+D32</f>
        <v>156973.83999999994</v>
      </c>
      <c r="E43" s="41">
        <f>E42+E32</f>
        <v>365746.39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11918390.75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15279.27</v>
      </c>
      <c r="D49" s="24" t="s">
        <v>312</v>
      </c>
      <c r="E49" s="95">
        <f>'DOE25'!H71</f>
        <v>14560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5186.79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458621.88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6653.48</v>
      </c>
      <c r="D53" s="95">
        <f>SUM('DOE25'!G90:G102)</f>
        <v>0</v>
      </c>
      <c r="E53" s="95">
        <f>SUM('DOE25'!H90:H102)</f>
        <v>6175.8799999999992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27119.54</v>
      </c>
      <c r="D54" s="130">
        <f>SUM(D49:D53)</f>
        <v>458621.88</v>
      </c>
      <c r="E54" s="130">
        <f>SUM(E49:E53)</f>
        <v>20735.879999999997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11945510.289999999</v>
      </c>
      <c r="D55" s="22">
        <f>D48+D54</f>
        <v>458621.88</v>
      </c>
      <c r="E55" s="22">
        <f>E48+E54</f>
        <v>20735.879999999997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2114722.9500000002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2081658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811353.05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5007734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397486.07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82735.7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4224.8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3891.17</v>
      </c>
      <c r="E69" s="95">
        <f>SUM('DOE25'!H123:H127)</f>
        <v>7800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484446.57</v>
      </c>
      <c r="D70" s="130">
        <f>SUM(D64:D69)</f>
        <v>3891.17</v>
      </c>
      <c r="E70" s="130">
        <f>SUM(E64:E69)</f>
        <v>7800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5492180.5700000003</v>
      </c>
      <c r="D73" s="130">
        <f>SUM(D71:D72)+D70+D62</f>
        <v>3891.17</v>
      </c>
      <c r="E73" s="130">
        <f>SUM(E71:E72)+E70+E62</f>
        <v>7800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122871.29</v>
      </c>
      <c r="D80" s="95">
        <f>SUM('DOE25'!G145:G153)</f>
        <v>41588.42</v>
      </c>
      <c r="E80" s="95">
        <f>SUM('DOE25'!H145:H153)</f>
        <v>300940.86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122871.29</v>
      </c>
      <c r="D83" s="131">
        <f>SUM(D77:D82)</f>
        <v>41588.42</v>
      </c>
      <c r="E83" s="131">
        <f>SUM(E77:E82)</f>
        <v>300940.86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8370.5400000000009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8370.5400000000009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17568932.689999998</v>
      </c>
      <c r="D96" s="86">
        <f>D55+D73+D83+D95</f>
        <v>504101.47</v>
      </c>
      <c r="E96" s="86">
        <f>E55+E73+E83+E95</f>
        <v>329476.74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7041399.5500000007</v>
      </c>
      <c r="D101" s="24" t="s">
        <v>312</v>
      </c>
      <c r="E101" s="95">
        <f>('DOE25'!L268)+('DOE25'!L287)+('DOE25'!L306)</f>
        <v>7414.39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2668359.21</v>
      </c>
      <c r="D102" s="24" t="s">
        <v>312</v>
      </c>
      <c r="E102" s="95">
        <f>('DOE25'!L269)+('DOE25'!L288)+('DOE25'!L307)</f>
        <v>110663.09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58874.64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488821.54000000004</v>
      </c>
      <c r="D104" s="24" t="s">
        <v>312</v>
      </c>
      <c r="E104" s="95">
        <f>+('DOE25'!L271)+('DOE25'!L290)+('DOE25'!L309)</f>
        <v>43994.740000000005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10257454.940000001</v>
      </c>
      <c r="D107" s="86">
        <f>SUM(D101:D106)</f>
        <v>0</v>
      </c>
      <c r="E107" s="86">
        <f>SUM(E101:E106)</f>
        <v>162072.22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1233927.53</v>
      </c>
      <c r="D110" s="24" t="s">
        <v>312</v>
      </c>
      <c r="E110" s="95">
        <f>+('DOE25'!L273)+('DOE25'!L292)+('DOE25'!L311)</f>
        <v>151951.97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602916.38</v>
      </c>
      <c r="D111" s="24" t="s">
        <v>312</v>
      </c>
      <c r="E111" s="95">
        <f>+('DOE25'!L274)+('DOE25'!L293)+('DOE25'!L312)</f>
        <v>11206.62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695986.66999999993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999361.57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22593.98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1256057.3400000001</v>
      </c>
      <c r="D115" s="24" t="s">
        <v>312</v>
      </c>
      <c r="E115" s="95">
        <f>+('DOE25'!L278)+('DOE25'!L297)+('DOE25'!L316)</f>
        <v>2376.96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740829.08000000007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265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480489.87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5551672.5499999998</v>
      </c>
      <c r="D120" s="86">
        <f>SUM(D110:D119)</f>
        <v>480489.87</v>
      </c>
      <c r="E120" s="86">
        <f>SUM(E110:E119)</f>
        <v>165800.54999999999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4857.88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1004762.28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898170.22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1902932.5</v>
      </c>
      <c r="D136" s="141">
        <f>SUM(D122:D135)</f>
        <v>0</v>
      </c>
      <c r="E136" s="141">
        <f>SUM(E122:E135)</f>
        <v>4857.88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17712059.990000002</v>
      </c>
      <c r="D137" s="86">
        <f>(D107+D120+D136)</f>
        <v>480489.87</v>
      </c>
      <c r="E137" s="86">
        <f>(E107+E120+E136)</f>
        <v>332730.65000000002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15</v>
      </c>
      <c r="D143" s="153">
        <f>'DOE25'!H480</f>
        <v>10</v>
      </c>
      <c r="E143" s="153">
        <f>'DOE25'!I480</f>
        <v>20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08/96</v>
      </c>
      <c r="C144" s="152" t="str">
        <f>'DOE25'!G481</f>
        <v>07/00</v>
      </c>
      <c r="D144" s="152" t="str">
        <f>'DOE25'!H481</f>
        <v>12/02</v>
      </c>
      <c r="E144" s="152" t="str">
        <f>'DOE25'!I481</f>
        <v>07/04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08/16</v>
      </c>
      <c r="C145" s="152" t="str">
        <f>'DOE25'!G482</f>
        <v>08/15</v>
      </c>
      <c r="D145" s="152" t="str">
        <f>'DOE25'!H482</f>
        <v>01/13</v>
      </c>
      <c r="E145" s="152" t="str">
        <f>'DOE25'!I482</f>
        <v>08/24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10800000</v>
      </c>
      <c r="C146" s="137">
        <f>'DOE25'!G483</f>
        <v>3200000</v>
      </c>
      <c r="D146" s="137">
        <f>'DOE25'!H483</f>
        <v>650000</v>
      </c>
      <c r="E146" s="137">
        <f>'DOE25'!I483</f>
        <v>7703400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5.71</v>
      </c>
      <c r="C147" s="137">
        <f>'DOE25'!G484</f>
        <v>5.2</v>
      </c>
      <c r="D147" s="137">
        <f>'DOE25'!H484</f>
        <v>4.25</v>
      </c>
      <c r="E147" s="137">
        <f>'DOE25'!I484</f>
        <v>4.54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3577163.9</v>
      </c>
      <c r="C148" s="137">
        <f>'DOE25'!G485</f>
        <v>1162831.3600000001</v>
      </c>
      <c r="D148" s="137">
        <f>'DOE25'!H485</f>
        <v>260000</v>
      </c>
      <c r="E148" s="137">
        <f>'DOE25'!I485</f>
        <v>6705000</v>
      </c>
      <c r="F148" s="137">
        <f>'DOE25'!J485</f>
        <v>0</v>
      </c>
      <c r="G148" s="138">
        <f>SUM(B148:F148)</f>
        <v>11704995.26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466921.74</v>
      </c>
      <c r="C150" s="137">
        <f>'DOE25'!G487</f>
        <v>192840.54</v>
      </c>
      <c r="D150" s="137">
        <f>'DOE25'!H487</f>
        <v>65000</v>
      </c>
      <c r="E150" s="137">
        <f>'DOE25'!I487</f>
        <v>280000</v>
      </c>
      <c r="F150" s="137">
        <f>'DOE25'!J487</f>
        <v>0</v>
      </c>
      <c r="G150" s="138">
        <f t="shared" si="0"/>
        <v>1004762.28</v>
      </c>
    </row>
    <row r="151" spans="1:7" x14ac:dyDescent="0.2">
      <c r="A151" s="22" t="s">
        <v>35</v>
      </c>
      <c r="B151" s="137">
        <f>'DOE25'!F488</f>
        <v>3110242.16</v>
      </c>
      <c r="C151" s="137">
        <f>'DOE25'!G488</f>
        <v>969990.82000000007</v>
      </c>
      <c r="D151" s="137">
        <f>'DOE25'!H488</f>
        <v>195000</v>
      </c>
      <c r="E151" s="137">
        <f>'DOE25'!I488</f>
        <v>6425000</v>
      </c>
      <c r="F151" s="137">
        <f>'DOE25'!J488</f>
        <v>0</v>
      </c>
      <c r="G151" s="138">
        <f t="shared" si="0"/>
        <v>10700232.98</v>
      </c>
    </row>
    <row r="152" spans="1:7" x14ac:dyDescent="0.2">
      <c r="A152" s="22" t="s">
        <v>36</v>
      </c>
      <c r="B152" s="137">
        <f>'DOE25'!F489</f>
        <v>3230145.34</v>
      </c>
      <c r="C152" s="137">
        <f>'DOE25'!G489</f>
        <v>886743.04000000004</v>
      </c>
      <c r="D152" s="137">
        <f>'DOE25'!H489</f>
        <v>43912.5</v>
      </c>
      <c r="E152" s="137">
        <f>'DOE25'!I489</f>
        <v>2839537.5</v>
      </c>
      <c r="F152" s="137">
        <f>'DOE25'!J489</f>
        <v>0</v>
      </c>
      <c r="G152" s="138">
        <f t="shared" si="0"/>
        <v>7000338.3799999999</v>
      </c>
    </row>
    <row r="153" spans="1:7" x14ac:dyDescent="0.2">
      <c r="A153" s="22" t="s">
        <v>37</v>
      </c>
      <c r="B153" s="137">
        <f>'DOE25'!F490</f>
        <v>6340387.5</v>
      </c>
      <c r="C153" s="137">
        <f>'DOE25'!G490</f>
        <v>1856733.86</v>
      </c>
      <c r="D153" s="137">
        <f>'DOE25'!H490</f>
        <v>238912.5</v>
      </c>
      <c r="E153" s="137">
        <f>'DOE25'!I490</f>
        <v>9264537.5</v>
      </c>
      <c r="F153" s="137">
        <f>'DOE25'!J490</f>
        <v>0</v>
      </c>
      <c r="G153" s="138">
        <f t="shared" si="0"/>
        <v>17700571.359999999</v>
      </c>
    </row>
    <row r="154" spans="1:7" x14ac:dyDescent="0.2">
      <c r="A154" s="22" t="s">
        <v>38</v>
      </c>
      <c r="B154" s="137">
        <f>'DOE25'!F491</f>
        <v>414022.43</v>
      </c>
      <c r="C154" s="137">
        <f>'DOE25'!G491</f>
        <v>182317.68</v>
      </c>
      <c r="D154" s="137">
        <f>'DOE25'!H491</f>
        <v>65000</v>
      </c>
      <c r="E154" s="137">
        <f>'DOE25'!I491</f>
        <v>295000</v>
      </c>
      <c r="F154" s="137">
        <f>'DOE25'!J491</f>
        <v>0</v>
      </c>
      <c r="G154" s="138">
        <f t="shared" si="0"/>
        <v>956340.11</v>
      </c>
    </row>
    <row r="155" spans="1:7" x14ac:dyDescent="0.2">
      <c r="A155" s="22" t="s">
        <v>39</v>
      </c>
      <c r="B155" s="137">
        <f>'DOE25'!F492</f>
        <v>445066.74</v>
      </c>
      <c r="C155" s="137">
        <f>'DOE25'!G492</f>
        <v>124299.82</v>
      </c>
      <c r="D155" s="137">
        <f>'DOE25'!H492</f>
        <v>14350</v>
      </c>
      <c r="E155" s="137">
        <f>'DOE25'!I492</f>
        <v>311500</v>
      </c>
      <c r="F155" s="137">
        <f>'DOE25'!J492</f>
        <v>0</v>
      </c>
      <c r="G155" s="138">
        <f t="shared" si="0"/>
        <v>895216.56</v>
      </c>
    </row>
    <row r="156" spans="1:7" x14ac:dyDescent="0.2">
      <c r="A156" s="22" t="s">
        <v>269</v>
      </c>
      <c r="B156" s="137">
        <f>'DOE25'!F493</f>
        <v>859089.16999999993</v>
      </c>
      <c r="C156" s="137">
        <f>'DOE25'!G493</f>
        <v>306617.5</v>
      </c>
      <c r="D156" s="137">
        <f>'DOE25'!H493</f>
        <v>79350</v>
      </c>
      <c r="E156" s="137">
        <f>'DOE25'!I493</f>
        <v>606500</v>
      </c>
      <c r="F156" s="137">
        <f>'DOE25'!J493</f>
        <v>0</v>
      </c>
      <c r="G156" s="138">
        <f t="shared" si="0"/>
        <v>1851556.67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6716-C571-4691-ABD9-5EA41DD08EA2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HOLLIS-BROOKLINE COOPERATIVE SCHOOL DIST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10777</v>
      </c>
    </row>
    <row r="6" spans="1:4" x14ac:dyDescent="0.2">
      <c r="B6" t="s">
        <v>62</v>
      </c>
      <c r="C6" s="179">
        <f>IF('DOE25'!H655+'DOE25'!H660=0,0,ROUND('DOE25'!H662,0))</f>
        <v>10784</v>
      </c>
    </row>
    <row r="7" spans="1:4" x14ac:dyDescent="0.2">
      <c r="B7" t="s">
        <v>736</v>
      </c>
      <c r="C7" s="179">
        <f>IF('DOE25'!I655+'DOE25'!I660=0,0,ROUND('DOE25'!I662,0))</f>
        <v>10781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7048814</v>
      </c>
      <c r="D10" s="182">
        <f>ROUND((C10/$C$28)*100,1)</f>
        <v>41.3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2779022</v>
      </c>
      <c r="D11" s="182">
        <f>ROUND((C11/$C$28)*100,1)</f>
        <v>16.3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58875</v>
      </c>
      <c r="D12" s="182">
        <f>ROUND((C12/$C$28)*100,1)</f>
        <v>0.3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532816</v>
      </c>
      <c r="D13" s="182">
        <f>ROUND((C13/$C$28)*100,1)</f>
        <v>3.1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1385880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614123</v>
      </c>
      <c r="D16" s="182">
        <f t="shared" si="0"/>
        <v>3.6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696252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999362</v>
      </c>
      <c r="D18" s="182">
        <f t="shared" si="0"/>
        <v>5.9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22594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1258434</v>
      </c>
      <c r="D20" s="182">
        <f t="shared" si="0"/>
        <v>7.4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740829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898170</v>
      </c>
      <c r="D25" s="182">
        <f t="shared" si="0"/>
        <v>5.3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21868.119999999995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17057039.120000001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4858</v>
      </c>
    </row>
    <row r="30" spans="1:4" x14ac:dyDescent="0.2">
      <c r="B30" s="187" t="s">
        <v>760</v>
      </c>
      <c r="C30" s="180">
        <f>SUM(C28:C29)</f>
        <v>17061897.120000001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1004762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11918391</v>
      </c>
      <c r="D35" s="182">
        <f t="shared" ref="D35:D40" si="1">ROUND((C35/$C$41)*100,1)</f>
        <v>66.5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47855.169999999925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4196381</v>
      </c>
      <c r="D37" s="182">
        <f t="shared" si="1"/>
        <v>23.4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1307491</v>
      </c>
      <c r="D38" s="182">
        <f t="shared" si="1"/>
        <v>7.3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465401</v>
      </c>
      <c r="D39" s="182">
        <f t="shared" si="1"/>
        <v>2.6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17935519.170000002</v>
      </c>
      <c r="D41" s="184">
        <f>SUM(D35:D40)</f>
        <v>100.09999999999998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8C0B-4AD7-4389-82D3-9F3C2AEE617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HOLLIS-BROOKLINE COOPERATIVE SCHOOL DIST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2010-10-08T15:21:40Z</cp:lastPrinted>
  <dcterms:created xsi:type="dcterms:W3CDTF">1997-12-04T19:04:30Z</dcterms:created>
  <dcterms:modified xsi:type="dcterms:W3CDTF">2025-01-02T15:02:08Z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892025436</vt:i4>
  </property>
  <property fmtid="{D5CDD505-2E9C-101B-9397-08002B2CF9AE}" pid="3" name="_EmailSubject">
    <vt:lpwstr>DOE 25 Corrections-Hollis Brookline Cooperative School District</vt:lpwstr>
  </property>
  <property fmtid="{D5CDD505-2E9C-101B-9397-08002B2CF9AE}" pid="4" name="_AuthorEmail">
    <vt:lpwstr>SAU41BA@sau41.k12.nh.us</vt:lpwstr>
  </property>
  <property fmtid="{D5CDD505-2E9C-101B-9397-08002B2CF9AE}" pid="5" name="_AuthorEmailDisplayName">
    <vt:lpwstr>SAU41BA</vt:lpwstr>
  </property>
  <property fmtid="{D5CDD505-2E9C-101B-9397-08002B2CF9AE}" pid="6" name="_ReviewingToolsShownOnce">
    <vt:lpwstr/>
  </property>
</Properties>
</file>