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2FFA4E3-EA5E-425F-A2D2-B0B4830BDC16}" xr6:coauthVersionLast="47" xr6:coauthVersionMax="47" xr10:uidLastSave="{00000000-0000-0000-0000-000000000000}"/>
  <workbookProtection workbookPassword="B70A" lockStructure="1"/>
  <bookViews>
    <workbookView xWindow="3885" yWindow="3885" windowWidth="21600" windowHeight="11505" tabRatio="855" xr2:uid="{1C2B4B74-833E-449F-B2AC-FDA7BADE0FB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52" i="1" s="1"/>
  <c r="F102" i="1"/>
  <c r="F42" i="1"/>
  <c r="G511" i="1"/>
  <c r="G516" i="1"/>
  <c r="H521" i="1"/>
  <c r="G521" i="1"/>
  <c r="F521" i="1"/>
  <c r="G488" i="1"/>
  <c r="F488" i="1"/>
  <c r="K488" i="1" s="1"/>
  <c r="F9" i="1"/>
  <c r="F19" i="1" s="1"/>
  <c r="G607" i="1" s="1"/>
  <c r="G89" i="1"/>
  <c r="D52" i="2" s="1"/>
  <c r="D54" i="2" s="1"/>
  <c r="G41" i="1"/>
  <c r="G434" i="1"/>
  <c r="G449" i="1"/>
  <c r="F360" i="1"/>
  <c r="I350" i="1"/>
  <c r="J350" i="1"/>
  <c r="G203" i="1"/>
  <c r="J516" i="1"/>
  <c r="I516" i="1"/>
  <c r="H516" i="1"/>
  <c r="H519" i="1" s="1"/>
  <c r="H535" i="1" s="1"/>
  <c r="F516" i="1"/>
  <c r="L516" i="1" s="1"/>
  <c r="J511" i="1"/>
  <c r="J514" i="1" s="1"/>
  <c r="J535" i="1" s="1"/>
  <c r="I511" i="1"/>
  <c r="H511" i="1"/>
  <c r="F511" i="1"/>
  <c r="L511" i="1" s="1"/>
  <c r="F601" i="1"/>
  <c r="L601" i="1" s="1"/>
  <c r="H199" i="1"/>
  <c r="F197" i="1"/>
  <c r="L197" i="1" s="1"/>
  <c r="H196" i="1"/>
  <c r="L196" i="1" s="1"/>
  <c r="I195" i="1"/>
  <c r="J190" i="1"/>
  <c r="I190" i="1"/>
  <c r="I203" i="1" s="1"/>
  <c r="I249" i="1" s="1"/>
  <c r="I263" i="1" s="1"/>
  <c r="K189" i="1"/>
  <c r="K203" i="1" s="1"/>
  <c r="K249" i="1" s="1"/>
  <c r="K263" i="1" s="1"/>
  <c r="J189" i="1"/>
  <c r="J203" i="1" s="1"/>
  <c r="J249" i="1" s="1"/>
  <c r="I189" i="1"/>
  <c r="L189" i="1" s="1"/>
  <c r="J268" i="1"/>
  <c r="J282" i="1" s="1"/>
  <c r="I268" i="1"/>
  <c r="H268" i="1"/>
  <c r="H147" i="1"/>
  <c r="H56" i="1"/>
  <c r="H462" i="1"/>
  <c r="H458" i="1"/>
  <c r="F462" i="1"/>
  <c r="F458" i="1"/>
  <c r="H617" i="1" s="1"/>
  <c r="H41" i="1"/>
  <c r="H43" i="1" s="1"/>
  <c r="H31" i="1"/>
  <c r="H33" i="1" s="1"/>
  <c r="H25" i="1"/>
  <c r="H23" i="1"/>
  <c r="G9" i="1"/>
  <c r="F25" i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L191" i="1"/>
  <c r="L192" i="1"/>
  <c r="L207" i="1"/>
  <c r="L221" i="1" s="1"/>
  <c r="G650" i="1" s="1"/>
  <c r="G654" i="1" s="1"/>
  <c r="L208" i="1"/>
  <c r="L209" i="1"/>
  <c r="C103" i="2" s="1"/>
  <c r="L210" i="1"/>
  <c r="L225" i="1"/>
  <c r="L239" i="1" s="1"/>
  <c r="L226" i="1"/>
  <c r="L227" i="1"/>
  <c r="L228" i="1"/>
  <c r="F6" i="13"/>
  <c r="G6" i="13"/>
  <c r="L194" i="1"/>
  <c r="L212" i="1"/>
  <c r="C110" i="2" s="1"/>
  <c r="L230" i="1"/>
  <c r="D6" i="13"/>
  <c r="C6" i="13" s="1"/>
  <c r="F7" i="13"/>
  <c r="G7" i="13"/>
  <c r="L195" i="1"/>
  <c r="D7" i="13" s="1"/>
  <c r="C7" i="13" s="1"/>
  <c r="L213" i="1"/>
  <c r="L231" i="1"/>
  <c r="F12" i="13"/>
  <c r="G12" i="13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G652" i="1" s="1"/>
  <c r="L236" i="1"/>
  <c r="H652" i="1" s="1"/>
  <c r="D15" i="13"/>
  <c r="C15" i="13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24" i="10" s="1"/>
  <c r="D19" i="13"/>
  <c r="C19" i="13" s="1"/>
  <c r="F29" i="13"/>
  <c r="G29" i="13"/>
  <c r="L350" i="1"/>
  <c r="D29" i="13" s="1"/>
  <c r="C29" i="13" s="1"/>
  <c r="L351" i="1"/>
  <c r="G651" i="1" s="1"/>
  <c r="L352" i="1"/>
  <c r="I359" i="1"/>
  <c r="J301" i="1"/>
  <c r="J320" i="1"/>
  <c r="K282" i="1"/>
  <c r="K330" i="1" s="1"/>
  <c r="K344" i="1" s="1"/>
  <c r="K301" i="1"/>
  <c r="K320" i="1"/>
  <c r="L268" i="1"/>
  <c r="L269" i="1"/>
  <c r="L270" i="1"/>
  <c r="L271" i="1"/>
  <c r="L273" i="1"/>
  <c r="L274" i="1"/>
  <c r="L275" i="1"/>
  <c r="L282" i="1" s="1"/>
  <c r="L276" i="1"/>
  <c r="E113" i="2" s="1"/>
  <c r="L277" i="1"/>
  <c r="C19" i="10" s="1"/>
  <c r="L278" i="1"/>
  <c r="E115" i="2" s="1"/>
  <c r="L279" i="1"/>
  <c r="L280" i="1"/>
  <c r="L287" i="1"/>
  <c r="L288" i="1"/>
  <c r="L301" i="1" s="1"/>
  <c r="L289" i="1"/>
  <c r="L290" i="1"/>
  <c r="L292" i="1"/>
  <c r="L293" i="1"/>
  <c r="E111" i="2" s="1"/>
  <c r="L294" i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C124" i="2" s="1"/>
  <c r="L333" i="1"/>
  <c r="L334" i="1"/>
  <c r="L247" i="1"/>
  <c r="L328" i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/>
  <c r="F2" i="11"/>
  <c r="L603" i="1"/>
  <c r="H653" i="1"/>
  <c r="L602" i="1"/>
  <c r="G653" i="1" s="1"/>
  <c r="C40" i="10"/>
  <c r="G52" i="1"/>
  <c r="D48" i="2" s="1"/>
  <c r="H52" i="1"/>
  <c r="H104" i="1" s="1"/>
  <c r="I52" i="1"/>
  <c r="I104" i="1" s="1"/>
  <c r="F71" i="1"/>
  <c r="C49" i="2" s="1"/>
  <c r="C54" i="2" s="1"/>
  <c r="F86" i="1"/>
  <c r="F103" i="1"/>
  <c r="H71" i="1"/>
  <c r="H86" i="1"/>
  <c r="H103" i="1"/>
  <c r="I103" i="1"/>
  <c r="J103" i="1"/>
  <c r="J104" i="1"/>
  <c r="C37" i="10"/>
  <c r="F113" i="1"/>
  <c r="F132" i="1" s="1"/>
  <c r="F128" i="1"/>
  <c r="G113" i="1"/>
  <c r="G128" i="1"/>
  <c r="G132" i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G139" i="1"/>
  <c r="G161" i="1" s="1"/>
  <c r="G154" i="1"/>
  <c r="H139" i="1"/>
  <c r="H161" i="1" s="1"/>
  <c r="H154" i="1"/>
  <c r="I139" i="1"/>
  <c r="I154" i="1"/>
  <c r="I161" i="1" s="1"/>
  <c r="C13" i="10"/>
  <c r="C15" i="10"/>
  <c r="C16" i="10"/>
  <c r="C20" i="10"/>
  <c r="L242" i="1"/>
  <c r="C23" i="10" s="1"/>
  <c r="L324" i="1"/>
  <c r="L246" i="1"/>
  <c r="C25" i="10"/>
  <c r="L260" i="1"/>
  <c r="C134" i="2" s="1"/>
  <c r="L261" i="1"/>
  <c r="L341" i="1"/>
  <c r="L342" i="1"/>
  <c r="I655" i="1"/>
  <c r="I660" i="1"/>
  <c r="F652" i="1"/>
  <c r="I652" i="1" s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2" i="1"/>
  <c r="F540" i="1"/>
  <c r="L513" i="1"/>
  <c r="F541" i="1"/>
  <c r="L517" i="1"/>
  <c r="G540" i="1"/>
  <c r="L518" i="1"/>
  <c r="G541" i="1" s="1"/>
  <c r="L521" i="1"/>
  <c r="H539" i="1" s="1"/>
  <c r="L522" i="1"/>
  <c r="L524" i="1" s="1"/>
  <c r="H540" i="1"/>
  <c r="L523" i="1"/>
  <c r="H541" i="1" s="1"/>
  <c r="L526" i="1"/>
  <c r="I539" i="1"/>
  <c r="L527" i="1"/>
  <c r="I540" i="1" s="1"/>
  <c r="L528" i="1"/>
  <c r="I541" i="1"/>
  <c r="L531" i="1"/>
  <c r="L534" i="1" s="1"/>
  <c r="J539" i="1"/>
  <c r="J542" i="1" s="1"/>
  <c r="L532" i="1"/>
  <c r="J540" i="1" s="1"/>
  <c r="L533" i="1"/>
  <c r="J541" i="1" s="1"/>
  <c r="E124" i="2"/>
  <c r="E123" i="2"/>
  <c r="E136" i="2" s="1"/>
  <c r="K262" i="1"/>
  <c r="J262" i="1"/>
  <c r="I262" i="1"/>
  <c r="H262" i="1"/>
  <c r="G262" i="1"/>
  <c r="F262" i="1"/>
  <c r="L262" i="1" s="1"/>
  <c r="A1" i="2"/>
  <c r="A2" i="2"/>
  <c r="D9" i="2"/>
  <c r="D19" i="2" s="1"/>
  <c r="E9" i="2"/>
  <c r="E19" i="2" s="1"/>
  <c r="F9" i="2"/>
  <c r="F19" i="2" s="1"/>
  <c r="I431" i="1"/>
  <c r="I438" i="1" s="1"/>
  <c r="G632" i="1" s="1"/>
  <c r="J632" i="1" s="1"/>
  <c r="J9" i="1"/>
  <c r="G9" i="2" s="1"/>
  <c r="C10" i="2"/>
  <c r="D10" i="2"/>
  <c r="E10" i="2"/>
  <c r="F10" i="2"/>
  <c r="I432" i="1"/>
  <c r="J10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C32" i="2" s="1"/>
  <c r="D23" i="2"/>
  <c r="E23" i="2"/>
  <c r="F23" i="2"/>
  <c r="I441" i="1"/>
  <c r="J24" i="1" s="1"/>
  <c r="C24" i="2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F30" i="2"/>
  <c r="C31" i="2"/>
  <c r="D31" i="2"/>
  <c r="E31" i="2"/>
  <c r="F31" i="2"/>
  <c r="I443" i="1"/>
  <c r="J32" i="1"/>
  <c r="G31" i="2"/>
  <c r="F32" i="2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G39" i="2" s="1"/>
  <c r="C40" i="2"/>
  <c r="D40" i="2"/>
  <c r="F40" i="2"/>
  <c r="I449" i="1"/>
  <c r="I450" i="1" s="1"/>
  <c r="J41" i="1"/>
  <c r="G40" i="2" s="1"/>
  <c r="C41" i="2"/>
  <c r="D41" i="2"/>
  <c r="E41" i="2"/>
  <c r="F41" i="2"/>
  <c r="E49" i="2"/>
  <c r="C50" i="2"/>
  <c r="E50" i="2"/>
  <c r="C51" i="2"/>
  <c r="D51" i="2"/>
  <c r="E51" i="2"/>
  <c r="F51" i="2"/>
  <c r="C53" i="2"/>
  <c r="D53" i="2"/>
  <c r="E53" i="2"/>
  <c r="F53" i="2"/>
  <c r="E54" i="2"/>
  <c r="F54" i="2"/>
  <c r="C58" i="2"/>
  <c r="C59" i="2"/>
  <c r="C61" i="2"/>
  <c r="D61" i="2"/>
  <c r="E61" i="2"/>
  <c r="F61" i="2"/>
  <c r="F62" i="2" s="1"/>
  <c r="G61" i="2"/>
  <c r="G62" i="2" s="1"/>
  <c r="C62" i="2"/>
  <c r="D62" i="2"/>
  <c r="E62" i="2"/>
  <c r="C64" i="2"/>
  <c r="F64" i="2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F70" i="2"/>
  <c r="F73" i="2" s="1"/>
  <c r="G70" i="2"/>
  <c r="C71" i="2"/>
  <c r="D71" i="2"/>
  <c r="E71" i="2"/>
  <c r="C72" i="2"/>
  <c r="E72" i="2"/>
  <c r="C77" i="2"/>
  <c r="C83" i="2" s="1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G95" i="2" s="1"/>
  <c r="C89" i="2"/>
  <c r="C95" i="2" s="1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7" i="2" s="1"/>
  <c r="E102" i="2"/>
  <c r="E103" i="2"/>
  <c r="C104" i="2"/>
  <c r="E104" i="2"/>
  <c r="C105" i="2"/>
  <c r="E105" i="2"/>
  <c r="C106" i="2"/>
  <c r="E106" i="2"/>
  <c r="D107" i="2"/>
  <c r="D137" i="2" s="1"/>
  <c r="F107" i="2"/>
  <c r="G107" i="2"/>
  <c r="C111" i="2"/>
  <c r="C114" i="2"/>
  <c r="C115" i="2"/>
  <c r="E116" i="2"/>
  <c r="E117" i="2"/>
  <c r="D119" i="2"/>
  <c r="D120" i="2"/>
  <c r="F120" i="2"/>
  <c r="G120" i="2"/>
  <c r="C122" i="2"/>
  <c r="E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156" i="2" s="1"/>
  <c r="G493" i="1"/>
  <c r="K493" i="1" s="1"/>
  <c r="C156" i="2"/>
  <c r="H493" i="1"/>
  <c r="D156" i="2"/>
  <c r="I493" i="1"/>
  <c r="E156" i="2"/>
  <c r="J493" i="1"/>
  <c r="F156" i="2"/>
  <c r="G19" i="1"/>
  <c r="H19" i="1"/>
  <c r="I19" i="1"/>
  <c r="G610" i="1" s="1"/>
  <c r="F33" i="1"/>
  <c r="G33" i="1"/>
  <c r="G44" i="1" s="1"/>
  <c r="H608" i="1" s="1"/>
  <c r="I33" i="1"/>
  <c r="F43" i="1"/>
  <c r="F44" i="1" s="1"/>
  <c r="H607" i="1" s="1"/>
  <c r="G43" i="1"/>
  <c r="I43" i="1"/>
  <c r="I44" i="1"/>
  <c r="H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G184" i="1" s="1"/>
  <c r="H180" i="1"/>
  <c r="H184" i="1" s="1"/>
  <c r="I180" i="1"/>
  <c r="I184" i="1" s="1"/>
  <c r="F203" i="1"/>
  <c r="F249" i="1" s="1"/>
  <c r="F263" i="1" s="1"/>
  <c r="H203" i="1"/>
  <c r="H249" i="1" s="1"/>
  <c r="H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F282" i="1"/>
  <c r="F330" i="1" s="1"/>
  <c r="F344" i="1" s="1"/>
  <c r="G282" i="1"/>
  <c r="H282" i="1"/>
  <c r="I282" i="1"/>
  <c r="F301" i="1"/>
  <c r="G301" i="1"/>
  <c r="H301" i="1"/>
  <c r="I301" i="1"/>
  <c r="F320" i="1"/>
  <c r="G320" i="1"/>
  <c r="G330" i="1" s="1"/>
  <c r="G344" i="1" s="1"/>
  <c r="H320" i="1"/>
  <c r="H330" i="1" s="1"/>
  <c r="H344" i="1" s="1"/>
  <c r="I320" i="1"/>
  <c r="F329" i="1"/>
  <c r="L329" i="1" s="1"/>
  <c r="G329" i="1"/>
  <c r="H329" i="1"/>
  <c r="I329" i="1"/>
  <c r="J329" i="1"/>
  <c r="K329" i="1"/>
  <c r="I330" i="1"/>
  <c r="I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438" i="1"/>
  <c r="G630" i="1" s="1"/>
  <c r="J630" i="1" s="1"/>
  <c r="H438" i="1"/>
  <c r="F444" i="1"/>
  <c r="G444" i="1"/>
  <c r="H444" i="1"/>
  <c r="H451" i="1" s="1"/>
  <c r="H631" i="1" s="1"/>
  <c r="J631" i="1" s="1"/>
  <c r="I444" i="1"/>
  <c r="I451" i="1" s="1"/>
  <c r="H632" i="1" s="1"/>
  <c r="F450" i="1"/>
  <c r="F451" i="1" s="1"/>
  <c r="H629" i="1" s="1"/>
  <c r="J629" i="1" s="1"/>
  <c r="G450" i="1"/>
  <c r="G451" i="1" s="1"/>
  <c r="H630" i="1" s="1"/>
  <c r="H450" i="1"/>
  <c r="G460" i="1"/>
  <c r="G466" i="1" s="1"/>
  <c r="H613" i="1" s="1"/>
  <c r="J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K514" i="1"/>
  <c r="K535" i="1" s="1"/>
  <c r="G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H550" i="1"/>
  <c r="H561" i="1" s="1"/>
  <c r="I550" i="1"/>
  <c r="I561" i="1" s="1"/>
  <c r="J550" i="1"/>
  <c r="J561" i="1" s="1"/>
  <c r="K550" i="1"/>
  <c r="L550" i="1"/>
  <c r="L561" i="1" s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 s="1"/>
  <c r="J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8" i="1"/>
  <c r="J608" i="1" s="1"/>
  <c r="G609" i="1"/>
  <c r="G612" i="1"/>
  <c r="G613" i="1"/>
  <c r="G615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29" i="1"/>
  <c r="G631" i="1"/>
  <c r="G633" i="1"/>
  <c r="G634" i="1"/>
  <c r="J634" i="1" s="1"/>
  <c r="G635" i="1"/>
  <c r="G639" i="1"/>
  <c r="G640" i="1"/>
  <c r="J640" i="1" s="1"/>
  <c r="H640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H44" i="1" l="1"/>
  <c r="H609" i="1" s="1"/>
  <c r="J609" i="1" s="1"/>
  <c r="G614" i="1"/>
  <c r="J614" i="1" s="1"/>
  <c r="G539" i="1"/>
  <c r="G542" i="1" s="1"/>
  <c r="L519" i="1"/>
  <c r="J607" i="1"/>
  <c r="C39" i="10"/>
  <c r="I185" i="1"/>
  <c r="G620" i="1" s="1"/>
  <c r="J620" i="1" s="1"/>
  <c r="C25" i="13"/>
  <c r="H33" i="13"/>
  <c r="H542" i="1"/>
  <c r="C38" i="10"/>
  <c r="H185" i="1"/>
  <c r="G619" i="1" s="1"/>
  <c r="J619" i="1" s="1"/>
  <c r="D55" i="2"/>
  <c r="D96" i="2" s="1"/>
  <c r="J263" i="1"/>
  <c r="K540" i="1"/>
  <c r="C130" i="2"/>
  <c r="C133" i="2" s="1"/>
  <c r="L400" i="1"/>
  <c r="C17" i="10"/>
  <c r="E8" i="13"/>
  <c r="C112" i="2"/>
  <c r="C120" i="2" s="1"/>
  <c r="G662" i="1"/>
  <c r="G657" i="1"/>
  <c r="J185" i="1"/>
  <c r="C18" i="10"/>
  <c r="D12" i="13"/>
  <c r="C12" i="13" s="1"/>
  <c r="C113" i="2"/>
  <c r="J610" i="1"/>
  <c r="C136" i="2"/>
  <c r="G10" i="2"/>
  <c r="G19" i="2" s="1"/>
  <c r="J19" i="1"/>
  <c r="G611" i="1" s="1"/>
  <c r="K541" i="1"/>
  <c r="H650" i="1"/>
  <c r="H654" i="1" s="1"/>
  <c r="F653" i="1"/>
  <c r="I653" i="1" s="1"/>
  <c r="L604" i="1"/>
  <c r="E42" i="2"/>
  <c r="E43" i="2" s="1"/>
  <c r="J33" i="1"/>
  <c r="G23" i="2"/>
  <c r="G32" i="2" s="1"/>
  <c r="L514" i="1"/>
  <c r="L535" i="1" s="1"/>
  <c r="F539" i="1"/>
  <c r="I542" i="1"/>
  <c r="J330" i="1"/>
  <c r="J344" i="1" s="1"/>
  <c r="F31" i="13"/>
  <c r="D31" i="13" s="1"/>
  <c r="C31" i="13" s="1"/>
  <c r="G73" i="2"/>
  <c r="G96" i="2" s="1"/>
  <c r="G36" i="2"/>
  <c r="G42" i="2" s="1"/>
  <c r="J43" i="1"/>
  <c r="C43" i="2"/>
  <c r="L330" i="1"/>
  <c r="L344" i="1" s="1"/>
  <c r="G623" i="1" s="1"/>
  <c r="J623" i="1" s="1"/>
  <c r="C101" i="2"/>
  <c r="C10" i="10"/>
  <c r="C35" i="10"/>
  <c r="C48" i="2"/>
  <c r="C55" i="2" s="1"/>
  <c r="C96" i="2" s="1"/>
  <c r="F104" i="1"/>
  <c r="F185" i="1" s="1"/>
  <c r="G617" i="1" s="1"/>
  <c r="J617" i="1" s="1"/>
  <c r="E30" i="2"/>
  <c r="E32" i="2" s="1"/>
  <c r="H651" i="1"/>
  <c r="E40" i="2"/>
  <c r="C9" i="2"/>
  <c r="C19" i="2" s="1"/>
  <c r="C32" i="10"/>
  <c r="C12" i="10"/>
  <c r="F490" i="1"/>
  <c r="B151" i="2"/>
  <c r="G151" i="2" s="1"/>
  <c r="C117" i="2"/>
  <c r="F651" i="1"/>
  <c r="I651" i="1" s="1"/>
  <c r="L354" i="1"/>
  <c r="F460" i="1"/>
  <c r="F466" i="1" s="1"/>
  <c r="H612" i="1" s="1"/>
  <c r="J612" i="1" s="1"/>
  <c r="E110" i="2"/>
  <c r="F48" i="2"/>
  <c r="F55" i="2" s="1"/>
  <c r="F96" i="2" s="1"/>
  <c r="G104" i="1"/>
  <c r="G185" i="1" s="1"/>
  <c r="G618" i="1" s="1"/>
  <c r="J618" i="1" s="1"/>
  <c r="L190" i="1"/>
  <c r="L203" i="1" s="1"/>
  <c r="F519" i="1"/>
  <c r="F535" i="1" s="1"/>
  <c r="F122" i="2"/>
  <c r="F136" i="2" s="1"/>
  <c r="F137" i="2" s="1"/>
  <c r="C116" i="2"/>
  <c r="E48" i="2"/>
  <c r="E55" i="2" s="1"/>
  <c r="E96" i="2" s="1"/>
  <c r="C123" i="2"/>
  <c r="G103" i="1"/>
  <c r="L374" i="1"/>
  <c r="G626" i="1" s="1"/>
  <c r="J626" i="1" s="1"/>
  <c r="C21" i="10"/>
  <c r="G5" i="13"/>
  <c r="C26" i="10"/>
  <c r="F5" i="13"/>
  <c r="H637" i="1"/>
  <c r="J637" i="1" s="1"/>
  <c r="E114" i="2"/>
  <c r="G31" i="13"/>
  <c r="G641" i="1"/>
  <c r="J641" i="1" s="1"/>
  <c r="F650" i="1" l="1"/>
  <c r="L249" i="1"/>
  <c r="L263" i="1" s="1"/>
  <c r="G622" i="1" s="1"/>
  <c r="J622" i="1" s="1"/>
  <c r="C36" i="10"/>
  <c r="G621" i="1"/>
  <c r="J621" i="1" s="1"/>
  <c r="G636" i="1"/>
  <c r="G625" i="1"/>
  <c r="J625" i="1" s="1"/>
  <c r="C27" i="10"/>
  <c r="H638" i="1"/>
  <c r="J638" i="1" s="1"/>
  <c r="K539" i="1"/>
  <c r="K542" i="1" s="1"/>
  <c r="F542" i="1"/>
  <c r="J611" i="1"/>
  <c r="H657" i="1"/>
  <c r="H662" i="1"/>
  <c r="K490" i="1"/>
  <c r="B153" i="2"/>
  <c r="G153" i="2" s="1"/>
  <c r="E33" i="13"/>
  <c r="D35" i="13" s="1"/>
  <c r="C8" i="13"/>
  <c r="C102" i="2"/>
  <c r="C107" i="2" s="1"/>
  <c r="C137" i="2" s="1"/>
  <c r="C11" i="10"/>
  <c r="C28" i="10" s="1"/>
  <c r="F33" i="13"/>
  <c r="D5" i="13"/>
  <c r="J44" i="1"/>
  <c r="H611" i="1" s="1"/>
  <c r="G616" i="1"/>
  <c r="J616" i="1" s="1"/>
  <c r="H636" i="1"/>
  <c r="G627" i="1"/>
  <c r="J627" i="1" s="1"/>
  <c r="G43" i="2"/>
  <c r="G33" i="13"/>
  <c r="E120" i="2"/>
  <c r="E137" i="2" s="1"/>
  <c r="D20" i="10" l="1"/>
  <c r="D22" i="10"/>
  <c r="C30" i="10"/>
  <c r="D16" i="10"/>
  <c r="D25" i="10"/>
  <c r="D23" i="10"/>
  <c r="D19" i="10"/>
  <c r="D15" i="10"/>
  <c r="D24" i="10"/>
  <c r="D13" i="10"/>
  <c r="D26" i="10"/>
  <c r="D18" i="10"/>
  <c r="D17" i="10"/>
  <c r="D21" i="10"/>
  <c r="D12" i="10"/>
  <c r="D10" i="10"/>
  <c r="H646" i="1"/>
  <c r="D33" i="13"/>
  <c r="D36" i="13" s="1"/>
  <c r="C5" i="13"/>
  <c r="D27" i="10"/>
  <c r="J636" i="1"/>
  <c r="D11" i="10"/>
  <c r="C41" i="10"/>
  <c r="F654" i="1"/>
  <c r="I650" i="1"/>
  <c r="I654" i="1" s="1"/>
  <c r="D37" i="10" l="1"/>
  <c r="D40" i="10"/>
  <c r="D39" i="10"/>
  <c r="D38" i="10"/>
  <c r="D35" i="10"/>
  <c r="D36" i="10"/>
  <c r="D28" i="10"/>
  <c r="I657" i="1"/>
  <c r="I662" i="1"/>
  <c r="C7" i="10" s="1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E172C0F-A41C-4D65-9B9A-A7BA1398941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889D01C-D19C-4F2E-BA3B-02171D549B9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05204DB-24B0-4938-9918-2CBCAF3116C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044DA50-F6D4-4310-BF88-2F9AE0B9CBA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0BB240A-62CE-42B6-960A-CD69823EA4E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39AFA51-08A1-449A-9F19-6C8453FEE53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3F4ED25-46DD-4109-900C-BA6DB6F1EE1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91836C2-60B4-441E-AF63-BDC49E55A17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610D3FE-BDF2-483B-919B-60825D0B2B3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FAAD611-29D9-4FFF-82A4-066A79F72BF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57949F9-E4C5-458F-BC50-97102135645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3D834D8-C185-4DBE-870A-DBCA393E3BE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<sst xmlns="http://schemas.openxmlformats.org/spreadsheetml/2006/main" count="3862" uniqueCount="897">
  <si>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</si>
  <si>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</si>
  <si>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</si>
  <si>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</si>
  <si>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</si>
  <si>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</si>
  <si>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</si>
  <si>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</si>
  <si>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</si>
  <si>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</si>
  <si>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</si>
  <si>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</si>
  <si>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</si>
  <si>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</si>
  <si>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</si>
  <si>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</si>
  <si>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</si>
  <si>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</si>
  <si>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</si>
  <si>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</si>
  <si>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</si>
  <si>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</si>
  <si>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</si>
  <si>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</si>
  <si>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</si>
  <si>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</si>
  <si>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</si>
  <si>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</si>
  <si>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</si>
  <si>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</si>
  <si>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</si>
  <si>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</si>
  <si>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</si>
  <si>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</si>
  <si>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</si>
  <si>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</si>
  <si>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</si>
  <si>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</si>
  <si>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</si>
  <si>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</si>
  <si>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</si>
  <si>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</si>
  <si>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</si>
  <si>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</si>
  <si>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</si>
  <si>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</si>
  <si>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</si>
  <si>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</si>
  <si>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</si>
  <si>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</si>
  <si>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</si>
  <si>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</si>
  <si>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</si>
  <si>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</si>
  <si>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</si>
  <si>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</si>
  <si>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</si>
  <si>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</si>
  <si>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</si>
  <si>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</si>
  <si>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</si>
  <si>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</si>
  <si>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</si>
  <si>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</si>
  <si>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</si>
  <si>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</si>
  <si>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</si>
  <si>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</si>
  <si>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</si>
  <si>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</si>
  <si>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</si>
  <si>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</si>
  <si>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</si>
  <si>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</si>
  <si>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</si>
  <si>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</si>
  <si>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</si>
  <si>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</si>
  <si>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</si>
  <si>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</si>
  <si>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</si>
  <si>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</si>
  <si>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</si>
  <si>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</si>
  <si>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</si>
  <si>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</si>
  <si>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</si>
  <si>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</si>
  <si>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</si>
  <si>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</si>
  <si>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</si>
  <si>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</si>
  <si>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</si>
  <si>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</si>
  <si>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</si>
  <si>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</si>
  <si>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</si>
  <si>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</si>
  <si>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</si>
  <si>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</si>
  <si>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</si>
  <si>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</si>
  <si>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</si>
  <si>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</si>
  <si>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</si>
  <si>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</si>
  <si>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</si>
  <si>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</si>
  <si>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</si>
  <si>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</si>
  <si>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</si>
  <si>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</si>
  <si>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</si>
  <si>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</si>
  <si>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</si>
  <si>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</si>
  <si>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</si>
  <si>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</si>
  <si>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</si>
  <si>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</si>
  <si>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</si>
  <si>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</si>
  <si>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</si>
  <si>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</si>
  <si>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</si>
  <si>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</si>
  <si>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</si>
  <si>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</si>
  <si>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</si>
  <si>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</si>
  <si>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</si>
  <si>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</si>
  <si>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</si>
  <si>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</si>
  <si>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</si>
  <si>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</si>
  <si>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</si>
  <si>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</si>
  <si>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</si>
  <si>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</si>
  <si>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</si>
  <si>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</si>
  <si>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</si>
  <si>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</si>
  <si>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</si>
  <si>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</si>
  <si>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</si>
  <si>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</si>
  <si>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</si>
  <si>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</si>
  <si>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</si>
  <si>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</si>
  <si>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</si>
  <si>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</si>
  <si>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</si>
  <si>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</si>
  <si>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</si>
  <si>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</si>
  <si>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</si>
  <si>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</si>
  <si>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</si>
  <si>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</si>
  <si>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</si>
  <si>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</si>
  <si>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</si>
  <si>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</si>
  <si>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</si>
  <si>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</si>
  <si>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</si>
  <si>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</si>
  <si>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</si>
  <si>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</si>
  <si>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</si>
  <si>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</si>
  <si>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</si>
  <si>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</si>
  <si>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</si>
  <si>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</si>
  <si>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</si>
  <si>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</si>
  <si>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</si>
  <si>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</si>
  <si>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</si>
  <si>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</si>
  <si>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</si>
  <si>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</si>
  <si>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</si>
  <si>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</si>
  <si>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</si>
  <si>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</si>
  <si>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</si>
  <si>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</si>
  <si>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</si>
  <si>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</si>
  <si>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</si>
  <si>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</si>
  <si>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</si>
  <si>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</si>
  <si>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</si>
  <si>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</si>
  <si>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</si>
  <si>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</si>
  <si>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</si>
  <si>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</si>
  <si>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</si>
  <si>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</si>
  <si>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</si>
  <si>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</si>
  <si>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</si>
  <si>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</si>
  <si>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</si>
  <si>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</si>
  <si>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</si>
  <si>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</si>
  <si>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</si>
  <si>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</si>
  <si>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</si>
  <si>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</si>
  <si>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</si>
  <si>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</si>
  <si>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</si>
  <si>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</si>
  <si>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</si>
  <si>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</si>
  <si>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</si>
  <si>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</si>
  <si>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</si>
  <si>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</si>
  <si>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</si>
  <si>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</si>
  <si>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</si>
  <si>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</si>
  <si>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</si>
  <si>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</si>
  <si>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</si>
  <si>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</si>
  <si>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</si>
  <si>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</si>
  <si>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</si>
  <si>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</si>
  <si>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</si>
  <si>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</si>
  <si>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</si>
  <si>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</si>
  <si>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</si>
  <si>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</si>
  <si>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</si>
  <si>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</si>
  <si>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</si>
  <si>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</si>
  <si>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</si>
  <si>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</si>
  <si>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</si>
  <si>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</si>
  <si>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</si>
  <si>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</si>
  <si>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</si>
  <si>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</si>
  <si>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</si>
  <si>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</si>
  <si>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</si>
  <si>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</si>
  <si>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</si>
  <si>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</si>
  <si>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</si>
  <si>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</si>
  <si>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</si>
  <si>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</si>
  <si>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</si>
  <si>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</si>
  <si>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</si>
  <si>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</si>
  <si>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</si>
  <si>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</si>
  <si>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</si>
  <si>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</si>
  <si>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</si>
  <si>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</si>
  <si>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</si>
  <si>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</si>
  <si>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</si>
  <si>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</si>
  <si>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</si>
  <si>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</si>
  <si>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</si>
  <si>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</si>
  <si>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</si>
  <si>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</si>
  <si>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</si>
  <si>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</si>
  <si>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</si>
  <si>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</si>
  <si>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</si>
  <si>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</si>
  <si>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</si>
  <si>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</si>
  <si>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</si>
  <si>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</si>
  <si>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</si>
  <si>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</si>
  <si>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</si>
  <si>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</si>
  <si>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</si>
  <si>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</si>
  <si>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</si>
  <si>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</si>
  <si>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</si>
  <si>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</si>
  <si>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</si>
  <si>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</si>
  <si>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</si>
  <si>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</si>
  <si>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</si>
  <si>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</si>
  <si>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</si>
  <si>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</si>
  <si>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</si>
  <si>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</si>
  <si>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</si>
  <si>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</si>
  <si>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</si>
  <si>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</si>
  <si>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</si>
  <si>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</si>
  <si>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</si>
  <si>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</si>
  <si>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</si>
  <si>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</si>
  <si>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</si>
  <si>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</si>
  <si>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</si>
  <si>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</si>
  <si>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</si>
  <si>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</si>
  <si>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</si>
  <si>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</si>
  <si>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</si>
  <si>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</si>
  <si>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</si>
  <si>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</si>
  <si>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</si>
  <si>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</si>
  <si>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</si>
  <si>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</si>
  <si>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</si>
  <si>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</si>
  <si>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</si>
  <si>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</si>
  <si>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</si>
  <si>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</si>
  <si>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</si>
  <si>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</si>
  <si>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</si>
  <si>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</si>
  <si>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</si>
  <si>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</si>
  <si>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</si>
  <si>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</si>
  <si>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</si>
  <si>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</si>
  <si>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</si>
  <si>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</si>
  <si>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</si>
  <si>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</si>
  <si>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</si>
  <si>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</si>
  <si>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</si>
  <si>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</si>
  <si>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</si>
  <si>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</si>
  <si>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</si>
  <si>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</si>
  <si>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</si>
  <si>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</si>
  <si>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</si>
  <si>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</si>
  <si>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</si>
  <si>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</si>
  <si>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</si>
  <si>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</si>
  <si>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</si>
  <si>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</si>
  <si>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</si>
  <si>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</si>
  <si>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</si>
  <si>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</si>
  <si>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</si>
  <si>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</si>
  <si>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</si>
  <si>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</si>
  <si>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</si>
  <si>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</si>
  <si>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</si>
  <si>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</si>
  <si>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</si>
  <si>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</si>
  <si>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</si>
  <si>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</si>
  <si>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</si>
  <si>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</si>
  <si>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</si>
  <si>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</si>
  <si>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</si>
  <si>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</si>
  <si>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</si>
  <si>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</si>
  <si>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</si>
  <si>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</si>
  <si>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</si>
  <si>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</si>
  <si>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</si>
  <si>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</si>
  <si>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</si>
  <si>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</si>
  <si>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</si>
  <si>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</si>
  <si>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</si>
  <si>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</si>
  <si>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</si>
  <si>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</si>
  <si>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</si>
  <si>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</si>
  <si>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</si>
  <si>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</si>
  <si>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</si>
  <si>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</si>
  <si>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</si>
  <si>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</si>
  <si>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</si>
  <si>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</si>
  <si>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</si>
  <si>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</si>
  <si>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</si>
  <si>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</si>
  <si>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</si>
  <si>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</si>
  <si>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</si>
  <si>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</si>
  <si>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</si>
  <si>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</si>
  <si>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</si>
  <si>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</si>
  <si>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</si>
  <si>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</si>
  <si>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</si>
  <si>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</si>
  <si>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</si>
  <si>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</si>
  <si>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</si>
  <si>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</si>
  <si>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</si>
  <si>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</si>
  <si>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</si>
  <si>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</si>
  <si>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</si>
  <si>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</si>
  <si>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</si>
  <si>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</si>
  <si>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</si>
  <si>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</si>
  <si>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</si>
  <si>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</si>
  <si>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</si>
  <si>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</si>
  <si>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</si>
  <si>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</si>
  <si>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</si>
  <si>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</si>
  <si>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</si>
  <si>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</si>
  <si>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</si>
  <si>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</si>
  <si>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</si>
  <si>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</si>
  <si>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</si>
  <si>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</si>
  <si>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</si>
  <si>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</si>
  <si>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</si>
  <si>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</si>
  <si>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</si>
  <si>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</si>
  <si>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</si>
  <si>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</si>
  <si>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</si>
  <si>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</si>
  <si>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</si>
  <si>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</si>
  <si>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</si>
  <si>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</si>
  <si>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</si>
  <si>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</si>
  <si>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</si>
  <si>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</si>
  <si>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</si>
  <si>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</si>
  <si>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</si>
  <si>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</si>
  <si>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</si>
  <si>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</si>
  <si>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</si>
  <si>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</si>
  <si>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</si>
  <si>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</si>
  <si>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</si>
  <si>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</si>
  <si>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</si>
  <si>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</si>
  <si>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</si>
  <si>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</si>
  <si>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</si>
  <si>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</si>
  <si>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</si>
  <si>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</si>
  <si>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</si>
  <si>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</si>
  <si>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</si>
  <si>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</si>
  <si>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</si>
  <si>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</si>
  <si>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</si>
  <si>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</si>
  <si>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</si>
  <si>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</si>
  <si>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</si>
  <si>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</si>
  <si>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</si>
  <si>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</si>
  <si>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</si>
  <si>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</si>
  <si>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</si>
  <si>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</si>
  <si>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</si>
  <si>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</si>
  <si>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</si>
  <si>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</si>
  <si>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</si>
  <si>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</si>
  <si>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</si>
  <si>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</si>
  <si>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</si>
  <si>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</si>
  <si>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</si>
  <si>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</si>
  <si>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</si>
  <si>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</si>
  <si>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</si>
  <si>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</si>
  <si>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</si>
  <si>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</si>
  <si>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</si>
  <si>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</si>
  <si>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</si>
  <si>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</si>
  <si>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</si>
  <si>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</si>
  <si>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</si>
  <si>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</si>
  <si>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</si>
  <si>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</si>
  <si>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</si>
  <si>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</si>
  <si>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</si>
  <si>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</si>
  <si>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</si>
  <si>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</si>
  <si>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</si>
  <si>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</si>
  <si>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</si>
  <si>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</si>
  <si>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</si>
  <si>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</si>
  <si>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</si>
  <si>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</si>
  <si>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</si>
  <si>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</si>
  <si>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</si>
  <si>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</si>
  <si>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</si>
  <si>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</si>
  <si>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</si>
  <si>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</si>
  <si>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</si>
  <si>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</si>
  <si>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</si>
  <si>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</si>
  <si>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</si>
  <si>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</si>
  <si>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</si>
  <si>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</si>
  <si>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</si>
  <si>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</si>
  <si>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</si>
  <si>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</si>
  <si>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</si>
  <si>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</si>
  <si>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</si>
  <si>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</si>
  <si>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</si>
  <si>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</si>
  <si>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</si>
  <si>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</si>
  <si>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</si>
  <si>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</si>
  <si>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</si>
  <si>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</si>
  <si>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</si>
  <si>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</si>
  <si>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</si>
  <si>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</si>
  <si>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</si>
  <si>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</si>
  <si>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</si>
  <si>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</si>
  <si>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</si>
  <si>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</si>
  <si>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</si>
  <si>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</si>
  <si>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</si>
  <si>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</si>
  <si>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</si>
  <si>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</si>
  <si>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</si>
  <si>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</si>
  <si>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</si>
  <si>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</si>
  <si>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</si>
  <si>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</si>
  <si>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</si>
  <si>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</si>
  <si>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</si>
  <si>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</si>
  <si>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</si>
  <si>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</si>
  <si>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</si>
  <si>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</si>
  <si>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</si>
  <si>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</si>
  <si>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</si>
  <si>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</si>
  <si>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</si>
  <si>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</si>
  <si>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</si>
  <si>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</si>
  <si>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</si>
  <si>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</si>
  <si>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</si>
  <si>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</si>
  <si>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</si>
  <si>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</si>
  <si>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</si>
  <si>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</si>
  <si>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</si>
  <si>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</si>
  <si>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</si>
  <si>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</si>
  <si>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</si>
  <si>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</si>
  <si>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</si>
  <si>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</si>
  <si>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</si>
  <si>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</si>
  <si>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</si>
  <si>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</si>
  <si>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</si>
  <si>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</si>
  <si>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</si>
  <si>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</si>
  <si>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</si>
  <si>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</si>
  <si>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</si>
  <si>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</si>
  <si>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</si>
  <si>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</si>
  <si>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</si>
  <si>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</si>
  <si>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</si>
  <si>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</si>
  <si>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</si>
  <si>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</si>
  <si>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</si>
  <si>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</si>
  <si>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</si>
  <si>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</si>
  <si>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</si>
  <si>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</si>
  <si>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</si>
  <si>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</si>
  <si>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</si>
  <si>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</si>
  <si>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</si>
  <si>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</si>
  <si>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</si>
  <si>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</si>
  <si>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</si>
  <si>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</si>
  <si>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</si>
  <si>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</si>
  <si>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</si>
  <si>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</si>
  <si>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</si>
  <si>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</si>
  <si>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</si>
  <si>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</si>
  <si>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</si>
  <si>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</si>
  <si>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</si>
  <si>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</si>
  <si>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</si>
  <si>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</si>
  <si>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</si>
  <si>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</si>
  <si>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</si>
  <si>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</si>
  <si>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</si>
  <si>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</si>
  <si>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</si>
  <si>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</si>
  <si>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</si>
  <si>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</si>
  <si>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</si>
  <si>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</si>
  <si>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</si>
  <si>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</si>
  <si>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</si>
  <si>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</si>
  <si>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</si>
  <si>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</si>
  <si>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</si>
  <si>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</si>
  <si>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</si>
  <si>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</si>
  <si>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</si>
  <si>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</si>
  <si>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</si>
  <si>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</si>
  <si>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</si>
  <si>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</si>
  <si>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</si>
  <si>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</si>
  <si>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</si>
  <si>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</si>
  <si>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</si>
  <si>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</si>
  <si>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</si>
  <si>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</si>
  <si>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</si>
  <si>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</si>
  <si>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</si>
  <si>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</si>
  <si>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</si>
  <si>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</si>
  <si>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</si>
  <si>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</si>
  <si>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</si>
  <si>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</si>
  <si>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</si>
  <si>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</si>
  <si>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</si>
  <si>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</si>
  <si>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</si>
  <si>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</si>
  <si>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</si>
  <si>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</si>
  <si>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</si>
  <si>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</si>
  <si>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</si>
  <si>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</si>
  <si>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</si>
  <si>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</si>
  <si>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</si>
  <si>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</si>
  <si>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</si>
  <si>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</si>
  <si>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</si>
  <si>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</si>
  <si>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</si>
  <si>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</si>
  <si>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</si>
  <si>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</si>
  <si>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</si>
  <si>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</si>
  <si>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</si>
  <si>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</si>
  <si>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</si>
  <si>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</si>
  <si>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</si>
  <si>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</si>
  <si>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</si>
  <si>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</si>
  <si>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</si>
  <si>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</si>
  <si>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</si>
  <si>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</si>
  <si>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</si>
  <si>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</si>
  <si>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</si>
  <si>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</si>
  <si>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</si>
  <si>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</si>
  <si>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</si>
  <si>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</si>
  <si>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</si>
  <si>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</si>
  <si>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</si>
  <si>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</si>
  <si>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</si>
  <si>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</si>
  <si>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</si>
  <si>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</si>
  <si>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</si>
  <si>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</si>
  <si>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</si>
  <si>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</si>
  <si>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</si>
  <si>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</si>
  <si>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</si>
  <si>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</si>
  <si>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</si>
  <si>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</si>
  <si>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</si>
  <si>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</si>
  <si>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</si>
  <si>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</si>
  <si>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</si>
  <si>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</si>
  <si>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</si>
  <si>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</si>
  <si>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</si>
  <si>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</si>
  <si>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</si>
  <si>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</si>
  <si>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</si>
  <si>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</si>
  <si>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</si>
  <si>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</si>
  <si>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</si>
  <si>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</si>
  <si>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</si>
  <si>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</si>
  <si>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</si>
  <si>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</si>
  <si>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</si>
  <si>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</si>
  <si>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</si>
  <si>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</si>
  <si>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</si>
  <si>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</si>
  <si>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</si>
  <si>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</si>
  <si>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</si>
  <si>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</si>
  <si>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</si>
  <si>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</si>
  <si>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</si>
  <si>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</si>
  <si>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</si>
  <si>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</si>
  <si>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</si>
  <si>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</si>
  <si>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</si>
  <si>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</si>
  <si>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</si>
  <si>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</si>
  <si>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</si>
  <si>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</si>
  <si>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</si>
  <si>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</si>
  <si>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</si>
  <si>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</si>
  <si>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</si>
  <si>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</si>
  <si>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</si>
  <si>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</si>
  <si>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</si>
  <si>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</si>
  <si>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</si>
  <si>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</si>
  <si>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</si>
  <si>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</si>
  <si>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</si>
  <si>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</si>
  <si>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</si>
  <si>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</si>
  <si>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</si>
  <si>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</si>
  <si>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</si>
  <si>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</si>
  <si>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</si>
  <si>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</si>
  <si>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</si>
  <si>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</si>
  <si>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</si>
  <si>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</si>
  <si>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8/94</t>
  </si>
  <si>
    <t>8/14</t>
  </si>
  <si>
    <t>HOLLIS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</si>
</sst>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82E-E0BF-484E-8B43-86F3E394E0E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259</v>
      </c>
      <c r="C2" s="21">
        <v>259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489255.8+200+1</f>
        <v>489456.8</v>
      </c>
      <c r="G9" s="18">
        <f>25660.62+48</f>
        <v>25708.62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453928.1</v>
      </c>
      <c r="G12" s="18"/>
      <c r="H12" s="18"/>
      <c r="I12" s="18">
        <v>8627.56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12891.09</v>
      </c>
      <c r="G13" s="18">
        <v>6451.15</v>
      </c>
      <c r="H13" s="18">
        <v>159110.71</v>
      </c>
      <c r="I13" s="18"/>
      <c r="J13" s="67">
        <f>SUM(I434)</f>
        <v>228994.61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344.47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4575</v>
      </c>
      <c r="G17" s="18">
        <v>130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961195.45999999985</v>
      </c>
      <c r="G19" s="41">
        <f>SUM(G9:G18)</f>
        <v>32289.769999999997</v>
      </c>
      <c r="H19" s="41">
        <f>SUM(H9:H18)</f>
        <v>159110.71</v>
      </c>
      <c r="I19" s="41">
        <f>SUM(I9:I18)</f>
        <v>8627.56</v>
      </c>
      <c r="J19" s="41">
        <f>SUM(J9:J18)</f>
        <v>228994.61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248382.48</v>
      </c>
      <c r="G23" s="18">
        <v>19254.740000000002</v>
      </c>
      <c r="H23" s="18">
        <f>146500.88-14296.53</f>
        <v>132204.35</v>
      </c>
      <c r="I23" s="18"/>
      <c r="J23" s="67">
        <f>SUM(I440)</f>
        <v>28789.09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1356.23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43320.72+337.92</f>
        <v>43658.64</v>
      </c>
      <c r="G25" s="18"/>
      <c r="H25" s="18">
        <f>4328.57+225</f>
        <v>4553.57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71982.240000000005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46818.14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2700</v>
      </c>
      <c r="G31" s="18">
        <v>5743</v>
      </c>
      <c r="H31" s="18">
        <f>8281.26+8295</f>
        <v>16576.260000000002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414897.73000000004</v>
      </c>
      <c r="G33" s="41">
        <f>SUM(G23:G32)</f>
        <v>24997.74</v>
      </c>
      <c r="H33" s="41">
        <f>SUM(H23:H32)</f>
        <v>153334.18000000002</v>
      </c>
      <c r="I33" s="41">
        <f>SUM(I23:I32)</f>
        <v>0</v>
      </c>
      <c r="J33" s="41">
        <f>SUM(J23:J32)</f>
        <v>28789.09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186890.87</v>
      </c>
      <c r="G37" s="18">
        <v>150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71000</v>
      </c>
      <c r="G41" s="18">
        <f>59.88+211132.45-204050.3</f>
        <v>7142.0300000000279</v>
      </c>
      <c r="H41" s="18">
        <f>273286.64-273286.64+5164.53+17128.49-16516.49</f>
        <v>5776.5299999999988</v>
      </c>
      <c r="I41" s="18">
        <v>8627.56</v>
      </c>
      <c r="J41" s="13">
        <f>SUM(I449)</f>
        <v>200205.52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799797.28+10169486.23-10440495.17-185212.55-63169.93+1+8000</f>
        <v>288406.85999999987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546297.72999999986</v>
      </c>
      <c r="G43" s="41">
        <f>SUM(G35:G42)</f>
        <v>7292.0300000000279</v>
      </c>
      <c r="H43" s="41">
        <f>SUM(H35:H42)</f>
        <v>5776.5299999999988</v>
      </c>
      <c r="I43" s="41">
        <f>SUM(I35:I42)</f>
        <v>8627.56</v>
      </c>
      <c r="J43" s="41">
        <f>SUM(J35:J42)</f>
        <v>200205.52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961195.46</v>
      </c>
      <c r="G44" s="41">
        <f>G43+G33</f>
        <v>32289.77000000003</v>
      </c>
      <c r="H44" s="41">
        <f>H43+H33</f>
        <v>159110.71000000002</v>
      </c>
      <c r="I44" s="41">
        <f>I43+I33</f>
        <v>8627.56</v>
      </c>
      <c r="J44" s="41">
        <f>J43+J33</f>
        <v>228994.61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7537589.26-9.26</f>
        <v>7537580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7537580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27005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f>4742+4500+935</f>
        <v>10177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27005</v>
      </c>
      <c r="G71" s="45" t="s">
        <v>312</v>
      </c>
      <c r="H71" s="41">
        <f>SUM(H55:H70)</f>
        <v>10177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3049.94</v>
      </c>
      <c r="G88" s="18"/>
      <c r="H88" s="18"/>
      <c r="I88" s="18"/>
      <c r="J88" s="18">
        <v>559.25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67711.26+126662.02-4886</f>
        <v>189487.28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1555.2+9.26</f>
        <v>1564.46</v>
      </c>
      <c r="G102" s="18"/>
      <c r="H102" s="18">
        <v>2851.49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12614.400000000001</v>
      </c>
      <c r="G103" s="41">
        <f>SUM(G88:G102)</f>
        <v>189487.28</v>
      </c>
      <c r="H103" s="41">
        <f>SUM(H88:H102)</f>
        <v>2851.49</v>
      </c>
      <c r="I103" s="41">
        <f>SUM(I88:I102)</f>
        <v>0</v>
      </c>
      <c r="J103" s="41">
        <f>SUM(J88:J102)</f>
        <v>559.25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7577199.4000000004</v>
      </c>
      <c r="G104" s="41">
        <f>G52+G103</f>
        <v>189487.28</v>
      </c>
      <c r="H104" s="41">
        <f>H52+H71+H86+H103</f>
        <v>13028.49</v>
      </c>
      <c r="I104" s="41">
        <f>I52+I103</f>
        <v>0</v>
      </c>
      <c r="J104" s="41">
        <f>J52+J103</f>
        <v>559.25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721446.26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1403800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276795.74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2402042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65763.490000000005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62681.13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2558.5100000000002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4100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128444.62</v>
      </c>
      <c r="G128" s="41">
        <f>SUM(G115:G127)</f>
        <v>2558.5100000000002</v>
      </c>
      <c r="H128" s="41">
        <f>SUM(H115:H127)</f>
        <v>4100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2530486.62</v>
      </c>
      <c r="G132" s="41">
        <f>G113+SUM(G128:G129)</f>
        <v>2558.5100000000002</v>
      </c>
      <c r="H132" s="41">
        <f>H113+SUM(H128:H131)</f>
        <v>4100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273286.64-4967</f>
        <v>268319.64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19086.66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4967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61612.76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61612.76</v>
      </c>
      <c r="G154" s="41">
        <f>SUM(G142:G153)</f>
        <v>19086.66</v>
      </c>
      <c r="H154" s="41">
        <f>SUM(H142:H153)</f>
        <v>273286.64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61612.76</v>
      </c>
      <c r="G161" s="41">
        <f>G139+G154+SUM(G155:G160)</f>
        <v>19086.66</v>
      </c>
      <c r="H161" s="41">
        <f>H139+H154+SUM(H155:H160)</f>
        <v>273286.64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83266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83266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187.45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187.45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187.45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83266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10169486.229999999</v>
      </c>
      <c r="G185" s="47">
        <f>G104+G132+G161+G184</f>
        <v>211132.45</v>
      </c>
      <c r="H185" s="47">
        <f>H104+H132+H161+H184</f>
        <v>290415.13</v>
      </c>
      <c r="I185" s="47">
        <f>I104+I132+I161+I184</f>
        <v>0</v>
      </c>
      <c r="J185" s="47">
        <f>J104+J132+J184</f>
        <v>83825.25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3150815.6</v>
      </c>
      <c r="G189" s="18">
        <v>976828.99</v>
      </c>
      <c r="H189" s="18">
        <v>13292.84</v>
      </c>
      <c r="I189" s="18">
        <f>85304.78+4829.63</f>
        <v>90134.41</v>
      </c>
      <c r="J189" s="18">
        <f>32177.31+6582.17</f>
        <v>38759.480000000003</v>
      </c>
      <c r="K189" s="18">
        <f>726.5+269</f>
        <v>995.5</v>
      </c>
      <c r="L189" s="19">
        <f>SUM(F189:K189)</f>
        <v>4270826.82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1308952.73</v>
      </c>
      <c r="G190" s="18">
        <v>405806.99</v>
      </c>
      <c r="H190" s="18">
        <v>225676.84</v>
      </c>
      <c r="I190" s="18">
        <f>9528.94+2980.42</f>
        <v>12509.36</v>
      </c>
      <c r="J190" s="18">
        <f>7792.23+118.7</f>
        <v>7910.9299999999994</v>
      </c>
      <c r="K190" s="18"/>
      <c r="L190" s="19">
        <f>SUM(F190:K190)</f>
        <v>1960856.85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580163.53</v>
      </c>
      <c r="G194" s="18">
        <v>179864.72</v>
      </c>
      <c r="H194" s="18">
        <v>154736.59</v>
      </c>
      <c r="I194" s="18">
        <v>9619.4500000000007</v>
      </c>
      <c r="J194" s="18">
        <v>2333.44</v>
      </c>
      <c r="K194" s="18">
        <v>235</v>
      </c>
      <c r="L194" s="19">
        <f t="shared" ref="L194:L200" si="0">SUM(F194:K194)</f>
        <v>926952.72999999986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182675.57</v>
      </c>
      <c r="G195" s="18">
        <v>56633.84</v>
      </c>
      <c r="H195" s="18">
        <v>30248.05</v>
      </c>
      <c r="I195" s="18">
        <f>24458.64+368.6</f>
        <v>24827.239999999998</v>
      </c>
      <c r="J195" s="18">
        <v>894.8</v>
      </c>
      <c r="K195" s="18"/>
      <c r="L195" s="19">
        <f t="shared" si="0"/>
        <v>295279.5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f>438348.84+3972.5</f>
        <v>442321.34</v>
      </c>
      <c r="I196" s="18">
        <v>1255</v>
      </c>
      <c r="J196" s="18"/>
      <c r="K196" s="18">
        <v>4294.16</v>
      </c>
      <c r="L196" s="19">
        <f t="shared" si="0"/>
        <v>447870.5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421953+296.56</f>
        <v>422249.56</v>
      </c>
      <c r="G197" s="18">
        <v>130907.57</v>
      </c>
      <c r="H197" s="18">
        <v>52563.96</v>
      </c>
      <c r="I197" s="18">
        <v>2265.19</v>
      </c>
      <c r="J197" s="18">
        <v>573.54999999999995</v>
      </c>
      <c r="K197" s="18">
        <v>3101</v>
      </c>
      <c r="L197" s="19">
        <f t="shared" si="0"/>
        <v>611660.82999999996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32277.119999999999</v>
      </c>
      <c r="I198" s="18"/>
      <c r="J198" s="18"/>
      <c r="K198" s="18"/>
      <c r="L198" s="19">
        <f t="shared" si="0"/>
        <v>32277.119999999999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293577.11</v>
      </c>
      <c r="G199" s="18">
        <v>91016</v>
      </c>
      <c r="H199" s="18">
        <f>472670.62+40562.81</f>
        <v>513233.43</v>
      </c>
      <c r="I199" s="18">
        <v>217346.39</v>
      </c>
      <c r="J199" s="18">
        <v>3696.8</v>
      </c>
      <c r="K199" s="18"/>
      <c r="L199" s="19">
        <f t="shared" si="0"/>
        <v>1118869.7300000002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321343.06</v>
      </c>
      <c r="I200" s="18">
        <v>42684.46</v>
      </c>
      <c r="J200" s="18"/>
      <c r="K200" s="18"/>
      <c r="L200" s="19">
        <f t="shared" si="0"/>
        <v>364027.52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5938434.1000000006</v>
      </c>
      <c r="G203" s="41">
        <f t="shared" si="1"/>
        <v>1841058.11</v>
      </c>
      <c r="H203" s="41">
        <f t="shared" si="1"/>
        <v>1785693.23</v>
      </c>
      <c r="I203" s="41">
        <f t="shared" si="1"/>
        <v>400641.50000000006</v>
      </c>
      <c r="J203" s="41">
        <f t="shared" si="1"/>
        <v>54169.000000000015</v>
      </c>
      <c r="K203" s="41">
        <f t="shared" si="1"/>
        <v>8625.66</v>
      </c>
      <c r="L203" s="41">
        <f t="shared" si="1"/>
        <v>10028621.599999998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5938434.1000000006</v>
      </c>
      <c r="G249" s="41">
        <f t="shared" si="8"/>
        <v>1841058.11</v>
      </c>
      <c r="H249" s="41">
        <f t="shared" si="8"/>
        <v>1785693.23</v>
      </c>
      <c r="I249" s="41">
        <f t="shared" si="8"/>
        <v>400641.50000000006</v>
      </c>
      <c r="J249" s="41">
        <f t="shared" si="8"/>
        <v>54169.000000000015</v>
      </c>
      <c r="K249" s="41">
        <f t="shared" si="8"/>
        <v>8625.66</v>
      </c>
      <c r="L249" s="41">
        <f t="shared" si="8"/>
        <v>10028621.599999998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188107.75</v>
      </c>
      <c r="L252" s="19">
        <f>SUM(F252:K252)</f>
        <v>188107.75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203669.75</v>
      </c>
      <c r="L253" s="19">
        <f>SUM(F253:K253)</f>
        <v>203669.75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83266</v>
      </c>
      <c r="L258" s="19">
        <f t="shared" si="9"/>
        <v>83266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475043.5</v>
      </c>
      <c r="L262" s="41">
        <f t="shared" si="9"/>
        <v>475043.5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5938434.1000000006</v>
      </c>
      <c r="G263" s="42">
        <f t="shared" si="11"/>
        <v>1841058.11</v>
      </c>
      <c r="H263" s="42">
        <f t="shared" si="11"/>
        <v>1785693.23</v>
      </c>
      <c r="I263" s="42">
        <f t="shared" si="11"/>
        <v>400641.50000000006</v>
      </c>
      <c r="J263" s="42">
        <f t="shared" si="11"/>
        <v>54169.000000000015</v>
      </c>
      <c r="K263" s="42">
        <f t="shared" si="11"/>
        <v>483669.16</v>
      </c>
      <c r="L263" s="42">
        <f t="shared" si="11"/>
        <v>10503665.099999998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8500</v>
      </c>
      <c r="G268" s="18"/>
      <c r="H268" s="18">
        <f>3500+3800</f>
        <v>7300</v>
      </c>
      <c r="I268" s="18">
        <f>673.19+2968.79</f>
        <v>3641.98</v>
      </c>
      <c r="J268" s="18">
        <f>4058.64+67.86</f>
        <v>4126.5</v>
      </c>
      <c r="K268" s="18"/>
      <c r="L268" s="19">
        <f>SUM(F268:K268)</f>
        <v>23568.48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13267</v>
      </c>
      <c r="G269" s="18">
        <v>584</v>
      </c>
      <c r="H269" s="18"/>
      <c r="I269" s="18">
        <v>5955.36</v>
      </c>
      <c r="J269" s="18">
        <v>107005.91</v>
      </c>
      <c r="K269" s="18"/>
      <c r="L269" s="19">
        <f>SUM(F269:K269)</f>
        <v>126812.27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4145.55</v>
      </c>
      <c r="J271" s="18"/>
      <c r="K271" s="18"/>
      <c r="L271" s="19">
        <f>SUM(F271:K271)</f>
        <v>4145.55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121456</v>
      </c>
      <c r="G273" s="18">
        <v>9253</v>
      </c>
      <c r="H273" s="18"/>
      <c r="I273" s="18">
        <v>3073</v>
      </c>
      <c r="J273" s="18">
        <v>314.99</v>
      </c>
      <c r="K273" s="18"/>
      <c r="L273" s="19">
        <f t="shared" ref="L273:L279" si="12">SUM(F273:K273)</f>
        <v>134096.99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300</v>
      </c>
      <c r="H274" s="18"/>
      <c r="I274" s="18"/>
      <c r="J274" s="18"/>
      <c r="K274" s="18"/>
      <c r="L274" s="19">
        <f t="shared" si="12"/>
        <v>300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879.84</v>
      </c>
      <c r="J280" s="18"/>
      <c r="K280" s="18"/>
      <c r="L280" s="19">
        <f>SUM(F280:K280)</f>
        <v>879.84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143223</v>
      </c>
      <c r="G282" s="42">
        <f t="shared" si="13"/>
        <v>10137</v>
      </c>
      <c r="H282" s="42">
        <f t="shared" si="13"/>
        <v>7300</v>
      </c>
      <c r="I282" s="42">
        <f t="shared" si="13"/>
        <v>17695.73</v>
      </c>
      <c r="J282" s="42">
        <f t="shared" si="13"/>
        <v>111447.40000000001</v>
      </c>
      <c r="K282" s="42">
        <f t="shared" si="13"/>
        <v>0</v>
      </c>
      <c r="L282" s="41">
        <f t="shared" si="13"/>
        <v>289803.13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143223</v>
      </c>
      <c r="G330" s="41">
        <f t="shared" si="20"/>
        <v>10137</v>
      </c>
      <c r="H330" s="41">
        <f t="shared" si="20"/>
        <v>7300</v>
      </c>
      <c r="I330" s="41">
        <f t="shared" si="20"/>
        <v>17695.73</v>
      </c>
      <c r="J330" s="41">
        <f t="shared" si="20"/>
        <v>111447.40000000001</v>
      </c>
      <c r="K330" s="41">
        <f t="shared" si="20"/>
        <v>0</v>
      </c>
      <c r="L330" s="41">
        <f t="shared" si="20"/>
        <v>289803.13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143223</v>
      </c>
      <c r="G344" s="41">
        <f>G330</f>
        <v>10137</v>
      </c>
      <c r="H344" s="41">
        <f>H330</f>
        <v>7300</v>
      </c>
      <c r="I344" s="41">
        <f>I330</f>
        <v>17695.73</v>
      </c>
      <c r="J344" s="41">
        <f>J330</f>
        <v>111447.40000000001</v>
      </c>
      <c r="K344" s="47">
        <f>K330+K343</f>
        <v>0</v>
      </c>
      <c r="L344" s="41">
        <f>L330+L343</f>
        <v>289803.13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100893.04</v>
      </c>
      <c r="G350" s="18"/>
      <c r="H350" s="18">
        <v>16975.990000000002</v>
      </c>
      <c r="I350" s="18">
        <f>85002.52-39.25</f>
        <v>84963.27</v>
      </c>
      <c r="J350" s="18">
        <f>1218</f>
        <v>1218</v>
      </c>
      <c r="K350" s="18"/>
      <c r="L350" s="13">
        <f>SUM(F350:K350)</f>
        <v>204050.3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100893.04</v>
      </c>
      <c r="G354" s="47">
        <f t="shared" si="22"/>
        <v>0</v>
      </c>
      <c r="H354" s="47">
        <f t="shared" si="22"/>
        <v>16975.990000000002</v>
      </c>
      <c r="I354" s="47">
        <f t="shared" si="22"/>
        <v>84963.27</v>
      </c>
      <c r="J354" s="47">
        <f t="shared" si="22"/>
        <v>1218</v>
      </c>
      <c r="K354" s="47">
        <f t="shared" si="22"/>
        <v>0</v>
      </c>
      <c r="L354" s="47">
        <f t="shared" si="22"/>
        <v>204050.3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76794.759999999995</v>
      </c>
      <c r="G359" s="18"/>
      <c r="H359" s="18"/>
      <c r="I359" s="56">
        <f>SUM(F359:H359)</f>
        <v>76794.759999999995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7238.52+969.24-39.25</f>
        <v>8168.51</v>
      </c>
      <c r="G360" s="63"/>
      <c r="H360" s="63"/>
      <c r="I360" s="56">
        <f>SUM(F360:H360)</f>
        <v>8168.51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84963.26999999999</v>
      </c>
      <c r="G361" s="47">
        <f>SUM(G359:G360)</f>
        <v>0</v>
      </c>
      <c r="H361" s="47">
        <f>SUM(H359:H360)</f>
        <v>0</v>
      </c>
      <c r="I361" s="47">
        <f>SUM(I359:I360)</f>
        <v>84963.26999999999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83266</v>
      </c>
      <c r="H388" s="18"/>
      <c r="I388" s="18"/>
      <c r="J388" s="24" t="s">
        <v>312</v>
      </c>
      <c r="K388" s="24" t="s">
        <v>312</v>
      </c>
      <c r="L388" s="56">
        <f t="shared" si="26"/>
        <v>83266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559.25</v>
      </c>
      <c r="I392" s="18"/>
      <c r="J392" s="24" t="s">
        <v>312</v>
      </c>
      <c r="K392" s="24" t="s">
        <v>312</v>
      </c>
      <c r="L392" s="56">
        <f t="shared" si="26"/>
        <v>559.25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83266</v>
      </c>
      <c r="H393" s="47">
        <f>SUM(H387:H392)</f>
        <v>559.25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83825.25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83266</v>
      </c>
      <c r="H400" s="47">
        <f>H385+H393+H399</f>
        <v>559.25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83825.25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28789.09</v>
      </c>
      <c r="I414" s="18"/>
      <c r="J414" s="18"/>
      <c r="K414" s="18"/>
      <c r="L414" s="56">
        <f t="shared" si="29"/>
        <v>28789.09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28789.09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28789.09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28789.09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28789.09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83825.25+145169.36</f>
        <v>228994.61</v>
      </c>
      <c r="H434" s="18"/>
      <c r="I434" s="56">
        <f t="shared" si="33"/>
        <v>228994.61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228994.61</v>
      </c>
      <c r="H438" s="13">
        <f>SUM(H431:H437)</f>
        <v>0</v>
      </c>
      <c r="I438" s="13">
        <f>SUM(I431:I437)</f>
        <v>228994.61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28789.09</v>
      </c>
      <c r="H440" s="18"/>
      <c r="I440" s="56">
        <f>SUM(F440:H440)</f>
        <v>28789.09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28789.09</v>
      </c>
      <c r="H444" s="72">
        <f>SUM(H440:H443)</f>
        <v>0</v>
      </c>
      <c r="I444" s="72">
        <f>SUM(I440:I443)</f>
        <v>28789.09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83825.25-28789.09+145169.36</f>
        <v>200205.52</v>
      </c>
      <c r="H449" s="18"/>
      <c r="I449" s="56">
        <f>SUM(F449:H449)</f>
        <v>200205.52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200205.52</v>
      </c>
      <c r="H450" s="83">
        <f>SUM(H446:H449)</f>
        <v>0</v>
      </c>
      <c r="I450" s="83">
        <f>SUM(I446:I449)</f>
        <v>200205.52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228994.61</v>
      </c>
      <c r="H451" s="42">
        <f>H444+H450</f>
        <v>0</v>
      </c>
      <c r="I451" s="42">
        <f>I444+I450</f>
        <v>228994.61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880476.6</v>
      </c>
      <c r="G455" s="18">
        <v>209.88</v>
      </c>
      <c r="H455" s="18">
        <v>5164.53</v>
      </c>
      <c r="I455" s="18">
        <v>8627.56</v>
      </c>
      <c r="J455" s="18">
        <v>145169.35999999999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10169486.23</f>
        <v>10169486.23</v>
      </c>
      <c r="G458" s="18">
        <v>211132.45</v>
      </c>
      <c r="H458" s="18">
        <f>273286.64+17128.49</f>
        <v>290415.13</v>
      </c>
      <c r="I458" s="18"/>
      <c r="J458" s="18">
        <v>83825.25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10169486.23</v>
      </c>
      <c r="G460" s="53">
        <f>SUM(G458:G459)</f>
        <v>211132.45</v>
      </c>
      <c r="H460" s="53">
        <f>SUM(H458:H459)</f>
        <v>290415.13</v>
      </c>
      <c r="I460" s="53">
        <f>SUM(I458:I459)</f>
        <v>0</v>
      </c>
      <c r="J460" s="53">
        <f>SUM(J458:J459)</f>
        <v>83825.25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10440495.17+63169.93</f>
        <v>10503665.1</v>
      </c>
      <c r="G462" s="18">
        <v>204050.3</v>
      </c>
      <c r="H462" s="18">
        <f>273286.64+16516.49</f>
        <v>289803.13</v>
      </c>
      <c r="I462" s="18"/>
      <c r="J462" s="18">
        <v>28789.09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10503665.1</v>
      </c>
      <c r="G464" s="53">
        <f>SUM(G462:G463)</f>
        <v>204050.3</v>
      </c>
      <c r="H464" s="53">
        <f>SUM(H462:H463)</f>
        <v>289803.13</v>
      </c>
      <c r="I464" s="53">
        <f>SUM(I462:I463)</f>
        <v>0</v>
      </c>
      <c r="J464" s="53">
        <f>SUM(J462:J463)</f>
        <v>28789.09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546297.73000000045</v>
      </c>
      <c r="G466" s="53">
        <f>(G455+G460)- G464</f>
        <v>7292.0300000000279</v>
      </c>
      <c r="H466" s="53">
        <f>(H455+H460)- H464</f>
        <v>5776.5300000000279</v>
      </c>
      <c r="I466" s="53">
        <f>(I455+I460)- I464</f>
        <v>8627.56</v>
      </c>
      <c r="J466" s="53">
        <f>(J455+J460)- J464</f>
        <v>200205.52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894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895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1960000</v>
      </c>
      <c r="G483" s="18">
        <v>2937157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5.82</v>
      </c>
      <c r="G484" s="18">
        <v>5.82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570000</v>
      </c>
      <c r="G485" s="18">
        <v>469315</v>
      </c>
      <c r="H485" s="18"/>
      <c r="I485" s="18"/>
      <c r="J485" s="18"/>
      <c r="K485" s="53">
        <f>SUM(F485:J485)</f>
        <v>1039315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95000</v>
      </c>
      <c r="G487" s="18">
        <v>93107.75</v>
      </c>
      <c r="H487" s="18"/>
      <c r="I487" s="18"/>
      <c r="J487" s="18"/>
      <c r="K487" s="53">
        <f t="shared" si="34"/>
        <v>188107.75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475000</v>
      </c>
      <c r="G488" s="205">
        <f>G485-G487</f>
        <v>376207.25</v>
      </c>
      <c r="H488" s="205"/>
      <c r="I488" s="205"/>
      <c r="J488" s="205"/>
      <c r="K488" s="206">
        <f t="shared" si="34"/>
        <v>851207.25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72580.009999999995</v>
      </c>
      <c r="G489" s="18">
        <v>948792.75</v>
      </c>
      <c r="H489" s="18"/>
      <c r="I489" s="18"/>
      <c r="J489" s="18"/>
      <c r="K489" s="53">
        <f t="shared" si="34"/>
        <v>1021372.76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547580.01</v>
      </c>
      <c r="G490" s="42">
        <f>SUM(G488:G489)</f>
        <v>1325000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1872580.01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95000</v>
      </c>
      <c r="G491" s="205">
        <v>86164.75</v>
      </c>
      <c r="H491" s="205"/>
      <c r="I491" s="205"/>
      <c r="J491" s="205"/>
      <c r="K491" s="206">
        <f t="shared" si="34"/>
        <v>181164.75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26077.5</v>
      </c>
      <c r="G492" s="18">
        <v>178835.25</v>
      </c>
      <c r="H492" s="18"/>
      <c r="I492" s="18"/>
      <c r="J492" s="18"/>
      <c r="K492" s="53">
        <f t="shared" si="34"/>
        <v>204912.75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121077.5</v>
      </c>
      <c r="G493" s="42">
        <f>SUM(G491:G492)</f>
        <v>265000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386077.5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42385.68+666217.83+157783.36+188086.32+45091.25+25276.8+118485.53+8300+4967</f>
        <v>1256593.77</v>
      </c>
      <c r="G511" s="18">
        <f>584+405806.99</f>
        <v>406390.99</v>
      </c>
      <c r="H511" s="18">
        <f>223651.99+2024.85</f>
        <v>225676.84</v>
      </c>
      <c r="I511" s="18">
        <f>8448.56+219.23+861.15+2980.42</f>
        <v>12509.359999999999</v>
      </c>
      <c r="J511" s="18">
        <f>6774.8+1017.43+118.7</f>
        <v>7910.93</v>
      </c>
      <c r="K511" s="18"/>
      <c r="L511" s="88">
        <f>SUM(F511:K511)</f>
        <v>1909081.8900000001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1256593.77</v>
      </c>
      <c r="G514" s="108">
        <f t="shared" ref="G514:L514" si="35">SUM(G511:G513)</f>
        <v>406390.99</v>
      </c>
      <c r="H514" s="108">
        <f t="shared" si="35"/>
        <v>225676.84</v>
      </c>
      <c r="I514" s="108">
        <f t="shared" si="35"/>
        <v>12509.359999999999</v>
      </c>
      <c r="J514" s="108">
        <f t="shared" si="35"/>
        <v>7910.93</v>
      </c>
      <c r="K514" s="108">
        <f t="shared" si="35"/>
        <v>0</v>
      </c>
      <c r="L514" s="89">
        <f t="shared" si="35"/>
        <v>1909081.8900000001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23074.72+86894+135316.32+63620+40889+63581+16531</f>
        <v>429906.04000000004</v>
      </c>
      <c r="G516" s="18">
        <f>3127+4862+1264+88614.31</f>
        <v>97867.31</v>
      </c>
      <c r="H516" s="18">
        <f>580+32749.4+13986.87+5915.43+25956.84+5475+17627.57+18186.89+13381.16</f>
        <v>133859.16</v>
      </c>
      <c r="I516" s="18">
        <f>444.94+668.7+446.09+199</f>
        <v>1758.73</v>
      </c>
      <c r="J516" s="18">
        <f>314.99</f>
        <v>314.99</v>
      </c>
      <c r="K516" s="18"/>
      <c r="L516" s="88">
        <f>SUM(F516:K516)</f>
        <v>663706.2300000001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429906.04000000004</v>
      </c>
      <c r="G519" s="89">
        <f t="shared" ref="G519:L519" si="36">SUM(G516:G518)</f>
        <v>97867.31</v>
      </c>
      <c r="H519" s="89">
        <f t="shared" si="36"/>
        <v>133859.16</v>
      </c>
      <c r="I519" s="89">
        <f t="shared" si="36"/>
        <v>1758.73</v>
      </c>
      <c r="J519" s="89">
        <f t="shared" si="36"/>
        <v>314.99</v>
      </c>
      <c r="K519" s="89">
        <f t="shared" si="36"/>
        <v>0</v>
      </c>
      <c r="L519" s="89">
        <f t="shared" si="36"/>
        <v>663706.2300000001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65625.96+53740.71</f>
        <v>119366.67000000001</v>
      </c>
      <c r="G521" s="18">
        <f>20601.83+19472.96</f>
        <v>40074.79</v>
      </c>
      <c r="H521" s="18">
        <f>5957.11+54.36</f>
        <v>6011.4699999999993</v>
      </c>
      <c r="I521" s="18">
        <v>140.15</v>
      </c>
      <c r="J521" s="18"/>
      <c r="K521" s="18">
        <v>164.3</v>
      </c>
      <c r="L521" s="88">
        <f>SUM(F521:K521)</f>
        <v>165757.38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119366.67000000001</v>
      </c>
      <c r="G524" s="89">
        <f t="shared" ref="G524:L524" si="37">SUM(G521:G523)</f>
        <v>40074.79</v>
      </c>
      <c r="H524" s="89">
        <f t="shared" si="37"/>
        <v>6011.4699999999993</v>
      </c>
      <c r="I524" s="89">
        <f t="shared" si="37"/>
        <v>140.15</v>
      </c>
      <c r="J524" s="89">
        <f t="shared" si="37"/>
        <v>0</v>
      </c>
      <c r="K524" s="89">
        <f t="shared" si="37"/>
        <v>164.3</v>
      </c>
      <c r="L524" s="89">
        <f t="shared" si="37"/>
        <v>165757.38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85662.81</v>
      </c>
      <c r="I531" s="18"/>
      <c r="J531" s="18"/>
      <c r="K531" s="18"/>
      <c r="L531" s="88">
        <f>SUM(F531:K531)</f>
        <v>85662.81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85662.81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85662.81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1805866.48</v>
      </c>
      <c r="G535" s="89">
        <f t="shared" ref="G535:L535" si="40">G514+G519+G524+G529+G534</f>
        <v>544333.09</v>
      </c>
      <c r="H535" s="89">
        <f t="shared" si="40"/>
        <v>451210.27999999997</v>
      </c>
      <c r="I535" s="89">
        <f t="shared" si="40"/>
        <v>14408.239999999998</v>
      </c>
      <c r="J535" s="89">
        <f t="shared" si="40"/>
        <v>8225.92</v>
      </c>
      <c r="K535" s="89">
        <f t="shared" si="40"/>
        <v>164.3</v>
      </c>
      <c r="L535" s="89">
        <f t="shared" si="40"/>
        <v>2824208.31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1909081.8900000001</v>
      </c>
      <c r="G539" s="87">
        <f>L516</f>
        <v>663706.2300000001</v>
      </c>
      <c r="H539" s="87">
        <f>L521</f>
        <v>165757.38</v>
      </c>
      <c r="I539" s="87">
        <f>L526</f>
        <v>0</v>
      </c>
      <c r="J539" s="87">
        <f>L531</f>
        <v>85662.81</v>
      </c>
      <c r="K539" s="87">
        <f>SUM(F539:J539)</f>
        <v>2824208.31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1909081.8900000001</v>
      </c>
      <c r="G542" s="89">
        <f t="shared" si="41"/>
        <v>663706.2300000001</v>
      </c>
      <c r="H542" s="89">
        <f t="shared" si="41"/>
        <v>165757.38</v>
      </c>
      <c r="I542" s="89">
        <f t="shared" si="41"/>
        <v>0</v>
      </c>
      <c r="J542" s="89">
        <f t="shared" si="41"/>
        <v>85662.81</v>
      </c>
      <c r="K542" s="89">
        <f t="shared" si="41"/>
        <v>2824208.31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25276.799999999999</v>
      </c>
      <c r="G552" s="18">
        <v>5571.01</v>
      </c>
      <c r="H552" s="18">
        <v>2024.85</v>
      </c>
      <c r="I552" s="18">
        <v>219.23</v>
      </c>
      <c r="J552" s="18"/>
      <c r="K552" s="18"/>
      <c r="L552" s="88">
        <f>SUM(F552:K552)</f>
        <v>33091.89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25276.799999999999</v>
      </c>
      <c r="G555" s="89">
        <f t="shared" si="43"/>
        <v>5571.01</v>
      </c>
      <c r="H555" s="89">
        <f t="shared" si="43"/>
        <v>2024.85</v>
      </c>
      <c r="I555" s="89">
        <f t="shared" si="43"/>
        <v>219.23</v>
      </c>
      <c r="J555" s="89">
        <f t="shared" si="43"/>
        <v>0</v>
      </c>
      <c r="K555" s="89">
        <f t="shared" si="43"/>
        <v>0</v>
      </c>
      <c r="L555" s="89">
        <f t="shared" si="43"/>
        <v>33091.89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25276.799999999999</v>
      </c>
      <c r="G561" s="89">
        <f t="shared" ref="G561:L561" si="45">G550+G555+G560</f>
        <v>5571.01</v>
      </c>
      <c r="H561" s="89">
        <f t="shared" si="45"/>
        <v>2024.85</v>
      </c>
      <c r="I561" s="89">
        <f t="shared" si="45"/>
        <v>219.23</v>
      </c>
      <c r="J561" s="89">
        <f t="shared" si="45"/>
        <v>0</v>
      </c>
      <c r="K561" s="89">
        <f t="shared" si="45"/>
        <v>0</v>
      </c>
      <c r="L561" s="89">
        <f t="shared" si="45"/>
        <v>33091.89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222740.37</v>
      </c>
      <c r="G572" s="18"/>
      <c r="H572" s="18"/>
      <c r="I572" s="87">
        <f t="shared" si="46"/>
        <v>222740.37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278364.71000000002</v>
      </c>
      <c r="I581" s="18"/>
      <c r="J581" s="18"/>
      <c r="K581" s="104">
        <f t="shared" ref="K581:K587" si="47">SUM(H581:J581)</f>
        <v>278364.71000000002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85662.81</v>
      </c>
      <c r="I582" s="18"/>
      <c r="J582" s="18"/>
      <c r="K582" s="104">
        <f t="shared" si="47"/>
        <v>85662.81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364027.52</v>
      </c>
      <c r="I588" s="108">
        <f>SUM(I581:I587)</f>
        <v>0</v>
      </c>
      <c r="J588" s="108">
        <f>SUM(J581:J587)</f>
        <v>0</v>
      </c>
      <c r="K588" s="108">
        <f>SUM(K581:K587)</f>
        <v>364027.52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165616.4</v>
      </c>
      <c r="I594" s="18"/>
      <c r="J594" s="18"/>
      <c r="K594" s="104">
        <f>SUM(H594:J594)</f>
        <v>165616.4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165616.4</v>
      </c>
      <c r="I595" s="108">
        <f>SUM(I592:I594)</f>
        <v>0</v>
      </c>
      <c r="J595" s="108">
        <f>SUM(J592:J594)</f>
        <v>0</v>
      </c>
      <c r="K595" s="108">
        <f>SUM(K592:K594)</f>
        <v>165616.4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4200+800+3500</f>
        <v>8500</v>
      </c>
      <c r="G601" s="18"/>
      <c r="H601" s="18"/>
      <c r="I601" s="18">
        <v>1242</v>
      </c>
      <c r="J601" s="18"/>
      <c r="K601" s="18"/>
      <c r="L601" s="88">
        <f>SUM(F601:K601)</f>
        <v>9742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8500</v>
      </c>
      <c r="G604" s="108">
        <f t="shared" si="48"/>
        <v>0</v>
      </c>
      <c r="H604" s="108">
        <f t="shared" si="48"/>
        <v>0</v>
      </c>
      <c r="I604" s="108">
        <f t="shared" si="48"/>
        <v>1242</v>
      </c>
      <c r="J604" s="108">
        <f t="shared" si="48"/>
        <v>0</v>
      </c>
      <c r="K604" s="108">
        <f t="shared" si="48"/>
        <v>0</v>
      </c>
      <c r="L604" s="89">
        <f t="shared" si="48"/>
        <v>9742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961195.45999999985</v>
      </c>
      <c r="H607" s="109">
        <f>SUM(F44)</f>
        <v>961195.46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32289.769999999997</v>
      </c>
      <c r="H608" s="109">
        <f>SUM(G44)</f>
        <v>32289.77000000003</v>
      </c>
      <c r="I608" s="121" t="s">
        <v>102</v>
      </c>
      <c r="J608" s="109">
        <f>G608-H608</f>
        <v>-3.2741809263825417E-11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159110.71</v>
      </c>
      <c r="H609" s="109">
        <f>SUM(H44)</f>
        <v>159110.71000000002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8627.56</v>
      </c>
      <c r="H610" s="109">
        <f>SUM(I44)</f>
        <v>8627.56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228994.61</v>
      </c>
      <c r="H611" s="109">
        <f>SUM(J44)</f>
        <v>228994.61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546297.72999999986</v>
      </c>
      <c r="H612" s="109">
        <f>F466</f>
        <v>546297.73000000045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7292.0300000000279</v>
      </c>
      <c r="H613" s="109">
        <f>G466</f>
        <v>7292.0300000000279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5776.5299999999988</v>
      </c>
      <c r="H614" s="109">
        <f>H466</f>
        <v>5776.5300000000279</v>
      </c>
      <c r="I614" s="121" t="s">
        <v>110</v>
      </c>
      <c r="J614" s="109">
        <f t="shared" si="49"/>
        <v>-2.9103830456733704E-11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8627.56</v>
      </c>
      <c r="H615" s="109">
        <f>I466</f>
        <v>8627.56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200205.52</v>
      </c>
      <c r="H616" s="109">
        <f>J466</f>
        <v>200205.52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10169486.229999999</v>
      </c>
      <c r="H617" s="104">
        <f>SUM(F458)</f>
        <v>10169486.23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211132.45</v>
      </c>
      <c r="H618" s="104">
        <f>SUM(G458)</f>
        <v>211132.45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290415.13</v>
      </c>
      <c r="H619" s="104">
        <f>SUM(H458)</f>
        <v>290415.13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83825.25</v>
      </c>
      <c r="H621" s="104">
        <f>SUM(J458)</f>
        <v>83825.25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10503665.099999998</v>
      </c>
      <c r="H622" s="104">
        <f>SUM(F462)</f>
        <v>10503665.1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289803.13</v>
      </c>
      <c r="H623" s="104">
        <f>SUM(H462)</f>
        <v>289803.13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84963.27</v>
      </c>
      <c r="H624" s="104">
        <f>I361</f>
        <v>84963.26999999999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204050.3</v>
      </c>
      <c r="H625" s="104">
        <f>SUM(G462)</f>
        <v>204050.3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83825.25</v>
      </c>
      <c r="H627" s="164">
        <f>SUM(J458)</f>
        <v>83825.25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28789.09</v>
      </c>
      <c r="H628" s="164">
        <f>SUM(J462)</f>
        <v>28789.09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228994.61</v>
      </c>
      <c r="H630" s="104">
        <f>SUM(G451)</f>
        <v>228994.61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228994.61</v>
      </c>
      <c r="H632" s="104">
        <f>SUM(I451)</f>
        <v>228994.61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559.25</v>
      </c>
      <c r="H634" s="104">
        <f>H400</f>
        <v>559.25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83266</v>
      </c>
      <c r="H635" s="104">
        <f>G400</f>
        <v>83266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83825.25</v>
      </c>
      <c r="H636" s="104">
        <f>L400</f>
        <v>83825.25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364027.52</v>
      </c>
      <c r="H637" s="104">
        <f>L200+L218+L236</f>
        <v>364027.52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165616.4</v>
      </c>
      <c r="H638" s="104">
        <f>(J249+J330)-(J247+J328)</f>
        <v>165616.40000000002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364027.52</v>
      </c>
      <c r="H639" s="104">
        <f>H588</f>
        <v>364027.52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83266</v>
      </c>
      <c r="H645" s="104">
        <f>K258+K339</f>
        <v>83266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10522475.029999999</v>
      </c>
      <c r="G650" s="19">
        <f>(L221+L301+L351)</f>
        <v>0</v>
      </c>
      <c r="H650" s="19">
        <f>(L239+L320+L352)</f>
        <v>0</v>
      </c>
      <c r="I650" s="19">
        <f>SUM(F650:H650)</f>
        <v>10522475.029999999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189487.28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189487.28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364027.52</v>
      </c>
      <c r="G652" s="19">
        <f>(L218+L298)-(J218+J298)</f>
        <v>0</v>
      </c>
      <c r="H652" s="19">
        <f>(L236+L317)-(J236+J317)</f>
        <v>0</v>
      </c>
      <c r="I652" s="19">
        <f>SUM(F652:H652)</f>
        <v>364027.52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398098.77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398098.77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9570861.459999999</v>
      </c>
      <c r="G654" s="19">
        <f>G650-SUM(G651:G653)</f>
        <v>0</v>
      </c>
      <c r="H654" s="19">
        <f>H650-SUM(H651:H653)</f>
        <v>0</v>
      </c>
      <c r="I654" s="19">
        <f>I650-SUM(I651:I653)</f>
        <v>9570861.459999999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643.25</v>
      </c>
      <c r="G655" s="249"/>
      <c r="H655" s="249"/>
      <c r="I655" s="19">
        <f>SUM(F655:H655)</f>
        <v>643.25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14878.91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14878.91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14878.91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14878.91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947F-BD6E-4A62-8051-224585DA6D2E}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HOLLIS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3159315.6</v>
      </c>
      <c r="C9" s="230">
        <f>'DOE25'!G189+'DOE25'!G207+'DOE25'!G225+'DOE25'!G268+'DOE25'!G287+'DOE25'!G306</f>
        <v>976828.99</v>
      </c>
    </row>
    <row r="10" spans="1:3" x14ac:dyDescent="0.2">
      <c r="A10" t="s">
        <v>813</v>
      </c>
      <c r="B10" s="241">
        <v>3042499.88</v>
      </c>
      <c r="C10" s="241">
        <v>940710.73</v>
      </c>
    </row>
    <row r="11" spans="1:3" x14ac:dyDescent="0.2">
      <c r="A11" t="s">
        <v>814</v>
      </c>
      <c r="B11" s="241">
        <v>69965.72</v>
      </c>
      <c r="C11" s="241">
        <v>21632.71</v>
      </c>
    </row>
    <row r="12" spans="1:3" x14ac:dyDescent="0.2">
      <c r="A12" t="s">
        <v>815</v>
      </c>
      <c r="B12" s="241">
        <v>46850</v>
      </c>
      <c r="C12" s="241">
        <v>14485.55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3159315.6</v>
      </c>
      <c r="C13" s="232">
        <f>SUM(C10:C12)</f>
        <v>976828.99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1322219.73</v>
      </c>
      <c r="C18" s="230">
        <f>'DOE25'!G190+'DOE25'!G208+'DOE25'!G226+'DOE25'!G269+'DOE25'!G288+'DOE25'!G307</f>
        <v>406390.99</v>
      </c>
    </row>
    <row r="19" spans="1:3" x14ac:dyDescent="0.2">
      <c r="A19" t="s">
        <v>813</v>
      </c>
      <c r="B19" s="241">
        <v>506558.81</v>
      </c>
      <c r="C19" s="241">
        <v>155693.44</v>
      </c>
    </row>
    <row r="20" spans="1:3" x14ac:dyDescent="0.2">
      <c r="A20" t="s">
        <v>814</v>
      </c>
      <c r="B20" s="241">
        <v>727308.09</v>
      </c>
      <c r="C20" s="241">
        <v>223541.86</v>
      </c>
    </row>
    <row r="21" spans="1:3" x14ac:dyDescent="0.2">
      <c r="A21" t="s">
        <v>815</v>
      </c>
      <c r="B21" s="241">
        <v>88352.83</v>
      </c>
      <c r="C21" s="241">
        <v>27155.69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1322219.73</v>
      </c>
      <c r="C22" s="232">
        <f>SUM(C19:C21)</f>
        <v>406390.99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57F2-4844-4185-84F5-41AC07718579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HOLLIS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6231683.6699999999</v>
      </c>
      <c r="D5" s="20">
        <f>SUM('DOE25'!L189:L192)+SUM('DOE25'!L207:L210)+SUM('DOE25'!L225:L228)-F5-G5</f>
        <v>6184017.7599999998</v>
      </c>
      <c r="E5" s="244"/>
      <c r="F5" s="256">
        <f>SUM('DOE25'!J189:J192)+SUM('DOE25'!J207:J210)+SUM('DOE25'!J225:J228)</f>
        <v>46670.41</v>
      </c>
      <c r="G5" s="53">
        <f>SUM('DOE25'!K189:K192)+SUM('DOE25'!K207:K210)+SUM('DOE25'!K225:K228)</f>
        <v>995.5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926952.72999999986</v>
      </c>
      <c r="D6" s="20">
        <f>'DOE25'!L194+'DOE25'!L212+'DOE25'!L230-F6-G6</f>
        <v>924384.28999999992</v>
      </c>
      <c r="E6" s="244"/>
      <c r="F6" s="256">
        <f>'DOE25'!J194+'DOE25'!J212+'DOE25'!J230</f>
        <v>2333.44</v>
      </c>
      <c r="G6" s="53">
        <f>'DOE25'!K194+'DOE25'!K212+'DOE25'!K230</f>
        <v>235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295279.5</v>
      </c>
      <c r="D7" s="20">
        <f>'DOE25'!L195+'DOE25'!L213+'DOE25'!L231-F7-G7</f>
        <v>294384.7</v>
      </c>
      <c r="E7" s="244"/>
      <c r="F7" s="256">
        <f>'DOE25'!J195+'DOE25'!J213+'DOE25'!J231</f>
        <v>894.8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447870.5</v>
      </c>
      <c r="D8" s="244"/>
      <c r="E8" s="20">
        <f>'DOE25'!L196+'DOE25'!L214+'DOE25'!L232-F8-G8-D9-D11</f>
        <v>443576.34</v>
      </c>
      <c r="F8" s="256">
        <f>'DOE25'!J196+'DOE25'!J214+'DOE25'!J232</f>
        <v>0</v>
      </c>
      <c r="G8" s="53">
        <f>'DOE25'!K196+'DOE25'!K214+'DOE25'!K232</f>
        <v>4294.16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611660.82999999996</v>
      </c>
      <c r="D12" s="20">
        <f>'DOE25'!L197+'DOE25'!L215+'DOE25'!L233-F12-G12</f>
        <v>607986.27999999991</v>
      </c>
      <c r="E12" s="244"/>
      <c r="F12" s="256">
        <f>'DOE25'!J197+'DOE25'!J215+'DOE25'!J233</f>
        <v>573.54999999999995</v>
      </c>
      <c r="G12" s="53">
        <f>'DOE25'!K197+'DOE25'!K215+'DOE25'!K233</f>
        <v>3101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32277.119999999999</v>
      </c>
      <c r="D13" s="244"/>
      <c r="E13" s="20">
        <f>'DOE25'!L198+'DOE25'!L216+'DOE25'!L234-F13-G13</f>
        <v>32277.119999999999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1118869.7300000002</v>
      </c>
      <c r="D14" s="20">
        <f>'DOE25'!L199+'DOE25'!L217+'DOE25'!L235-F14-G14</f>
        <v>1115172.9300000002</v>
      </c>
      <c r="E14" s="244"/>
      <c r="F14" s="256">
        <f>'DOE25'!J199+'DOE25'!J217+'DOE25'!J235</f>
        <v>3696.8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364027.52</v>
      </c>
      <c r="D15" s="20">
        <f>'DOE25'!L200+'DOE25'!L218+'DOE25'!L236-F15-G15</f>
        <v>364027.52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391777.5</v>
      </c>
      <c r="D25" s="244"/>
      <c r="E25" s="244"/>
      <c r="F25" s="259"/>
      <c r="G25" s="257"/>
      <c r="H25" s="258">
        <f>'DOE25'!L252+'DOE25'!L253+'DOE25'!L333+'DOE25'!L334</f>
        <v>391777.5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127255.54</v>
      </c>
      <c r="D29" s="20">
        <f>'DOE25'!L350+'DOE25'!L351+'DOE25'!L352-'DOE25'!I359-F29-G29</f>
        <v>126037.54</v>
      </c>
      <c r="E29" s="244"/>
      <c r="F29" s="256">
        <f>'DOE25'!J350+'DOE25'!J351+'DOE25'!J352</f>
        <v>1218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289803.13</v>
      </c>
      <c r="D31" s="20">
        <f>'DOE25'!L282+'DOE25'!L301+'DOE25'!L320+'DOE25'!L325+'DOE25'!L326+'DOE25'!L327-F31-G31</f>
        <v>178355.72999999998</v>
      </c>
      <c r="E31" s="244"/>
      <c r="F31" s="256">
        <f>'DOE25'!J282+'DOE25'!J301+'DOE25'!J320+'DOE25'!J325+'DOE25'!J326+'DOE25'!J327</f>
        <v>111447.40000000001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9794366.75</v>
      </c>
      <c r="E33" s="247">
        <f>SUM(E5:E31)</f>
        <v>475853.46</v>
      </c>
      <c r="F33" s="247">
        <f>SUM(F5:F31)</f>
        <v>166834.40000000002</v>
      </c>
      <c r="G33" s="247">
        <f>SUM(G5:G31)</f>
        <v>8625.66</v>
      </c>
      <c r="H33" s="247">
        <f>SUM(H5:H31)</f>
        <v>391777.5</v>
      </c>
    </row>
    <row r="35" spans="2:8" ht="12" thickBot="1" x14ac:dyDescent="0.25">
      <c r="B35" s="254" t="s">
        <v>881</v>
      </c>
      <c r="D35" s="255">
        <f>E33</f>
        <v>475853.46</v>
      </c>
      <c r="E35" s="250"/>
    </row>
    <row r="36" spans="2:8" ht="12" thickTop="1" x14ac:dyDescent="0.2">
      <c r="B36" t="s">
        <v>849</v>
      </c>
      <c r="D36" s="20">
        <f>D33</f>
        <v>9794366.75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FC82-8BB1-4E48-BE3D-86229EC502F3}">
  <sheetPr transitionEvaluation="1" codeName="Sheet2">
    <tabColor indexed="10"/>
  </sheetPr>
  <dimension ref="A1:I156"/>
  <sheetViews>
    <sheetView zoomScale="75" workbookViewId="0">
      <pane ySplit="2" topLeftCell="A12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489456.8</v>
      </c>
      <c r="D9" s="95">
        <f>'DOE25'!G9</f>
        <v>25708.62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453928.1</v>
      </c>
      <c r="D12" s="95">
        <f>'DOE25'!G12</f>
        <v>0</v>
      </c>
      <c r="E12" s="95">
        <f>'DOE25'!H12</f>
        <v>0</v>
      </c>
      <c r="F12" s="95">
        <f>'DOE25'!I12</f>
        <v>8627.56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12891.09</v>
      </c>
      <c r="D13" s="95">
        <f>'DOE25'!G13</f>
        <v>6451.15</v>
      </c>
      <c r="E13" s="95">
        <f>'DOE25'!H13</f>
        <v>159110.71</v>
      </c>
      <c r="F13" s="95">
        <f>'DOE25'!I13</f>
        <v>0</v>
      </c>
      <c r="G13" s="95">
        <f>'DOE25'!J13</f>
        <v>228994.61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344.47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4575</v>
      </c>
      <c r="D17" s="95">
        <f>'DOE25'!G17</f>
        <v>130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961195.45999999985</v>
      </c>
      <c r="D19" s="41">
        <f>SUM(D9:D18)</f>
        <v>32289.769999999997</v>
      </c>
      <c r="E19" s="41">
        <f>SUM(E9:E18)</f>
        <v>159110.71</v>
      </c>
      <c r="F19" s="41">
        <f>SUM(F9:F18)</f>
        <v>8627.56</v>
      </c>
      <c r="G19" s="41">
        <f>SUM(G9:G18)</f>
        <v>228994.61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248382.48</v>
      </c>
      <c r="D22" s="95">
        <f>'DOE25'!G23</f>
        <v>19254.740000000002</v>
      </c>
      <c r="E22" s="95">
        <f>'DOE25'!H23</f>
        <v>132204.35</v>
      </c>
      <c r="F22" s="95">
        <f>'DOE25'!I23</f>
        <v>0</v>
      </c>
      <c r="G22" s="95">
        <f>'DOE25'!J23</f>
        <v>28789.09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1356.23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43658.64</v>
      </c>
      <c r="D24" s="95">
        <f>'DOE25'!G25</f>
        <v>0</v>
      </c>
      <c r="E24" s="95">
        <f>'DOE25'!H25</f>
        <v>4553.57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71982.240000000005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46818.14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2700</v>
      </c>
      <c r="D30" s="95">
        <f>'DOE25'!G31</f>
        <v>5743</v>
      </c>
      <c r="E30" s="95">
        <f>'DOE25'!H31</f>
        <v>16576.260000000002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414897.73000000004</v>
      </c>
      <c r="D32" s="41">
        <f>SUM(D22:D31)</f>
        <v>24997.74</v>
      </c>
      <c r="E32" s="41">
        <f>SUM(E22:E31)</f>
        <v>153334.18000000002</v>
      </c>
      <c r="F32" s="41">
        <f>SUM(F22:F31)</f>
        <v>0</v>
      </c>
      <c r="G32" s="41">
        <f>SUM(G22:G31)</f>
        <v>28789.09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186890.87</v>
      </c>
      <c r="D36" s="95">
        <f>'DOE25'!G37</f>
        <v>150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71000</v>
      </c>
      <c r="D40" s="95">
        <f>'DOE25'!G41</f>
        <v>7142.0300000000279</v>
      </c>
      <c r="E40" s="95">
        <f>'DOE25'!H41</f>
        <v>5776.5299999999988</v>
      </c>
      <c r="F40" s="95">
        <f>'DOE25'!I41</f>
        <v>8627.56</v>
      </c>
      <c r="G40" s="95">
        <f>'DOE25'!J41</f>
        <v>200205.52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288406.85999999987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546297.72999999986</v>
      </c>
      <c r="D42" s="41">
        <f>SUM(D34:D41)</f>
        <v>7292.0300000000279</v>
      </c>
      <c r="E42" s="41">
        <f>SUM(E34:E41)</f>
        <v>5776.5299999999988</v>
      </c>
      <c r="F42" s="41">
        <f>SUM(F34:F41)</f>
        <v>8627.56</v>
      </c>
      <c r="G42" s="41">
        <f>SUM(G34:G41)</f>
        <v>200205.52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961195.46</v>
      </c>
      <c r="D43" s="41">
        <f>D42+D32</f>
        <v>32289.77000000003</v>
      </c>
      <c r="E43" s="41">
        <f>E42+E32</f>
        <v>159110.71000000002</v>
      </c>
      <c r="F43" s="41">
        <f>F42+F32</f>
        <v>8627.56</v>
      </c>
      <c r="G43" s="41">
        <f>G42+G32</f>
        <v>228994.61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7537580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27005</v>
      </c>
      <c r="D49" s="24" t="s">
        <v>312</v>
      </c>
      <c r="E49" s="95">
        <f>'DOE25'!H71</f>
        <v>10177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3049.94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559.25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189487.28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9564.4599999999991</v>
      </c>
      <c r="D53" s="95">
        <f>SUM('DOE25'!G90:G102)</f>
        <v>0</v>
      </c>
      <c r="E53" s="95">
        <f>SUM('DOE25'!H90:H102)</f>
        <v>2851.49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39619.399999999994</v>
      </c>
      <c r="D54" s="130">
        <f>SUM(D49:D53)</f>
        <v>189487.28</v>
      </c>
      <c r="E54" s="130">
        <f>SUM(E49:E53)</f>
        <v>13028.49</v>
      </c>
      <c r="F54" s="130">
        <f>SUM(F49:F53)</f>
        <v>0</v>
      </c>
      <c r="G54" s="130">
        <f>SUM(G49:G53)</f>
        <v>559.25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7577199.4000000004</v>
      </c>
      <c r="D55" s="22">
        <f>D48+D54</f>
        <v>189487.28</v>
      </c>
      <c r="E55" s="22">
        <f>E48+E54</f>
        <v>13028.49</v>
      </c>
      <c r="F55" s="22">
        <f>F48+F54</f>
        <v>0</v>
      </c>
      <c r="G55" s="22">
        <f>G48+G54</f>
        <v>559.25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721446.26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1403800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276795.74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2402042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65763.490000000005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62681.13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2558.5100000000002</v>
      </c>
      <c r="E69" s="95">
        <f>SUM('DOE25'!H123:H127)</f>
        <v>4100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128444.62</v>
      </c>
      <c r="D70" s="130">
        <f>SUM(D64:D69)</f>
        <v>2558.5100000000002</v>
      </c>
      <c r="E70" s="130">
        <f>SUM(E64:E69)</f>
        <v>4100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2530486.62</v>
      </c>
      <c r="D73" s="130">
        <f>SUM(D71:D72)+D70+D62</f>
        <v>2558.5100000000002</v>
      </c>
      <c r="E73" s="130">
        <f>SUM(E71:E72)+E70+E62</f>
        <v>4100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61612.76</v>
      </c>
      <c r="D80" s="95">
        <f>SUM('DOE25'!G145:G153)</f>
        <v>19086.66</v>
      </c>
      <c r="E80" s="95">
        <f>SUM('DOE25'!H145:H153)</f>
        <v>273286.64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61612.76</v>
      </c>
      <c r="D83" s="131">
        <f>SUM(D77:D82)</f>
        <v>19086.66</v>
      </c>
      <c r="E83" s="131">
        <f>SUM(E77:E82)</f>
        <v>273286.64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83266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187.45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187.45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83266</v>
      </c>
    </row>
    <row r="96" spans="1:7" ht="12.75" thickTop="1" thickBot="1" x14ac:dyDescent="0.25">
      <c r="A96" s="33" t="s">
        <v>797</v>
      </c>
      <c r="C96" s="86">
        <f>C55+C73+C83+C95</f>
        <v>10169486.229999999</v>
      </c>
      <c r="D96" s="86">
        <f>D55+D73+D83+D95</f>
        <v>211132.45</v>
      </c>
      <c r="E96" s="86">
        <f>E55+E73+E83+E95</f>
        <v>290415.13</v>
      </c>
      <c r="F96" s="86">
        <f>F55+F73+F83+F95</f>
        <v>0</v>
      </c>
      <c r="G96" s="86">
        <f>G55+G73+G95</f>
        <v>83825.25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4270826.82</v>
      </c>
      <c r="D101" s="24" t="s">
        <v>312</v>
      </c>
      <c r="E101" s="95">
        <f>('DOE25'!L268)+('DOE25'!L287)+('DOE25'!L306)</f>
        <v>23568.48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1960856.85</v>
      </c>
      <c r="D102" s="24" t="s">
        <v>312</v>
      </c>
      <c r="E102" s="95">
        <f>('DOE25'!L269)+('DOE25'!L288)+('DOE25'!L307)</f>
        <v>126812.27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4145.55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6231683.6699999999</v>
      </c>
      <c r="D107" s="86">
        <f>SUM(D101:D106)</f>
        <v>0</v>
      </c>
      <c r="E107" s="86">
        <f>SUM(E101:E106)</f>
        <v>154526.29999999999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926952.72999999986</v>
      </c>
      <c r="D110" s="24" t="s">
        <v>312</v>
      </c>
      <c r="E110" s="95">
        <f>+('DOE25'!L273)+('DOE25'!L292)+('DOE25'!L311)</f>
        <v>134096.99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295279.5</v>
      </c>
      <c r="D111" s="24" t="s">
        <v>312</v>
      </c>
      <c r="E111" s="95">
        <f>+('DOE25'!L274)+('DOE25'!L293)+('DOE25'!L312)</f>
        <v>300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447870.5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611660.82999999996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32277.119999999999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1118869.7300000002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364027.52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879.84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204050.3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3796937.93</v>
      </c>
      <c r="D120" s="86">
        <f>SUM(D110:D119)</f>
        <v>204050.3</v>
      </c>
      <c r="E120" s="86">
        <f>SUM(E110:E119)</f>
        <v>135276.82999999999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188107.75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203669.75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83825.25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-559.25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475043.5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10503665.1</v>
      </c>
      <c r="D137" s="86">
        <f>(D107+D120+D136)</f>
        <v>204050.3</v>
      </c>
      <c r="E137" s="86">
        <f>(E107+E120+E136)</f>
        <v>289803.13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8/94</v>
      </c>
      <c r="C144" s="152" t="str">
        <f>'DOE25'!G481</f>
        <v>8/94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8/14</v>
      </c>
      <c r="C145" s="152" t="str">
        <f>'DOE25'!G482</f>
        <v>8/14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1960000</v>
      </c>
      <c r="C146" s="137">
        <f>'DOE25'!G483</f>
        <v>2937157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5.82</v>
      </c>
      <c r="C147" s="137">
        <f>'DOE25'!G484</f>
        <v>5.82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570000</v>
      </c>
      <c r="C148" s="137">
        <f>'DOE25'!G485</f>
        <v>469315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1039315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95000</v>
      </c>
      <c r="C150" s="137">
        <f>'DOE25'!G487</f>
        <v>93107.75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188107.75</v>
      </c>
    </row>
    <row r="151" spans="1:7" x14ac:dyDescent="0.2">
      <c r="A151" s="22" t="s">
        <v>35</v>
      </c>
      <c r="B151" s="137">
        <f>'DOE25'!F488</f>
        <v>475000</v>
      </c>
      <c r="C151" s="137">
        <f>'DOE25'!G488</f>
        <v>376207.25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851207.25</v>
      </c>
    </row>
    <row r="152" spans="1:7" x14ac:dyDescent="0.2">
      <c r="A152" s="22" t="s">
        <v>36</v>
      </c>
      <c r="B152" s="137">
        <f>'DOE25'!F489</f>
        <v>72580.009999999995</v>
      </c>
      <c r="C152" s="137">
        <f>'DOE25'!G489</f>
        <v>948792.75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1021372.76</v>
      </c>
    </row>
    <row r="153" spans="1:7" x14ac:dyDescent="0.2">
      <c r="A153" s="22" t="s">
        <v>37</v>
      </c>
      <c r="B153" s="137">
        <f>'DOE25'!F490</f>
        <v>547580.01</v>
      </c>
      <c r="C153" s="137">
        <f>'DOE25'!G490</f>
        <v>1325000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1872580.01</v>
      </c>
    </row>
    <row r="154" spans="1:7" x14ac:dyDescent="0.2">
      <c r="A154" s="22" t="s">
        <v>38</v>
      </c>
      <c r="B154" s="137">
        <f>'DOE25'!F491</f>
        <v>95000</v>
      </c>
      <c r="C154" s="137">
        <f>'DOE25'!G491</f>
        <v>86164.75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181164.75</v>
      </c>
    </row>
    <row r="155" spans="1:7" x14ac:dyDescent="0.2">
      <c r="A155" s="22" t="s">
        <v>39</v>
      </c>
      <c r="B155" s="137">
        <f>'DOE25'!F492</f>
        <v>26077.5</v>
      </c>
      <c r="C155" s="137">
        <f>'DOE25'!G492</f>
        <v>178835.25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204912.75</v>
      </c>
    </row>
    <row r="156" spans="1:7" x14ac:dyDescent="0.2">
      <c r="A156" s="22" t="s">
        <v>269</v>
      </c>
      <c r="B156" s="137">
        <f>'DOE25'!F493</f>
        <v>121077.5</v>
      </c>
      <c r="C156" s="137">
        <f>'DOE25'!G493</f>
        <v>265000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386077.5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A11C-BA38-4AAC-B735-831B9E26BEEE}">
  <sheetPr codeName="Sheet3">
    <tabColor indexed="43"/>
  </sheetPr>
  <dimension ref="A1:D42"/>
  <sheetViews>
    <sheetView topLeftCell="A19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HOLLIS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14879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14879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4294395</v>
      </c>
      <c r="D10" s="182">
        <f>ROUND((C10/$C$28)*100,1)</f>
        <v>40.799999999999997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2087669</v>
      </c>
      <c r="D11" s="182">
        <f>ROUND((C11/$C$28)*100,1)</f>
        <v>19.8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4146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1061050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295580</v>
      </c>
      <c r="D16" s="182">
        <f t="shared" si="0"/>
        <v>2.8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448750</v>
      </c>
      <c r="D17" s="182">
        <f t="shared" si="0"/>
        <v>4.3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611661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32277</v>
      </c>
      <c r="D19" s="182">
        <f t="shared" si="0"/>
        <v>0.3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1118870</v>
      </c>
      <c r="D20" s="182">
        <f t="shared" si="0"/>
        <v>10.6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364028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203670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14562.720000000001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10536658.720000001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10536658.720000001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188108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7537580</v>
      </c>
      <c r="D35" s="182">
        <f t="shared" ref="D35:D40" si="1">ROUND((C35/$C$41)*100,1)</f>
        <v>71.900000000000006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53207.140000000596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2125246</v>
      </c>
      <c r="D37" s="182">
        <f t="shared" si="1"/>
        <v>20.3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411899</v>
      </c>
      <c r="D38" s="182">
        <f t="shared" si="1"/>
        <v>3.9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353986</v>
      </c>
      <c r="D39" s="182">
        <f t="shared" si="1"/>
        <v>3.4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10481918.140000001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5AA6-EF4D-4FAB-A4B6-45300E5F097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HOLLIS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2010-10-12T12:54:50Z</cp:lastPrinted>
  <dcterms:created xsi:type="dcterms:W3CDTF">1997-12-04T19:04:30Z</dcterms:created>
  <dcterms:modified xsi:type="dcterms:W3CDTF">2025-01-02T14:55:44Z</dcterms:modified>
</cp:coreProperties>
</file>