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F22B55B-96A8-4CCE-9F4D-6888BC6856F9}" xr6:coauthVersionLast="47" xr6:coauthVersionMax="47" xr10:uidLastSave="{00000000-0000-0000-0000-000000000000}"/>
  <workbookProtection workbookPassword="B70A" lockStructure="1"/>
  <bookViews>
    <workbookView xWindow="4230" yWindow="4230" windowWidth="21600" windowHeight="11505" tabRatio="855" xr2:uid="{D9E49EA6-3415-40F6-B2C2-9D9D87CB1AA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6" i="1" l="1"/>
  <c r="H196" i="1"/>
  <c r="B39" i="12"/>
  <c r="B40" i="12" s="1"/>
  <c r="C39" i="12"/>
  <c r="B13" i="12"/>
  <c r="H517" i="1"/>
  <c r="H516" i="1"/>
  <c r="J511" i="1"/>
  <c r="H521" i="1"/>
  <c r="H511" i="1"/>
  <c r="I517" i="1"/>
  <c r="I519" i="1" s="1"/>
  <c r="I535" i="1" s="1"/>
  <c r="G517" i="1"/>
  <c r="G519" i="1" s="1"/>
  <c r="F517" i="1"/>
  <c r="G512" i="1"/>
  <c r="F512" i="1"/>
  <c r="I512" i="1"/>
  <c r="H512" i="1"/>
  <c r="I516" i="1"/>
  <c r="G516" i="1"/>
  <c r="F516" i="1"/>
  <c r="I511" i="1"/>
  <c r="G511" i="1"/>
  <c r="F511" i="1"/>
  <c r="L511" i="1" s="1"/>
  <c r="K511" i="1"/>
  <c r="K514" i="1" s="1"/>
  <c r="K535" i="1" s="1"/>
  <c r="H518" i="1"/>
  <c r="G518" i="1"/>
  <c r="F518" i="1"/>
  <c r="L516" i="1"/>
  <c r="I523" i="1"/>
  <c r="I522" i="1"/>
  <c r="I521" i="1"/>
  <c r="H523" i="1"/>
  <c r="H522" i="1"/>
  <c r="G523" i="1"/>
  <c r="G522" i="1"/>
  <c r="L522" i="1" s="1"/>
  <c r="G521" i="1"/>
  <c r="G524" i="1" s="1"/>
  <c r="F523" i="1"/>
  <c r="F522" i="1"/>
  <c r="F521" i="1"/>
  <c r="J512" i="1"/>
  <c r="G602" i="1"/>
  <c r="F602" i="1"/>
  <c r="G601" i="1"/>
  <c r="L601" i="1" s="1"/>
  <c r="F601" i="1"/>
  <c r="I594" i="1"/>
  <c r="H594" i="1"/>
  <c r="I602" i="1"/>
  <c r="I604" i="1" s="1"/>
  <c r="K296" i="1"/>
  <c r="K301" i="1" s="1"/>
  <c r="K330" i="1" s="1"/>
  <c r="K344" i="1" s="1"/>
  <c r="I293" i="1"/>
  <c r="H293" i="1"/>
  <c r="G293" i="1"/>
  <c r="F293" i="1"/>
  <c r="I292" i="1"/>
  <c r="H292" i="1"/>
  <c r="G292" i="1"/>
  <c r="L292" i="1" s="1"/>
  <c r="F292" i="1"/>
  <c r="J288" i="1"/>
  <c r="H288" i="1"/>
  <c r="G288" i="1"/>
  <c r="G301" i="1" s="1"/>
  <c r="F288" i="1"/>
  <c r="F301" i="1" s="1"/>
  <c r="J287" i="1"/>
  <c r="I287" i="1"/>
  <c r="H287" i="1"/>
  <c r="G287" i="1"/>
  <c r="F287" i="1"/>
  <c r="L287" i="1" s="1"/>
  <c r="K277" i="1"/>
  <c r="I274" i="1"/>
  <c r="L274" i="1" s="1"/>
  <c r="E111" i="2" s="1"/>
  <c r="H274" i="1"/>
  <c r="G274" i="1"/>
  <c r="F274" i="1"/>
  <c r="I273" i="1"/>
  <c r="I282" i="1" s="1"/>
  <c r="I330" i="1" s="1"/>
  <c r="I344" i="1" s="1"/>
  <c r="H273" i="1"/>
  <c r="H282" i="1" s="1"/>
  <c r="H330" i="1" s="1"/>
  <c r="H344" i="1" s="1"/>
  <c r="G273" i="1"/>
  <c r="F273" i="1"/>
  <c r="L273" i="1" s="1"/>
  <c r="J269" i="1"/>
  <c r="H269" i="1"/>
  <c r="G269" i="1"/>
  <c r="F269" i="1"/>
  <c r="L269" i="1" s="1"/>
  <c r="J268" i="1"/>
  <c r="I268" i="1"/>
  <c r="H268" i="1"/>
  <c r="G268" i="1"/>
  <c r="C9" i="12" s="1"/>
  <c r="F268" i="1"/>
  <c r="F282" i="1" s="1"/>
  <c r="F330" i="1" s="1"/>
  <c r="F344" i="1" s="1"/>
  <c r="H290" i="1"/>
  <c r="F290" i="1"/>
  <c r="G207" i="1"/>
  <c r="L207" i="1" s="1"/>
  <c r="H200" i="1"/>
  <c r="H199" i="1"/>
  <c r="G226" i="1"/>
  <c r="F226" i="1"/>
  <c r="L226" i="1" s="1"/>
  <c r="F225" i="1"/>
  <c r="J219" i="1"/>
  <c r="I219" i="1"/>
  <c r="H219" i="1"/>
  <c r="G219" i="1"/>
  <c r="L219" i="1" s="1"/>
  <c r="F219" i="1"/>
  <c r="I217" i="1"/>
  <c r="H217" i="1"/>
  <c r="G217" i="1"/>
  <c r="F217" i="1"/>
  <c r="L217" i="1" s="1"/>
  <c r="H215" i="1"/>
  <c r="H214" i="1"/>
  <c r="K214" i="1"/>
  <c r="I214" i="1"/>
  <c r="G214" i="1"/>
  <c r="F214" i="1"/>
  <c r="L214" i="1" s="1"/>
  <c r="G213" i="1"/>
  <c r="L213" i="1" s="1"/>
  <c r="F213" i="1"/>
  <c r="I213" i="1"/>
  <c r="H213" i="1"/>
  <c r="K212" i="1"/>
  <c r="H212" i="1"/>
  <c r="G212" i="1"/>
  <c r="F212" i="1"/>
  <c r="L212" i="1" s="1"/>
  <c r="H208" i="1"/>
  <c r="I208" i="1"/>
  <c r="G208" i="1"/>
  <c r="F208" i="1"/>
  <c r="L208" i="1" s="1"/>
  <c r="K207" i="1"/>
  <c r="G5" i="13" s="1"/>
  <c r="F207" i="1"/>
  <c r="I201" i="1"/>
  <c r="H201" i="1"/>
  <c r="G201" i="1"/>
  <c r="F201" i="1"/>
  <c r="L201" i="1" s="1"/>
  <c r="I199" i="1"/>
  <c r="G199" i="1"/>
  <c r="F199" i="1"/>
  <c r="H197" i="1"/>
  <c r="I196" i="1"/>
  <c r="G196" i="1"/>
  <c r="F196" i="1"/>
  <c r="L196" i="1" s="1"/>
  <c r="G195" i="1"/>
  <c r="F195" i="1"/>
  <c r="I195" i="1"/>
  <c r="H195" i="1"/>
  <c r="L195" i="1" s="1"/>
  <c r="K194" i="1"/>
  <c r="H194" i="1"/>
  <c r="G194" i="1"/>
  <c r="F194" i="1"/>
  <c r="H190" i="1"/>
  <c r="I190" i="1"/>
  <c r="G190" i="1"/>
  <c r="G203" i="1" s="1"/>
  <c r="F190" i="1"/>
  <c r="F203" i="1" s="1"/>
  <c r="K189" i="1"/>
  <c r="G189" i="1"/>
  <c r="F189" i="1"/>
  <c r="H218" i="1"/>
  <c r="H247" i="1"/>
  <c r="H248" i="1" s="1"/>
  <c r="H236" i="1"/>
  <c r="L236" i="1" s="1"/>
  <c r="H228" i="1"/>
  <c r="H226" i="1"/>
  <c r="H225" i="1"/>
  <c r="J217" i="1"/>
  <c r="K215" i="1"/>
  <c r="J215" i="1"/>
  <c r="I215" i="1"/>
  <c r="G215" i="1"/>
  <c r="F215" i="1"/>
  <c r="L215" i="1" s="1"/>
  <c r="K213" i="1"/>
  <c r="J213" i="1"/>
  <c r="I212" i="1"/>
  <c r="J212" i="1"/>
  <c r="I210" i="1"/>
  <c r="I221" i="1" s="1"/>
  <c r="G210" i="1"/>
  <c r="G221" i="1" s="1"/>
  <c r="F210" i="1"/>
  <c r="K210" i="1"/>
  <c r="J210" i="1"/>
  <c r="H210" i="1"/>
  <c r="H221" i="1" s="1"/>
  <c r="J208" i="1"/>
  <c r="J207" i="1"/>
  <c r="I207" i="1"/>
  <c r="H207" i="1"/>
  <c r="J199" i="1"/>
  <c r="F14" i="13" s="1"/>
  <c r="K197" i="1"/>
  <c r="G12" i="13" s="1"/>
  <c r="J197" i="1"/>
  <c r="I197" i="1"/>
  <c r="G197" i="1"/>
  <c r="F197" i="1"/>
  <c r="L197" i="1" s="1"/>
  <c r="K195" i="1"/>
  <c r="G7" i="13" s="1"/>
  <c r="J195" i="1"/>
  <c r="F7" i="13" s="1"/>
  <c r="I194" i="1"/>
  <c r="J194" i="1"/>
  <c r="G192" i="1"/>
  <c r="F192" i="1"/>
  <c r="L192" i="1" s="1"/>
  <c r="J192" i="1"/>
  <c r="F5" i="13" s="1"/>
  <c r="I192" i="1"/>
  <c r="I203" i="1" s="1"/>
  <c r="I249" i="1" s="1"/>
  <c r="I263" i="1" s="1"/>
  <c r="H192" i="1"/>
  <c r="K190" i="1"/>
  <c r="J190" i="1"/>
  <c r="J189" i="1"/>
  <c r="I189" i="1"/>
  <c r="H189" i="1"/>
  <c r="C60" i="2"/>
  <c r="B2" i="13"/>
  <c r="F8" i="13"/>
  <c r="G8" i="13"/>
  <c r="L232" i="1"/>
  <c r="D39" i="13"/>
  <c r="F13" i="13"/>
  <c r="G13" i="13"/>
  <c r="L198" i="1"/>
  <c r="E13" i="13" s="1"/>
  <c r="C13" i="13" s="1"/>
  <c r="L216" i="1"/>
  <c r="L234" i="1"/>
  <c r="F16" i="13"/>
  <c r="G16" i="13"/>
  <c r="L237" i="1"/>
  <c r="L189" i="1"/>
  <c r="L191" i="1"/>
  <c r="C12" i="10" s="1"/>
  <c r="L209" i="1"/>
  <c r="L225" i="1"/>
  <c r="L239" i="1" s="1"/>
  <c r="H650" i="1" s="1"/>
  <c r="L227" i="1"/>
  <c r="L228" i="1"/>
  <c r="F6" i="13"/>
  <c r="G6" i="13"/>
  <c r="L194" i="1"/>
  <c r="L230" i="1"/>
  <c r="L231" i="1"/>
  <c r="F12" i="13"/>
  <c r="L233" i="1"/>
  <c r="G14" i="13"/>
  <c r="L235" i="1"/>
  <c r="F15" i="13"/>
  <c r="G15" i="13"/>
  <c r="L200" i="1"/>
  <c r="G639" i="1" s="1"/>
  <c r="F17" i="13"/>
  <c r="G17" i="13"/>
  <c r="L243" i="1"/>
  <c r="D17" i="13" s="1"/>
  <c r="C17" i="13" s="1"/>
  <c r="F18" i="13"/>
  <c r="G18" i="13"/>
  <c r="L244" i="1"/>
  <c r="D18" i="13"/>
  <c r="C18" i="13"/>
  <c r="F19" i="13"/>
  <c r="G19" i="13"/>
  <c r="L245" i="1"/>
  <c r="D19" i="13"/>
  <c r="C19" i="13" s="1"/>
  <c r="F29" i="13"/>
  <c r="G29" i="13"/>
  <c r="L350" i="1"/>
  <c r="L351" i="1"/>
  <c r="L352" i="1"/>
  <c r="I359" i="1"/>
  <c r="D29" i="13" s="1"/>
  <c r="C29" i="13" s="1"/>
  <c r="J282" i="1"/>
  <c r="J330" i="1" s="1"/>
  <c r="J344" i="1" s="1"/>
  <c r="J301" i="1"/>
  <c r="J320" i="1"/>
  <c r="K282" i="1"/>
  <c r="G31" i="13" s="1"/>
  <c r="K320" i="1"/>
  <c r="L270" i="1"/>
  <c r="L271" i="1"/>
  <c r="E104" i="2" s="1"/>
  <c r="L275" i="1"/>
  <c r="L276" i="1"/>
  <c r="L277" i="1"/>
  <c r="L278" i="1"/>
  <c r="L279" i="1"/>
  <c r="L280" i="1"/>
  <c r="L289" i="1"/>
  <c r="E103" i="2"/>
  <c r="L290" i="1"/>
  <c r="L293" i="1"/>
  <c r="L294" i="1"/>
  <c r="L295" i="1"/>
  <c r="L297" i="1"/>
  <c r="L298" i="1"/>
  <c r="L299" i="1"/>
  <c r="L306" i="1"/>
  <c r="L307" i="1"/>
  <c r="L320" i="1"/>
  <c r="L308" i="1"/>
  <c r="L309" i="1"/>
  <c r="L311" i="1"/>
  <c r="L312" i="1"/>
  <c r="L313" i="1"/>
  <c r="L314" i="1"/>
  <c r="L315" i="1"/>
  <c r="L316" i="1"/>
  <c r="L317" i="1"/>
  <c r="L318" i="1"/>
  <c r="L325" i="1"/>
  <c r="C24" i="10" s="1"/>
  <c r="E106" i="2"/>
  <c r="L326" i="1"/>
  <c r="L327" i="1"/>
  <c r="L252" i="1"/>
  <c r="L253" i="1"/>
  <c r="H25" i="13" s="1"/>
  <c r="L333" i="1"/>
  <c r="L343" i="1" s="1"/>
  <c r="L334" i="1"/>
  <c r="L328" i="1"/>
  <c r="E122" i="2" s="1"/>
  <c r="C11" i="13"/>
  <c r="C10" i="13"/>
  <c r="C9" i="13"/>
  <c r="L353" i="1"/>
  <c r="B4" i="12"/>
  <c r="B36" i="12"/>
  <c r="C40" i="12"/>
  <c r="B27" i="12"/>
  <c r="A31" i="12" s="1"/>
  <c r="C27" i="12"/>
  <c r="B31" i="12"/>
  <c r="C31" i="12"/>
  <c r="C13" i="12"/>
  <c r="B22" i="12"/>
  <c r="C22" i="12"/>
  <c r="B1" i="12"/>
  <c r="L379" i="1"/>
  <c r="L380" i="1"/>
  <c r="L381" i="1"/>
  <c r="L385" i="1" s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48" i="2"/>
  <c r="G55" i="2" s="1"/>
  <c r="G51" i="2"/>
  <c r="G53" i="2"/>
  <c r="G54" i="2"/>
  <c r="F2" i="11"/>
  <c r="L603" i="1"/>
  <c r="H653" i="1"/>
  <c r="C40" i="10"/>
  <c r="F52" i="1"/>
  <c r="C48" i="2" s="1"/>
  <c r="C55" i="2" s="1"/>
  <c r="G52" i="1"/>
  <c r="H52" i="1"/>
  <c r="E48" i="2"/>
  <c r="I52" i="1"/>
  <c r="F48" i="2" s="1"/>
  <c r="F55" i="2" s="1"/>
  <c r="F71" i="1"/>
  <c r="F86" i="1"/>
  <c r="C50" i="2"/>
  <c r="F103" i="1"/>
  <c r="G103" i="1"/>
  <c r="G104" i="1"/>
  <c r="H71" i="1"/>
  <c r="H86" i="1"/>
  <c r="H103" i="1"/>
  <c r="H104" i="1"/>
  <c r="I103" i="1"/>
  <c r="I104" i="1"/>
  <c r="I185" i="1" s="1"/>
  <c r="G620" i="1" s="1"/>
  <c r="J620" i="1" s="1"/>
  <c r="J103" i="1"/>
  <c r="C37" i="10"/>
  <c r="F113" i="1"/>
  <c r="F128" i="1"/>
  <c r="F132" i="1" s="1"/>
  <c r="G113" i="1"/>
  <c r="G132" i="1" s="1"/>
  <c r="G128" i="1"/>
  <c r="H113" i="1"/>
  <c r="H132" i="1" s="1"/>
  <c r="H128" i="1"/>
  <c r="I113" i="1"/>
  <c r="I132" i="1" s="1"/>
  <c r="I128" i="1"/>
  <c r="J113" i="1"/>
  <c r="J128" i="1"/>
  <c r="J132" i="1"/>
  <c r="F139" i="1"/>
  <c r="F161" i="1" s="1"/>
  <c r="F154" i="1"/>
  <c r="G139" i="1"/>
  <c r="G161" i="1" s="1"/>
  <c r="G154" i="1"/>
  <c r="H139" i="1"/>
  <c r="H161" i="1" s="1"/>
  <c r="H154" i="1"/>
  <c r="I139" i="1"/>
  <c r="I154" i="1"/>
  <c r="I161" i="1"/>
  <c r="L242" i="1"/>
  <c r="C105" i="2" s="1"/>
  <c r="L324" i="1"/>
  <c r="C23" i="10" s="1"/>
  <c r="L246" i="1"/>
  <c r="L260" i="1"/>
  <c r="L261" i="1"/>
  <c r="C135" i="2" s="1"/>
  <c r="C26" i="10"/>
  <c r="L341" i="1"/>
  <c r="L342" i="1"/>
  <c r="I655" i="1"/>
  <c r="I660" i="1"/>
  <c r="G651" i="1"/>
  <c r="I659" i="1"/>
  <c r="C6" i="10"/>
  <c r="C42" i="10"/>
  <c r="C32" i="10"/>
  <c r="L366" i="1"/>
  <c r="L367" i="1"/>
  <c r="L368" i="1"/>
  <c r="L369" i="1"/>
  <c r="F122" i="2" s="1"/>
  <c r="F136" i="2" s="1"/>
  <c r="L370" i="1"/>
  <c r="L371" i="1"/>
  <c r="L372" i="1"/>
  <c r="B2" i="10"/>
  <c r="L336" i="1"/>
  <c r="L337" i="1"/>
  <c r="L338" i="1"/>
  <c r="E129" i="2" s="1"/>
  <c r="L339" i="1"/>
  <c r="K343" i="1"/>
  <c r="L512" i="1"/>
  <c r="F540" i="1" s="1"/>
  <c r="L513" i="1"/>
  <c r="F541" i="1" s="1"/>
  <c r="L518" i="1"/>
  <c r="G541" i="1"/>
  <c r="L521" i="1"/>
  <c r="H539" i="1" s="1"/>
  <c r="L523" i="1"/>
  <c r="H541" i="1" s="1"/>
  <c r="L526" i="1"/>
  <c r="I539" i="1" s="1"/>
  <c r="L527" i="1"/>
  <c r="I540" i="1" s="1"/>
  <c r="L528" i="1"/>
  <c r="L529" i="1" s="1"/>
  <c r="I541" i="1"/>
  <c r="L531" i="1"/>
  <c r="J539" i="1" s="1"/>
  <c r="J542" i="1" s="1"/>
  <c r="L532" i="1"/>
  <c r="J540" i="1"/>
  <c r="L533" i="1"/>
  <c r="J541" i="1"/>
  <c r="E124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I438" i="1" s="1"/>
  <c r="G632" i="1" s="1"/>
  <c r="J9" i="1"/>
  <c r="C10" i="2"/>
  <c r="D10" i="2"/>
  <c r="E10" i="2"/>
  <c r="F10" i="2"/>
  <c r="F19" i="2" s="1"/>
  <c r="I432" i="1"/>
  <c r="J10" i="1"/>
  <c r="G10" i="2" s="1"/>
  <c r="C11" i="2"/>
  <c r="C12" i="2"/>
  <c r="D12" i="2"/>
  <c r="E12" i="2"/>
  <c r="E19" i="2" s="1"/>
  <c r="F12" i="2"/>
  <c r="I433" i="1"/>
  <c r="J12" i="1" s="1"/>
  <c r="G12" i="2" s="1"/>
  <c r="C13" i="2"/>
  <c r="C19" i="2" s="1"/>
  <c r="D13" i="2"/>
  <c r="E13" i="2"/>
  <c r="F13" i="2"/>
  <c r="I434" i="1"/>
  <c r="J13" i="1"/>
  <c r="G13" i="2" s="1"/>
  <c r="C14" i="2"/>
  <c r="D14" i="2"/>
  <c r="D19" i="2" s="1"/>
  <c r="D16" i="2"/>
  <c r="D17" i="2"/>
  <c r="D18" i="2"/>
  <c r="E14" i="2"/>
  <c r="F14" i="2"/>
  <c r="I435" i="1"/>
  <c r="J14" i="1" s="1"/>
  <c r="G14" i="2" s="1"/>
  <c r="F15" i="2"/>
  <c r="C16" i="2"/>
  <c r="E16" i="2"/>
  <c r="F16" i="2"/>
  <c r="C17" i="2"/>
  <c r="E17" i="2"/>
  <c r="F17" i="2"/>
  <c r="I436" i="1"/>
  <c r="J17" i="1"/>
  <c r="G17" i="2" s="1"/>
  <c r="C18" i="2"/>
  <c r="E18" i="2"/>
  <c r="F18" i="2"/>
  <c r="I437" i="1"/>
  <c r="J18" i="1"/>
  <c r="G18" i="2" s="1"/>
  <c r="C22" i="2"/>
  <c r="C32" i="2" s="1"/>
  <c r="D22" i="2"/>
  <c r="D32" i="2" s="1"/>
  <c r="E22" i="2"/>
  <c r="F22" i="2"/>
  <c r="F32" i="2" s="1"/>
  <c r="I440" i="1"/>
  <c r="J23" i="1" s="1"/>
  <c r="C23" i="2"/>
  <c r="D23" i="2"/>
  <c r="E23" i="2"/>
  <c r="E32" i="2" s="1"/>
  <c r="F23" i="2"/>
  <c r="F24" i="2"/>
  <c r="F25" i="2"/>
  <c r="F26" i="2"/>
  <c r="F27" i="2"/>
  <c r="F28" i="2"/>
  <c r="F29" i="2"/>
  <c r="F30" i="2"/>
  <c r="F31" i="2"/>
  <c r="I441" i="1"/>
  <c r="J24" i="1"/>
  <c r="G23" i="2"/>
  <c r="C24" i="2"/>
  <c r="C25" i="2"/>
  <c r="C26" i="2"/>
  <c r="C27" i="2"/>
  <c r="C28" i="2"/>
  <c r="C29" i="2"/>
  <c r="C30" i="2"/>
  <c r="C31" i="2"/>
  <c r="D24" i="2"/>
  <c r="E24" i="2"/>
  <c r="I442" i="1"/>
  <c r="J25" i="1" s="1"/>
  <c r="G24" i="2" s="1"/>
  <c r="D25" i="2"/>
  <c r="E25" i="2"/>
  <c r="D28" i="2"/>
  <c r="E28" i="2"/>
  <c r="D29" i="2"/>
  <c r="E29" i="2"/>
  <c r="D30" i="2"/>
  <c r="E30" i="2"/>
  <c r="D31" i="2"/>
  <c r="E31" i="2"/>
  <c r="I443" i="1"/>
  <c r="J32" i="1" s="1"/>
  <c r="G31" i="2" s="1"/>
  <c r="C34" i="2"/>
  <c r="D34" i="2"/>
  <c r="D42" i="2" s="1"/>
  <c r="D43" i="2" s="1"/>
  <c r="E34" i="2"/>
  <c r="E42" i="2" s="1"/>
  <c r="F34" i="2"/>
  <c r="C35" i="2"/>
  <c r="D35" i="2"/>
  <c r="E35" i="2"/>
  <c r="F35" i="2"/>
  <c r="F42" i="2" s="1"/>
  <c r="F43" i="2" s="1"/>
  <c r="C36" i="2"/>
  <c r="D36" i="2"/>
  <c r="E36" i="2"/>
  <c r="F36" i="2"/>
  <c r="I446" i="1"/>
  <c r="J37" i="1"/>
  <c r="G36" i="2"/>
  <c r="C37" i="2"/>
  <c r="D37" i="2"/>
  <c r="E37" i="2"/>
  <c r="E38" i="2"/>
  <c r="E40" i="2"/>
  <c r="E41" i="2"/>
  <c r="F37" i="2"/>
  <c r="I447" i="1"/>
  <c r="J38" i="1" s="1"/>
  <c r="C38" i="2"/>
  <c r="D38" i="2"/>
  <c r="F38" i="2"/>
  <c r="I448" i="1"/>
  <c r="J40" i="1"/>
  <c r="G39" i="2"/>
  <c r="C40" i="2"/>
  <c r="C42" i="2" s="1"/>
  <c r="D40" i="2"/>
  <c r="F40" i="2"/>
  <c r="I449" i="1"/>
  <c r="J41" i="1"/>
  <c r="G40" i="2" s="1"/>
  <c r="C41" i="2"/>
  <c r="D41" i="2"/>
  <c r="F41" i="2"/>
  <c r="D48" i="2"/>
  <c r="D55" i="2" s="1"/>
  <c r="D96" i="2" s="1"/>
  <c r="F51" i="2"/>
  <c r="F53" i="2"/>
  <c r="F54" i="2"/>
  <c r="C49" i="2"/>
  <c r="E49" i="2"/>
  <c r="E54" i="2" s="1"/>
  <c r="E55" i="2" s="1"/>
  <c r="E50" i="2"/>
  <c r="C51" i="2"/>
  <c r="D51" i="2"/>
  <c r="D54" i="2" s="1"/>
  <c r="D52" i="2"/>
  <c r="D53" i="2"/>
  <c r="E51" i="2"/>
  <c r="C53" i="2"/>
  <c r="E53" i="2"/>
  <c r="C58" i="2"/>
  <c r="C62" i="2" s="1"/>
  <c r="C59" i="2"/>
  <c r="C61" i="2"/>
  <c r="D61" i="2"/>
  <c r="E61" i="2"/>
  <c r="E62" i="2"/>
  <c r="E71" i="2"/>
  <c r="E72" i="2"/>
  <c r="E68" i="2"/>
  <c r="E69" i="2"/>
  <c r="E70" i="2"/>
  <c r="E73" i="2" s="1"/>
  <c r="F61" i="2"/>
  <c r="F62" i="2" s="1"/>
  <c r="F73" i="2" s="1"/>
  <c r="G61" i="2"/>
  <c r="G62" i="2" s="1"/>
  <c r="G73" i="2" s="1"/>
  <c r="G69" i="2"/>
  <c r="G70" i="2"/>
  <c r="D62" i="2"/>
  <c r="C64" i="2"/>
  <c r="F64" i="2"/>
  <c r="C65" i="2"/>
  <c r="C70" i="2" s="1"/>
  <c r="F65" i="2"/>
  <c r="C66" i="2"/>
  <c r="C67" i="2"/>
  <c r="C68" i="2"/>
  <c r="F68" i="2"/>
  <c r="F69" i="2"/>
  <c r="F70" i="2"/>
  <c r="C69" i="2"/>
  <c r="D69" i="2"/>
  <c r="D70" i="2"/>
  <c r="D73" i="2" s="1"/>
  <c r="D71" i="2"/>
  <c r="C71" i="2"/>
  <c r="C72" i="2"/>
  <c r="D77" i="2"/>
  <c r="D83" i="2" s="1"/>
  <c r="E77" i="2"/>
  <c r="F77" i="2"/>
  <c r="F83" i="2" s="1"/>
  <c r="C79" i="2"/>
  <c r="E79" i="2"/>
  <c r="F79" i="2"/>
  <c r="C80" i="2"/>
  <c r="C81" i="2"/>
  <c r="C82" i="2"/>
  <c r="D80" i="2"/>
  <c r="E80" i="2"/>
  <c r="F80" i="2"/>
  <c r="D81" i="2"/>
  <c r="E81" i="2"/>
  <c r="E83" i="2" s="1"/>
  <c r="F81" i="2"/>
  <c r="C85" i="2"/>
  <c r="C95" i="2" s="1"/>
  <c r="F85" i="2"/>
  <c r="F95" i="2" s="1"/>
  <c r="F86" i="2"/>
  <c r="F88" i="2"/>
  <c r="F89" i="2"/>
  <c r="F91" i="2"/>
  <c r="F92" i="2"/>
  <c r="F93" i="2"/>
  <c r="F94" i="2"/>
  <c r="C86" i="2"/>
  <c r="D88" i="2"/>
  <c r="D95" i="2" s="1"/>
  <c r="E88" i="2"/>
  <c r="G88" i="2"/>
  <c r="C89" i="2"/>
  <c r="D89" i="2"/>
  <c r="D90" i="2"/>
  <c r="D91" i="2"/>
  <c r="D92" i="2"/>
  <c r="D93" i="2"/>
  <c r="D94" i="2"/>
  <c r="E89" i="2"/>
  <c r="G89" i="2"/>
  <c r="G95" i="2" s="1"/>
  <c r="C90" i="2"/>
  <c r="E90" i="2"/>
  <c r="G90" i="2"/>
  <c r="C91" i="2"/>
  <c r="E91" i="2"/>
  <c r="C92" i="2"/>
  <c r="E92" i="2"/>
  <c r="C93" i="2"/>
  <c r="E93" i="2"/>
  <c r="E95" i="2" s="1"/>
  <c r="C94" i="2"/>
  <c r="E94" i="2"/>
  <c r="C103" i="2"/>
  <c r="C106" i="2"/>
  <c r="D107" i="2"/>
  <c r="F107" i="2"/>
  <c r="F137" i="2" s="1"/>
  <c r="G107" i="2"/>
  <c r="E112" i="2"/>
  <c r="E113" i="2"/>
  <c r="C114" i="2"/>
  <c r="E115" i="2"/>
  <c r="E116" i="2"/>
  <c r="E117" i="2"/>
  <c r="F120" i="2"/>
  <c r="G120" i="2"/>
  <c r="F126" i="2"/>
  <c r="D126" i="2"/>
  <c r="D136" i="2" s="1"/>
  <c r="E126" i="2"/>
  <c r="E127" i="2"/>
  <c r="E134" i="2"/>
  <c r="E135" i="2"/>
  <c r="K411" i="1"/>
  <c r="K419" i="1"/>
  <c r="K426" i="1" s="1"/>
  <c r="G126" i="2" s="1"/>
  <c r="G136" i="2" s="1"/>
  <c r="G137" i="2" s="1"/>
  <c r="K425" i="1"/>
  <c r="L255" i="1"/>
  <c r="C127" i="2"/>
  <c r="L256" i="1"/>
  <c r="C128" i="2"/>
  <c r="L257" i="1"/>
  <c r="C129" i="2" s="1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G149" i="2" s="1"/>
  <c r="F149" i="2"/>
  <c r="B150" i="2"/>
  <c r="C150" i="2"/>
  <c r="D150" i="2"/>
  <c r="E150" i="2"/>
  <c r="F150" i="2"/>
  <c r="G150" i="2"/>
  <c r="B151" i="2"/>
  <c r="C151" i="2"/>
  <c r="D151" i="2"/>
  <c r="E151" i="2"/>
  <c r="G151" i="2" s="1"/>
  <c r="F151" i="2"/>
  <c r="B152" i="2"/>
  <c r="C152" i="2"/>
  <c r="D152" i="2"/>
  <c r="E152" i="2"/>
  <c r="F152" i="2"/>
  <c r="G152" i="2"/>
  <c r="F490" i="1"/>
  <c r="B153" i="2" s="1"/>
  <c r="C153" i="2"/>
  <c r="D153" i="2"/>
  <c r="G490" i="1"/>
  <c r="H490" i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G156" i="2" s="1"/>
  <c r="D156" i="2"/>
  <c r="E156" i="2"/>
  <c r="G493" i="1"/>
  <c r="C156" i="2" s="1"/>
  <c r="H493" i="1"/>
  <c r="I493" i="1"/>
  <c r="J493" i="1"/>
  <c r="F156" i="2" s="1"/>
  <c r="F19" i="1"/>
  <c r="G607" i="1"/>
  <c r="G19" i="1"/>
  <c r="H19" i="1"/>
  <c r="G609" i="1"/>
  <c r="I19" i="1"/>
  <c r="G610" i="1" s="1"/>
  <c r="F33" i="1"/>
  <c r="G33" i="1"/>
  <c r="G44" i="1"/>
  <c r="H608" i="1" s="1"/>
  <c r="H33" i="1"/>
  <c r="I33" i="1"/>
  <c r="F43" i="1"/>
  <c r="G612" i="1" s="1"/>
  <c r="J612" i="1" s="1"/>
  <c r="F44" i="1"/>
  <c r="H607" i="1" s="1"/>
  <c r="G43" i="1"/>
  <c r="H43" i="1"/>
  <c r="G614" i="1" s="1"/>
  <c r="J614" i="1" s="1"/>
  <c r="H44" i="1"/>
  <c r="H609" i="1" s="1"/>
  <c r="J609" i="1" s="1"/>
  <c r="I43" i="1"/>
  <c r="G615" i="1" s="1"/>
  <c r="J615" i="1" s="1"/>
  <c r="I44" i="1"/>
  <c r="H610" i="1" s="1"/>
  <c r="F169" i="1"/>
  <c r="F184" i="1"/>
  <c r="I169" i="1"/>
  <c r="I184" i="1" s="1"/>
  <c r="F175" i="1"/>
  <c r="G175" i="1"/>
  <c r="H175" i="1"/>
  <c r="H184" i="1"/>
  <c r="I175" i="1"/>
  <c r="J175" i="1"/>
  <c r="G635" i="1" s="1"/>
  <c r="J635" i="1" s="1"/>
  <c r="J184" i="1"/>
  <c r="F180" i="1"/>
  <c r="G180" i="1"/>
  <c r="H180" i="1"/>
  <c r="I180" i="1"/>
  <c r="G184" i="1"/>
  <c r="H203" i="1"/>
  <c r="H249" i="1" s="1"/>
  <c r="H263" i="1" s="1"/>
  <c r="J221" i="1"/>
  <c r="F239" i="1"/>
  <c r="G239" i="1"/>
  <c r="H239" i="1"/>
  <c r="I239" i="1"/>
  <c r="J239" i="1"/>
  <c r="K239" i="1"/>
  <c r="F248" i="1"/>
  <c r="L248" i="1" s="1"/>
  <c r="G248" i="1"/>
  <c r="I248" i="1"/>
  <c r="J248" i="1"/>
  <c r="K248" i="1"/>
  <c r="L262" i="1"/>
  <c r="H301" i="1"/>
  <c r="I301" i="1"/>
  <c r="F320" i="1"/>
  <c r="G320" i="1"/>
  <c r="H320" i="1"/>
  <c r="I320" i="1"/>
  <c r="F329" i="1"/>
  <c r="G329" i="1"/>
  <c r="L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I393" i="1"/>
  <c r="F399" i="1"/>
  <c r="G399" i="1"/>
  <c r="H399" i="1"/>
  <c r="I399" i="1"/>
  <c r="H400" i="1"/>
  <c r="I400" i="1"/>
  <c r="L405" i="1"/>
  <c r="L411" i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J426" i="1" s="1"/>
  <c r="L413" i="1"/>
  <c r="L419" i="1"/>
  <c r="L414" i="1"/>
  <c r="L415" i="1"/>
  <c r="L416" i="1"/>
  <c r="L417" i="1"/>
  <c r="L418" i="1"/>
  <c r="F419" i="1"/>
  <c r="G419" i="1"/>
  <c r="H419" i="1"/>
  <c r="I419" i="1"/>
  <c r="J419" i="1"/>
  <c r="L421" i="1"/>
  <c r="L425" i="1"/>
  <c r="L422" i="1"/>
  <c r="L423" i="1"/>
  <c r="L424" i="1"/>
  <c r="F425" i="1"/>
  <c r="G425" i="1"/>
  <c r="H425" i="1"/>
  <c r="I425" i="1"/>
  <c r="J425" i="1"/>
  <c r="H426" i="1"/>
  <c r="I426" i="1"/>
  <c r="F438" i="1"/>
  <c r="G629" i="1"/>
  <c r="G438" i="1"/>
  <c r="H438" i="1"/>
  <c r="G631" i="1"/>
  <c r="F444" i="1"/>
  <c r="F451" i="1" s="1"/>
  <c r="H629" i="1" s="1"/>
  <c r="G444" i="1"/>
  <c r="H444" i="1"/>
  <c r="H451" i="1" s="1"/>
  <c r="H631" i="1" s="1"/>
  <c r="J631" i="1" s="1"/>
  <c r="I444" i="1"/>
  <c r="F450" i="1"/>
  <c r="G450" i="1"/>
  <c r="G451" i="1" s="1"/>
  <c r="H630" i="1" s="1"/>
  <c r="H450" i="1"/>
  <c r="F460" i="1"/>
  <c r="F466" i="1" s="1"/>
  <c r="H612" i="1" s="1"/>
  <c r="G460" i="1"/>
  <c r="G466" i="1" s="1"/>
  <c r="H613" i="1" s="1"/>
  <c r="J613" i="1" s="1"/>
  <c r="H460" i="1"/>
  <c r="H466" i="1" s="1"/>
  <c r="H614" i="1" s="1"/>
  <c r="I460" i="1"/>
  <c r="J460" i="1"/>
  <c r="J466" i="1"/>
  <c r="H616" i="1"/>
  <c r="F464" i="1"/>
  <c r="G464" i="1"/>
  <c r="H464" i="1"/>
  <c r="I464" i="1"/>
  <c r="I466" i="1"/>
  <c r="H615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G514" i="1"/>
  <c r="H514" i="1"/>
  <c r="I514" i="1"/>
  <c r="J514" i="1"/>
  <c r="F519" i="1"/>
  <c r="H519" i="1"/>
  <c r="J519" i="1"/>
  <c r="J535" i="1" s="1"/>
  <c r="K519" i="1"/>
  <c r="F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48" i="1"/>
  <c r="L550" i="1" s="1"/>
  <c r="L549" i="1"/>
  <c r="F550" i="1"/>
  <c r="F561" i="1" s="1"/>
  <c r="G550" i="1"/>
  <c r="G561" i="1" s="1"/>
  <c r="H550" i="1"/>
  <c r="I550" i="1"/>
  <c r="J550" i="1"/>
  <c r="J561" i="1" s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I561" i="1" s="1"/>
  <c r="J560" i="1"/>
  <c r="K560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/>
  <c r="J588" i="1"/>
  <c r="H641" i="1" s="1"/>
  <c r="K592" i="1"/>
  <c r="K593" i="1"/>
  <c r="K595" i="1" s="1"/>
  <c r="G638" i="1" s="1"/>
  <c r="K594" i="1"/>
  <c r="I595" i="1"/>
  <c r="J595" i="1"/>
  <c r="F604" i="1"/>
  <c r="G604" i="1"/>
  <c r="H604" i="1"/>
  <c r="J604" i="1"/>
  <c r="K604" i="1"/>
  <c r="G608" i="1"/>
  <c r="G613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G633" i="1"/>
  <c r="J633" i="1" s="1"/>
  <c r="G634" i="1"/>
  <c r="H634" i="1"/>
  <c r="J634" i="1"/>
  <c r="G642" i="1"/>
  <c r="H642" i="1"/>
  <c r="J642" i="1"/>
  <c r="G643" i="1"/>
  <c r="J643" i="1" s="1"/>
  <c r="H643" i="1"/>
  <c r="G644" i="1"/>
  <c r="H644" i="1"/>
  <c r="J644" i="1"/>
  <c r="G645" i="1"/>
  <c r="H645" i="1"/>
  <c r="J645" i="1"/>
  <c r="H651" i="1"/>
  <c r="L354" i="1"/>
  <c r="C54" i="2"/>
  <c r="G9" i="2"/>
  <c r="C27" i="10"/>
  <c r="G625" i="1"/>
  <c r="J625" i="1"/>
  <c r="D119" i="2"/>
  <c r="D120" i="2"/>
  <c r="E105" i="2"/>
  <c r="F651" i="1"/>
  <c r="I651" i="1"/>
  <c r="L218" i="1"/>
  <c r="G652" i="1"/>
  <c r="G640" i="1"/>
  <c r="J640" i="1" s="1"/>
  <c r="H535" i="1"/>
  <c r="L534" i="1"/>
  <c r="H595" i="1"/>
  <c r="G539" i="1"/>
  <c r="L561" i="1" l="1"/>
  <c r="K541" i="1"/>
  <c r="C38" i="10"/>
  <c r="G535" i="1"/>
  <c r="E96" i="2"/>
  <c r="C17" i="10"/>
  <c r="C112" i="2"/>
  <c r="E8" i="13"/>
  <c r="G33" i="13"/>
  <c r="H540" i="1"/>
  <c r="L524" i="1"/>
  <c r="F539" i="1"/>
  <c r="L514" i="1"/>
  <c r="G19" i="2"/>
  <c r="J629" i="1"/>
  <c r="C43" i="2"/>
  <c r="C39" i="10"/>
  <c r="D12" i="13"/>
  <c r="C12" i="13" s="1"/>
  <c r="C18" i="10"/>
  <c r="C113" i="2"/>
  <c r="G249" i="1"/>
  <c r="G263" i="1" s="1"/>
  <c r="F96" i="2"/>
  <c r="G96" i="2"/>
  <c r="J639" i="1"/>
  <c r="J610" i="1"/>
  <c r="E43" i="2"/>
  <c r="G621" i="1"/>
  <c r="J621" i="1" s="1"/>
  <c r="G636" i="1"/>
  <c r="C25" i="13"/>
  <c r="H33" i="13"/>
  <c r="F653" i="1"/>
  <c r="D137" i="2"/>
  <c r="J19" i="1"/>
  <c r="G611" i="1" s="1"/>
  <c r="H654" i="1"/>
  <c r="C110" i="2"/>
  <c r="C15" i="10"/>
  <c r="D6" i="13"/>
  <c r="C6" i="13" s="1"/>
  <c r="I451" i="1"/>
  <c r="H632" i="1" s="1"/>
  <c r="J632" i="1"/>
  <c r="I542" i="1"/>
  <c r="H652" i="1"/>
  <c r="G641" i="1"/>
  <c r="J641" i="1" s="1"/>
  <c r="C96" i="2"/>
  <c r="C130" i="2"/>
  <c r="C133" i="2" s="1"/>
  <c r="L400" i="1"/>
  <c r="A40" i="12"/>
  <c r="E16" i="13"/>
  <c r="C16" i="13" s="1"/>
  <c r="C117" i="2"/>
  <c r="J630" i="1"/>
  <c r="G37" i="2"/>
  <c r="G42" i="2" s="1"/>
  <c r="G43" i="2" s="1"/>
  <c r="J43" i="1"/>
  <c r="J33" i="1"/>
  <c r="G22" i="2"/>
  <c r="G32" i="2" s="1"/>
  <c r="H542" i="1"/>
  <c r="H185" i="1"/>
  <c r="G619" i="1" s="1"/>
  <c r="J619" i="1" s="1"/>
  <c r="C111" i="2"/>
  <c r="C16" i="10"/>
  <c r="D7" i="13"/>
  <c r="C7" i="13" s="1"/>
  <c r="C73" i="2"/>
  <c r="G185" i="1"/>
  <c r="G618" i="1" s="1"/>
  <c r="J618" i="1" s="1"/>
  <c r="C101" i="2"/>
  <c r="E110" i="2"/>
  <c r="J608" i="1"/>
  <c r="G153" i="2"/>
  <c r="F104" i="1"/>
  <c r="F185" i="1" s="1"/>
  <c r="G617" i="1" s="1"/>
  <c r="J617" i="1" s="1"/>
  <c r="K493" i="1"/>
  <c r="L210" i="1"/>
  <c r="C13" i="10" s="1"/>
  <c r="G282" i="1"/>
  <c r="G330" i="1" s="1"/>
  <c r="G344" i="1" s="1"/>
  <c r="D15" i="13"/>
  <c r="C15" i="13" s="1"/>
  <c r="F221" i="1"/>
  <c r="F249" i="1" s="1"/>
  <c r="F263" i="1" s="1"/>
  <c r="F652" i="1"/>
  <c r="I652" i="1" s="1"/>
  <c r="K203" i="1"/>
  <c r="C18" i="12"/>
  <c r="J607" i="1"/>
  <c r="I361" i="1"/>
  <c r="H624" i="1" s="1"/>
  <c r="J624" i="1" s="1"/>
  <c r="J203" i="1"/>
  <c r="J249" i="1" s="1"/>
  <c r="C77" i="2"/>
  <c r="C83" i="2" s="1"/>
  <c r="C25" i="10"/>
  <c r="L247" i="1"/>
  <c r="L288" i="1"/>
  <c r="L301" i="1" s="1"/>
  <c r="L268" i="1"/>
  <c r="K221" i="1"/>
  <c r="H637" i="1"/>
  <c r="J637" i="1" s="1"/>
  <c r="K490" i="1"/>
  <c r="E123" i="2"/>
  <c r="E136" i="2" s="1"/>
  <c r="L517" i="1"/>
  <c r="B18" i="12"/>
  <c r="A22" i="12" s="1"/>
  <c r="C36" i="12"/>
  <c r="L602" i="1"/>
  <c r="G653" i="1" s="1"/>
  <c r="L199" i="1"/>
  <c r="I450" i="1"/>
  <c r="L374" i="1"/>
  <c r="G626" i="1" s="1"/>
  <c r="J626" i="1" s="1"/>
  <c r="C35" i="10"/>
  <c r="L296" i="1"/>
  <c r="L190" i="1"/>
  <c r="F31" i="13"/>
  <c r="C21" i="10"/>
  <c r="B9" i="12"/>
  <c r="A13" i="12" s="1"/>
  <c r="F514" i="1"/>
  <c r="F535" i="1" s="1"/>
  <c r="C116" i="2"/>
  <c r="C8" i="13" l="1"/>
  <c r="E33" i="13"/>
  <c r="D35" i="13" s="1"/>
  <c r="K249" i="1"/>
  <c r="K263" i="1" s="1"/>
  <c r="L221" i="1"/>
  <c r="G650" i="1" s="1"/>
  <c r="G654" i="1" s="1"/>
  <c r="E102" i="2"/>
  <c r="C11" i="10"/>
  <c r="C102" i="2"/>
  <c r="C107" i="2" s="1"/>
  <c r="C137" i="2" s="1"/>
  <c r="L203" i="1"/>
  <c r="G616" i="1"/>
  <c r="J44" i="1"/>
  <c r="H611" i="1" s="1"/>
  <c r="C19" i="10"/>
  <c r="E114" i="2"/>
  <c r="L519" i="1"/>
  <c r="G540" i="1"/>
  <c r="G627" i="1"/>
  <c r="J627" i="1" s="1"/>
  <c r="H636" i="1"/>
  <c r="J636" i="1" s="1"/>
  <c r="C36" i="10"/>
  <c r="C41" i="10" s="1"/>
  <c r="E101" i="2"/>
  <c r="E107" i="2" s="1"/>
  <c r="L282" i="1"/>
  <c r="H662" i="1"/>
  <c r="H657" i="1"/>
  <c r="C122" i="2"/>
  <c r="C136" i="2" s="1"/>
  <c r="C29" i="10"/>
  <c r="F22" i="13"/>
  <c r="J611" i="1"/>
  <c r="L535" i="1"/>
  <c r="C20" i="10"/>
  <c r="D14" i="13"/>
  <c r="C14" i="13" s="1"/>
  <c r="C115" i="2"/>
  <c r="C120" i="2" s="1"/>
  <c r="K539" i="1"/>
  <c r="F542" i="1"/>
  <c r="C104" i="2"/>
  <c r="L604" i="1"/>
  <c r="E120" i="2"/>
  <c r="H638" i="1"/>
  <c r="J638" i="1" s="1"/>
  <c r="J263" i="1"/>
  <c r="C10" i="10"/>
  <c r="D5" i="13"/>
  <c r="I653" i="1"/>
  <c r="D37" i="10" l="1"/>
  <c r="D40" i="10"/>
  <c r="D38" i="10"/>
  <c r="D39" i="10"/>
  <c r="D35" i="10"/>
  <c r="D41" i="10" s="1"/>
  <c r="C22" i="13"/>
  <c r="F33" i="13"/>
  <c r="G542" i="1"/>
  <c r="K540" i="1"/>
  <c r="K542" i="1" s="1"/>
  <c r="L249" i="1"/>
  <c r="L263" i="1" s="1"/>
  <c r="G622" i="1" s="1"/>
  <c r="J622" i="1" s="1"/>
  <c r="F650" i="1"/>
  <c r="G657" i="1"/>
  <c r="G662" i="1"/>
  <c r="C5" i="10" s="1"/>
  <c r="D19" i="10"/>
  <c r="D31" i="13"/>
  <c r="C31" i="13" s="1"/>
  <c r="L330" i="1"/>
  <c r="L344" i="1" s="1"/>
  <c r="G623" i="1" s="1"/>
  <c r="J623" i="1" s="1"/>
  <c r="D20" i="10"/>
  <c r="J616" i="1"/>
  <c r="C5" i="13"/>
  <c r="C28" i="10"/>
  <c r="E137" i="2"/>
  <c r="D36" i="10"/>
  <c r="D22" i="10" l="1"/>
  <c r="D27" i="10"/>
  <c r="C30" i="10"/>
  <c r="D23" i="10"/>
  <c r="D26" i="10"/>
  <c r="D24" i="10"/>
  <c r="D12" i="10"/>
  <c r="D13" i="10"/>
  <c r="D18" i="10"/>
  <c r="D21" i="10"/>
  <c r="D25" i="10"/>
  <c r="D15" i="10"/>
  <c r="D16" i="10"/>
  <c r="D17" i="10"/>
  <c r="I650" i="1"/>
  <c r="I654" i="1" s="1"/>
  <c r="F654" i="1"/>
  <c r="D33" i="13"/>
  <c r="D36" i="13" s="1"/>
  <c r="H646" i="1"/>
  <c r="D11" i="10"/>
  <c r="D10" i="10"/>
  <c r="D28" i="10" l="1"/>
  <c r="I657" i="1"/>
  <c r="I662" i="1"/>
  <c r="C7" i="10" s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11B06EC-5C6E-4247-BAA7-17888EFC4995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19AD7A7-87DC-4FDA-B5B6-54B0D424C4D3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6D198E6-BBA2-49DF-A2D8-1EA40655B373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F90445A-CB5D-4021-B37C-DDB0655518B1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E074B60D-3E6E-4F1C-9C5D-BBBC2F4F5ACB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F83BD5D-6B24-4A12-A3E2-3815421ECA0A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7EB534AC-2DEC-4196-A266-5C3270E6B3F4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E5B98347-2296-4A88-B2AD-FABE9B21EFDA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89853A7C-8CF2-4555-8445-3C5A3BEDAD1E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C90C0E85-1F3B-4418-A0DD-8FB388B448EF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17C176D4-BE73-41E4-B51C-68C18C03B3AD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688A6C4-C535-4BD4-9371-4F1342AA5C2B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<sst xmlns="http://schemas.openxmlformats.org/spreadsheetml/2006/main" count="3866" uniqueCount="903">
  <si>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</si>
  <si>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</si>
  <si>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</si>
  <si>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</si>
  <si>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</si>
  <si>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</si>
  <si>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</si>
  <si>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</si>
  <si>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</si>
  <si>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</si>
  <si>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</si>
  <si>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</si>
  <si>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</si>
  <si>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</si>
  <si>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</si>
  <si>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</si>
  <si>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</si>
  <si>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</si>
  <si>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</si>
  <si>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</si>
  <si>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</si>
  <si>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</si>
  <si>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</si>
  <si>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</si>
  <si>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</si>
  <si>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</si>
  <si>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</si>
  <si>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</si>
  <si>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</si>
  <si>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</si>
  <si>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</si>
  <si>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</si>
  <si>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</si>
  <si>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</si>
  <si>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</si>
  <si>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</si>
  <si>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</si>
  <si>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</si>
  <si>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</si>
  <si>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</si>
  <si>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</si>
  <si>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</si>
  <si>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</si>
  <si>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</si>
  <si>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</si>
  <si>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</si>
  <si>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</si>
  <si>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</si>
  <si>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</si>
  <si>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</si>
  <si>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</si>
  <si>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</si>
  <si>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</si>
  <si>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</si>
  <si>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</si>
  <si>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</si>
  <si>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</si>
  <si>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</si>
  <si>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</si>
  <si>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</si>
  <si>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</si>
  <si>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</si>
  <si>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</si>
  <si>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</si>
  <si>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</si>
  <si>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</si>
  <si>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</si>
  <si>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</si>
  <si>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</si>
  <si>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</si>
  <si>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</si>
  <si>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</si>
  <si>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</si>
  <si>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</si>
  <si>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</si>
  <si>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</si>
  <si>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</si>
  <si>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</si>
  <si>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</si>
  <si>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</si>
  <si>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</si>
  <si>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</si>
  <si>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</si>
  <si>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</si>
  <si>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</si>
  <si>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</si>
  <si>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</si>
  <si>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</si>
  <si>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</si>
  <si>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</si>
  <si>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</si>
  <si>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</si>
  <si>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</si>
  <si>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</si>
  <si>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</si>
  <si>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</si>
  <si>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</si>
  <si>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</si>
  <si>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</si>
  <si>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</si>
  <si>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</si>
  <si>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</si>
  <si>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</si>
  <si>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</si>
  <si>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</si>
  <si>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</si>
  <si>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</si>
  <si>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</si>
  <si>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</si>
  <si>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</si>
  <si>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</si>
  <si>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</si>
  <si>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</si>
  <si>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</si>
  <si>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</si>
  <si>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</si>
  <si>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</si>
  <si>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</si>
  <si>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</si>
  <si>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</si>
  <si>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</si>
  <si>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</si>
  <si>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</si>
  <si>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</si>
  <si>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</si>
  <si>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</si>
  <si>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</si>
  <si>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</si>
  <si>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</si>
  <si>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</si>
  <si>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</si>
  <si>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</si>
  <si>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</si>
  <si>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</si>
  <si>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</si>
  <si>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</si>
  <si>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</si>
  <si>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</si>
  <si>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</si>
  <si>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</si>
  <si>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</si>
  <si>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</si>
  <si>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</si>
  <si>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</si>
  <si>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</si>
  <si>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</si>
  <si>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</si>
  <si>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</si>
  <si>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</si>
  <si>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</si>
  <si>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</si>
  <si>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</si>
  <si>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</si>
  <si>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</si>
  <si>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</si>
  <si>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</si>
  <si>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</si>
  <si>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</si>
  <si>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</si>
  <si>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</si>
  <si>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</si>
  <si>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</si>
  <si>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</si>
  <si>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</si>
  <si>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</si>
  <si>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</si>
  <si>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</si>
  <si>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</si>
  <si>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</si>
  <si>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</si>
  <si>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</si>
  <si>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</si>
  <si>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</si>
  <si>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</si>
  <si>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</si>
  <si>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</si>
  <si>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</si>
  <si>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</si>
  <si>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</si>
  <si>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</si>
  <si>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</si>
  <si>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</si>
  <si>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</si>
  <si>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</si>
  <si>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</si>
  <si>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</si>
  <si>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</si>
  <si>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</si>
  <si>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</si>
  <si>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</si>
  <si>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</si>
  <si>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</si>
  <si>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</si>
  <si>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</si>
  <si>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</si>
  <si>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</si>
  <si>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</si>
  <si>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</si>
  <si>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</si>
  <si>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</si>
  <si>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</si>
  <si>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</si>
  <si>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</si>
  <si>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</si>
  <si>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</si>
  <si>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</si>
  <si>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</si>
  <si>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</si>
  <si>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</si>
  <si>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</si>
  <si>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</si>
  <si>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</si>
  <si>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</si>
  <si>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</si>
  <si>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</si>
  <si>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</si>
  <si>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</si>
  <si>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</si>
  <si>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</si>
  <si>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</si>
  <si>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</si>
  <si>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</si>
  <si>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</si>
  <si>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</si>
  <si>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</si>
  <si>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</si>
  <si>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</si>
  <si>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</si>
  <si>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</si>
  <si>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</si>
  <si>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</si>
  <si>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</si>
  <si>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</si>
  <si>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</si>
  <si>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</si>
  <si>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</si>
  <si>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</si>
  <si>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</si>
  <si>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</si>
  <si>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</si>
  <si>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</si>
  <si>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</si>
  <si>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</si>
  <si>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</si>
  <si>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</si>
  <si>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</si>
  <si>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</si>
  <si>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</si>
  <si>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</si>
  <si>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</si>
  <si>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</si>
  <si>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</si>
  <si>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</si>
  <si>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</si>
  <si>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</si>
  <si>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</si>
  <si>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</si>
  <si>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</si>
  <si>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</si>
  <si>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</si>
  <si>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</si>
  <si>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</si>
  <si>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</si>
  <si>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</si>
  <si>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</si>
  <si>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</si>
  <si>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</si>
  <si>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</si>
  <si>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</si>
  <si>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</si>
  <si>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</si>
  <si>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</si>
  <si>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</si>
  <si>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</si>
  <si>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</si>
  <si>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</si>
  <si>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</si>
  <si>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</si>
  <si>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</si>
  <si>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</si>
  <si>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</si>
  <si>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</si>
  <si>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</si>
  <si>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</si>
  <si>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</si>
  <si>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</si>
  <si>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</si>
  <si>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</si>
  <si>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</si>
  <si>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</si>
  <si>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</si>
  <si>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</si>
  <si>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</si>
  <si>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</si>
  <si>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</si>
  <si>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</si>
  <si>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</si>
  <si>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</si>
  <si>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</si>
  <si>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</si>
  <si>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</si>
  <si>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</si>
  <si>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</si>
  <si>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</si>
  <si>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</si>
  <si>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</si>
  <si>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</si>
  <si>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</si>
  <si>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</si>
  <si>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</si>
  <si>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</si>
  <si>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</si>
  <si>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</si>
  <si>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</si>
  <si>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</si>
  <si>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</si>
  <si>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</si>
  <si>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</si>
  <si>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</si>
  <si>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</si>
  <si>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</si>
  <si>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</si>
  <si>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</si>
  <si>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</si>
  <si>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</si>
  <si>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</si>
  <si>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</si>
  <si>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</si>
  <si>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</si>
  <si>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</si>
  <si>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</si>
  <si>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</si>
  <si>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</si>
  <si>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</si>
  <si>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</si>
  <si>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</si>
  <si>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</si>
  <si>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</si>
  <si>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</si>
  <si>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</si>
  <si>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</si>
  <si>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</si>
  <si>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</si>
  <si>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</si>
  <si>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</si>
  <si>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</si>
  <si>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</si>
  <si>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</si>
  <si>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</si>
  <si>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</si>
  <si>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</si>
  <si>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</si>
  <si>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</si>
  <si>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</si>
  <si>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</si>
  <si>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</si>
  <si>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</si>
  <si>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</si>
  <si>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</si>
  <si>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</si>
  <si>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</si>
  <si>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</si>
  <si>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</si>
  <si>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</si>
  <si>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</si>
  <si>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</si>
  <si>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</si>
  <si>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</si>
  <si>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</si>
  <si>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</si>
  <si>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</si>
  <si>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</si>
  <si>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</si>
  <si>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</si>
  <si>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</si>
  <si>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</si>
  <si>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</si>
  <si>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</si>
  <si>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</si>
  <si>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</si>
  <si>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</si>
  <si>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</si>
  <si>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</si>
  <si>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</si>
  <si>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</si>
  <si>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</si>
  <si>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</si>
  <si>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</si>
  <si>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</si>
  <si>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</si>
  <si>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</si>
  <si>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</si>
  <si>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</si>
  <si>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</si>
  <si>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</si>
  <si>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</si>
  <si>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</si>
  <si>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</si>
  <si>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</si>
  <si>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</si>
  <si>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</si>
  <si>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</si>
  <si>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</si>
  <si>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</si>
  <si>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</si>
  <si>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</si>
  <si>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</si>
  <si>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</si>
  <si>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</si>
  <si>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</si>
  <si>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</si>
  <si>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</si>
  <si>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</si>
  <si>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</si>
  <si>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</si>
  <si>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</si>
  <si>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</si>
  <si>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</si>
  <si>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</si>
  <si>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</si>
  <si>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</si>
  <si>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</si>
  <si>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</si>
  <si>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</si>
  <si>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</si>
  <si>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</si>
  <si>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</si>
  <si>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</si>
  <si>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</si>
  <si>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</si>
  <si>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</si>
  <si>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</si>
  <si>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</si>
  <si>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</si>
  <si>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</si>
  <si>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</si>
  <si>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</si>
  <si>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</si>
  <si>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</si>
  <si>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</si>
  <si>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</si>
  <si>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</si>
  <si>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</si>
  <si>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</si>
  <si>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</si>
  <si>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</si>
  <si>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</si>
  <si>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</si>
  <si>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</si>
  <si>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</si>
  <si>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</si>
  <si>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</si>
  <si>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</si>
  <si>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</si>
  <si>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</si>
  <si>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</si>
  <si>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</si>
  <si>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</si>
  <si>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</si>
  <si>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</si>
  <si>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</si>
  <si>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</si>
  <si>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</si>
  <si>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</si>
  <si>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</si>
  <si>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</si>
  <si>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</si>
  <si>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</si>
  <si>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</si>
  <si>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</si>
  <si>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</si>
  <si>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</si>
  <si>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</si>
  <si>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</si>
  <si>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</si>
  <si>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</si>
  <si>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</si>
  <si>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</si>
  <si>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</si>
  <si>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</si>
  <si>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</si>
  <si>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</si>
  <si>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</si>
  <si>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</si>
  <si>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</si>
  <si>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</si>
  <si>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</si>
  <si>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</si>
  <si>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</si>
  <si>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</si>
  <si>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</si>
  <si>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</si>
  <si>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</si>
  <si>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</si>
  <si>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</si>
  <si>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</si>
  <si>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</si>
  <si>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</si>
  <si>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</si>
  <si>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</si>
  <si>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</si>
  <si>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</si>
  <si>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</si>
  <si>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</si>
  <si>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</si>
  <si>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</si>
  <si>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</si>
  <si>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</si>
  <si>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</si>
  <si>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</si>
  <si>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</si>
  <si>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</si>
  <si>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</si>
  <si>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</si>
  <si>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</si>
  <si>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</si>
  <si>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</si>
  <si>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</si>
  <si>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</si>
  <si>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</si>
  <si>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</si>
  <si>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</si>
  <si>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</si>
  <si>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</si>
  <si>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</si>
  <si>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</si>
  <si>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</si>
  <si>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</si>
  <si>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</si>
  <si>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</si>
  <si>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</si>
  <si>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</si>
  <si>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</si>
  <si>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</si>
  <si>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</si>
  <si>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</si>
  <si>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</si>
  <si>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</si>
  <si>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</si>
  <si>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</si>
  <si>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</si>
  <si>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</si>
  <si>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</si>
  <si>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</si>
  <si>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</si>
  <si>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</si>
  <si>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</si>
  <si>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</si>
  <si>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</si>
  <si>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</si>
  <si>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</si>
  <si>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</si>
  <si>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</si>
  <si>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</si>
  <si>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</si>
  <si>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</si>
  <si>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</si>
  <si>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</si>
  <si>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</si>
  <si>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</si>
  <si>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</si>
  <si>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</si>
  <si>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</si>
  <si>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</si>
  <si>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</si>
  <si>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</si>
  <si>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</si>
  <si>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</si>
  <si>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</si>
  <si>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</si>
  <si>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</si>
  <si>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</si>
  <si>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</si>
  <si>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</si>
  <si>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</si>
  <si>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</si>
  <si>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</si>
  <si>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</si>
  <si>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</si>
  <si>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</si>
  <si>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</si>
  <si>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</si>
  <si>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</si>
  <si>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</si>
  <si>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</si>
  <si>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</si>
  <si>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</si>
  <si>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</si>
  <si>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</si>
  <si>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</si>
  <si>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</si>
  <si>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</si>
  <si>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</si>
  <si>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</si>
  <si>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</si>
  <si>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</si>
  <si>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</si>
  <si>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</si>
  <si>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</si>
  <si>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</si>
  <si>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</si>
  <si>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</si>
  <si>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</si>
  <si>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</si>
  <si>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</si>
  <si>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</si>
  <si>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</si>
  <si>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</si>
  <si>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</si>
  <si>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</si>
  <si>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</si>
  <si>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</si>
  <si>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</si>
  <si>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</si>
  <si>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</si>
  <si>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</si>
  <si>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</si>
  <si>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</si>
  <si>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</si>
  <si>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</si>
  <si>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</si>
  <si>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</si>
  <si>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</si>
  <si>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</si>
  <si>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</si>
  <si>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</si>
  <si>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</si>
  <si>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</si>
  <si>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</si>
  <si>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</si>
  <si>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</si>
  <si>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</si>
  <si>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</si>
  <si>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</si>
  <si>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</si>
  <si>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</si>
  <si>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</si>
  <si>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</si>
  <si>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</si>
  <si>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</si>
  <si>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</si>
  <si>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</si>
  <si>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</si>
  <si>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</si>
  <si>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</si>
  <si>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</si>
  <si>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</si>
  <si>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</si>
  <si>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</si>
  <si>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</si>
  <si>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</si>
  <si>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</si>
  <si>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</si>
  <si>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</si>
  <si>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</si>
  <si>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</si>
  <si>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</si>
  <si>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</si>
  <si>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</si>
  <si>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</si>
  <si>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</si>
  <si>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</si>
  <si>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</si>
  <si>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</si>
  <si>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</si>
  <si>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</si>
  <si>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</si>
  <si>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</si>
  <si>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</si>
  <si>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</si>
  <si>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</si>
  <si>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</si>
  <si>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</si>
  <si>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</si>
  <si>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</si>
  <si>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</si>
  <si>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</si>
  <si>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</si>
  <si>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</si>
  <si>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</si>
  <si>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</si>
  <si>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</si>
  <si>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</si>
  <si>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</si>
  <si>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</si>
  <si>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</si>
  <si>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</si>
  <si>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</si>
  <si>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</si>
  <si>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</si>
  <si>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</si>
  <si>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</si>
  <si>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</si>
  <si>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</si>
  <si>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</si>
  <si>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</si>
  <si>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</si>
  <si>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</si>
  <si>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</si>
  <si>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</si>
  <si>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</si>
  <si>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</si>
  <si>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</si>
  <si>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</si>
  <si>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</si>
  <si>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</si>
  <si>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</si>
  <si>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</si>
  <si>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</si>
  <si>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</si>
  <si>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</si>
  <si>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</si>
  <si>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</si>
  <si>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</si>
  <si>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</si>
  <si>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</si>
  <si>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</si>
  <si>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</si>
  <si>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</si>
  <si>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</si>
  <si>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</si>
  <si>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</si>
  <si>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</si>
  <si>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</si>
  <si>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</si>
  <si>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</si>
  <si>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</si>
  <si>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</si>
  <si>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</si>
  <si>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</si>
  <si>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</si>
  <si>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</si>
  <si>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</si>
  <si>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</si>
  <si>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</si>
  <si>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</si>
  <si>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</si>
  <si>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</si>
  <si>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</si>
  <si>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</si>
  <si>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</si>
  <si>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</si>
  <si>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</si>
  <si>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</si>
  <si>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</si>
  <si>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</si>
  <si>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</si>
  <si>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</si>
  <si>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</si>
  <si>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</si>
  <si>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</si>
  <si>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</si>
  <si>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</si>
  <si>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</si>
  <si>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</si>
  <si>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</si>
  <si>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</si>
  <si>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</si>
  <si>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</si>
  <si>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</si>
  <si>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</si>
  <si>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</si>
  <si>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</si>
  <si>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</si>
  <si>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</si>
  <si>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</si>
  <si>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</si>
  <si>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</si>
  <si>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</si>
  <si>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</si>
  <si>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</si>
  <si>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</si>
  <si>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</si>
  <si>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</si>
  <si>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</si>
  <si>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</si>
  <si>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</si>
  <si>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</si>
  <si>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</si>
  <si>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</si>
  <si>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</si>
  <si>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</si>
  <si>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</si>
  <si>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</si>
  <si>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</si>
  <si>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</si>
  <si>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</si>
  <si>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</si>
  <si>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</si>
  <si>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</si>
  <si>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</si>
  <si>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</si>
  <si>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</si>
  <si>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</si>
  <si>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</si>
  <si>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</si>
  <si>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</si>
  <si>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</si>
  <si>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</si>
  <si>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</si>
  <si>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</si>
  <si>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</si>
  <si>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</si>
  <si>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</si>
  <si>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</si>
  <si>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</si>
  <si>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</si>
  <si>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</si>
  <si>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</si>
  <si>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</si>
  <si>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</si>
  <si>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</si>
  <si>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</si>
  <si>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</si>
  <si>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</si>
  <si>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</si>
  <si>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</si>
  <si>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</si>
  <si>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</si>
  <si>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</si>
  <si>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</si>
  <si>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</si>
  <si>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</si>
  <si>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</si>
  <si>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</si>
  <si>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</si>
  <si>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</si>
  <si>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</si>
  <si>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</si>
  <si>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</si>
  <si>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</si>
  <si>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</si>
  <si>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</si>
  <si>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</si>
  <si>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</si>
  <si>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</si>
  <si>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</si>
  <si>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</si>
  <si>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</si>
  <si>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</si>
  <si>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</si>
  <si>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</si>
  <si>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</si>
  <si>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</si>
  <si>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</si>
  <si>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</si>
  <si>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</si>
  <si>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</si>
  <si>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</si>
  <si>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</si>
  <si>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</si>
  <si>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</si>
  <si>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</si>
  <si>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</si>
  <si>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</si>
  <si>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</si>
  <si>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</si>
  <si>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</si>
  <si>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</si>
  <si>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</si>
  <si>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</si>
  <si>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</si>
  <si>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</si>
  <si>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</si>
  <si>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</si>
  <si>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</si>
  <si>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</si>
  <si>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</si>
  <si>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</si>
  <si>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</si>
  <si>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</si>
  <si>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</si>
  <si>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</si>
  <si>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</si>
  <si>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</si>
  <si>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</si>
  <si>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</si>
  <si>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</si>
  <si>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</si>
  <si>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</si>
  <si>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</si>
  <si>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</si>
  <si>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</si>
  <si>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</si>
  <si>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</si>
  <si>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</si>
  <si>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</si>
  <si>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</si>
  <si>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</si>
  <si>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</si>
  <si>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</si>
  <si>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</si>
  <si>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</si>
  <si>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</si>
  <si>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Hooksett School District</t>
  </si>
  <si>
    <t>05/02</t>
  </si>
  <si>
    <t>07/22</t>
  </si>
  <si>
    <t>Impact Fees per FY2010 - MS-24 - Estimated Revenues</t>
  </si>
  <si>
    <t>Parent Paid - This amount represents the difference that familes pay for sending their students to Pembroke instead of</t>
  </si>
  <si>
    <t xml:space="preserve"> Manchester SD where the district has a contract with Hooksett SD</t>
  </si>
  <si>
    <t>1&amp; 2</t>
  </si>
  <si>
    <t>Salaries &amp; Benefits for Reg Inst &amp; Special Ed Inst.  - Contract with Manchester SD states that Hooklsett will be responsible</t>
  </si>
  <si>
    <t xml:space="preserve">  for educational staff aides for students attending Manchester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</si>
</sst>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" fillId="0" borderId="0" xfId="0" applyNumberFormat="1" applyFont="1" applyBorder="1" applyAlignment="1" applyProtection="1">
      <alignment horizontal="left"/>
      <protection locked="0"/>
    </xf>
    <xf numFmtId="49" fontId="1" fillId="0" borderId="10" xfId="0" applyNumberFormat="1" applyFont="1" applyBorder="1" applyAlignment="1" applyProtection="1">
      <alignment horizontal="left"/>
      <protection locked="0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07D-2CEF-4535-801F-DA7C467CF69B}">
  <sheetPr transitionEvaluation="1" transitionEntry="1" codeName="Sheet1">
    <tabColor indexed="56"/>
  </sheetPr>
  <dimension ref="A1:AQ666"/>
  <sheetViews>
    <sheetView tabSelected="1" zoomScaleNormal="10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261</v>
      </c>
      <c r="C2" s="21">
        <v>261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1241804.78</v>
      </c>
      <c r="G9" s="18"/>
      <c r="H9" s="18"/>
      <c r="I9" s="18"/>
      <c r="J9" s="67">
        <f>SUM(I431)</f>
        <v>261828.07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4589.59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234591.18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42823.72</v>
      </c>
      <c r="G13" s="18">
        <v>10587.22</v>
      </c>
      <c r="H13" s="18">
        <v>239324.05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2819.22</v>
      </c>
      <c r="G14" s="18">
        <v>1882.29</v>
      </c>
      <c r="H14" s="18">
        <v>4.9800000000000004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1526628.49</v>
      </c>
      <c r="G19" s="41">
        <f>SUM(G9:G18)</f>
        <v>12469.509999999998</v>
      </c>
      <c r="H19" s="41">
        <f>SUM(H9:H18)</f>
        <v>239329.03</v>
      </c>
      <c r="I19" s="41">
        <f>SUM(I9:I18)</f>
        <v>0</v>
      </c>
      <c r="J19" s="41">
        <f>SUM(J9:J18)</f>
        <v>261828.07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2645.87</v>
      </c>
      <c r="H23" s="18">
        <v>231945.31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427706.7</v>
      </c>
      <c r="G25" s="18">
        <v>968.38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10621.25</v>
      </c>
      <c r="G29" s="18">
        <v>93.39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3131</v>
      </c>
      <c r="G31" s="18">
        <v>8761.8700000000008</v>
      </c>
      <c r="H31" s="18">
        <v>7383.72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441458.95</v>
      </c>
      <c r="G33" s="41">
        <f>SUM(G23:G32)</f>
        <v>12469.51</v>
      </c>
      <c r="H33" s="41">
        <f>SUM(H23:H32)</f>
        <v>239329.03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117679.86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261828.07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967489.68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1085169.54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261828.07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1526628.49</v>
      </c>
      <c r="G44" s="41">
        <f>G43+G33</f>
        <v>12469.51</v>
      </c>
      <c r="H44" s="41">
        <f>H43+H33</f>
        <v>239329.03</v>
      </c>
      <c r="I44" s="41">
        <f>I43+I33</f>
        <v>0</v>
      </c>
      <c r="J44" s="41">
        <f>J43+J33</f>
        <v>261828.07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16625680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43000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16668680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11927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2261.91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23222.71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37411.619999999995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24959.5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24959.5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7861.22</v>
      </c>
      <c r="G88" s="18"/>
      <c r="H88" s="18"/>
      <c r="I88" s="18"/>
      <c r="J88" s="18">
        <v>2421.4299999999998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310312.59000000003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21124.5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2000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2981.94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4525.8999999999996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624.26</v>
      </c>
      <c r="G102" s="18"/>
      <c r="H102" s="18">
        <v>3940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37117.82</v>
      </c>
      <c r="G103" s="41">
        <f>SUM(G88:G102)</f>
        <v>310312.59000000003</v>
      </c>
      <c r="H103" s="41">
        <f>SUM(H88:H102)</f>
        <v>5940</v>
      </c>
      <c r="I103" s="41">
        <f>SUM(I88:I102)</f>
        <v>0</v>
      </c>
      <c r="J103" s="41">
        <f>SUM(J88:J102)</f>
        <v>2421.4299999999998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16768168.939999999</v>
      </c>
      <c r="G104" s="41">
        <f>G52+G103</f>
        <v>310312.59000000003</v>
      </c>
      <c r="H104" s="41">
        <f>H52+H71+H86+H103</f>
        <v>5940</v>
      </c>
      <c r="I104" s="41">
        <f>I52+I103</f>
        <v>0</v>
      </c>
      <c r="J104" s="41">
        <f>J52+J103</f>
        <v>2421.4299999999998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2221620.5099999998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3633563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852367.49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6707551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310500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425991.14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6527.42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7050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743541.14</v>
      </c>
      <c r="G128" s="41">
        <f>SUM(G115:G127)</f>
        <v>6527.42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7451092.1399999997</v>
      </c>
      <c r="G132" s="41">
        <f>G113+SUM(G128:G129)</f>
        <v>6527.42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173308.03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95039.55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155090.14000000001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514441.67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189640.92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189640.92</v>
      </c>
      <c r="G154" s="41">
        <f>SUM(G142:G153)</f>
        <v>155090.14000000001</v>
      </c>
      <c r="H154" s="41">
        <f>SUM(H142:H153)</f>
        <v>782789.25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>
        <v>31556.79</v>
      </c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189640.92</v>
      </c>
      <c r="G161" s="41">
        <f>G139+G154+SUM(G155:G160)</f>
        <v>155090.14000000001</v>
      </c>
      <c r="H161" s="41">
        <f>H139+H154+SUM(H155:H160)</f>
        <v>814346.04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99379.75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99379.75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99379.75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24408902</v>
      </c>
      <c r="G185" s="47">
        <f>G104+G132+G161+G184</f>
        <v>571309.9</v>
      </c>
      <c r="H185" s="47">
        <f>H104+H132+H161+H184</f>
        <v>820286.04</v>
      </c>
      <c r="I185" s="47">
        <f>I104+I132+I161+I184</f>
        <v>0</v>
      </c>
      <c r="J185" s="47">
        <f>J104+J132+J184</f>
        <v>2421.4299999999998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2862190.08+36535.68</f>
        <v>2898725.7600000002</v>
      </c>
      <c r="G189" s="18">
        <f>1148930.78+38517.53</f>
        <v>1187448.31</v>
      </c>
      <c r="H189" s="18">
        <f>615+29056.86+2599</f>
        <v>32270.86</v>
      </c>
      <c r="I189" s="18">
        <f>248807.92</f>
        <v>248807.92</v>
      </c>
      <c r="J189" s="18">
        <f>8456.48</f>
        <v>8456.48</v>
      </c>
      <c r="K189" s="18">
        <f>185.25</f>
        <v>185.25</v>
      </c>
      <c r="L189" s="19">
        <f>SUM(F189:K189)</f>
        <v>4375894.580000001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477654.6+33558.72+76725+55267+68468.4</f>
        <v>711673.72</v>
      </c>
      <c r="G190" s="18">
        <f>224948.04+3282.89+37246.61+26628.24+35518.84</f>
        <v>327624.62</v>
      </c>
      <c r="H190" s="18">
        <f>258041.53+43268.52+2870.53+2111.1+562.25</f>
        <v>306853.93</v>
      </c>
      <c r="I190" s="18">
        <f>3768.94+1836.1+1419.68</f>
        <v>7024.72</v>
      </c>
      <c r="J190" s="18">
        <f>5890.81+2098</f>
        <v>7988.81</v>
      </c>
      <c r="K190" s="18">
        <f>1669+690</f>
        <v>2359</v>
      </c>
      <c r="L190" s="19">
        <f>SUM(F190:K190)</f>
        <v>1363524.8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14400+3400</f>
        <v>17800</v>
      </c>
      <c r="G192" s="18">
        <f>2040.99+514.76</f>
        <v>2555.75</v>
      </c>
      <c r="H192" s="18">
        <f>400</f>
        <v>400</v>
      </c>
      <c r="I192" s="18">
        <f>474.15</f>
        <v>474.15</v>
      </c>
      <c r="J192" s="18">
        <f>348.25</f>
        <v>348.25</v>
      </c>
      <c r="K192" s="18"/>
      <c r="L192" s="19">
        <f>SUM(F192:K192)</f>
        <v>21578.15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114447.74+77283.92+179925.8+12545.34</f>
        <v>384202.8</v>
      </c>
      <c r="G194" s="18">
        <f>38481.96+31169.72+74349.12+722.8+1165.42</f>
        <v>145889.01999999999</v>
      </c>
      <c r="H194" s="18">
        <f>14388.88+2692+309+590.71+2600+475+49410.4+59633.93</f>
        <v>130099.91999999998</v>
      </c>
      <c r="I194" s="18">
        <f>646.05+6241.75+1332.1+1169.84+677.28</f>
        <v>10067.02</v>
      </c>
      <c r="J194" s="18">
        <f>530.2+330.75</f>
        <v>860.95</v>
      </c>
      <c r="K194" s="18">
        <f>3428.1</f>
        <v>3428.1</v>
      </c>
      <c r="L194" s="19">
        <f t="shared" ref="L194:L200" si="0">SUM(F194:K194)</f>
        <v>674547.80999999994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130352.68+36665.07</f>
        <v>167017.75</v>
      </c>
      <c r="G195" s="18">
        <f>2023+74001.04+20367.58</f>
        <v>96391.62</v>
      </c>
      <c r="H195" s="18">
        <f>19.99+4249.05+264.55</f>
        <v>4533.59</v>
      </c>
      <c r="I195" s="18">
        <f>30724.08+110.91</f>
        <v>30834.99</v>
      </c>
      <c r="J195" s="18">
        <f>7604.04</f>
        <v>7604.04</v>
      </c>
      <c r="K195" s="18">
        <f>88</f>
        <v>88</v>
      </c>
      <c r="L195" s="19">
        <f t="shared" si="0"/>
        <v>306469.99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10302.5</f>
        <v>10302.5</v>
      </c>
      <c r="G196" s="18">
        <f>989.82</f>
        <v>989.82</v>
      </c>
      <c r="H196" s="18">
        <f>30649.34+350498.85</f>
        <v>381148.19</v>
      </c>
      <c r="I196" s="18">
        <f>3571.31</f>
        <v>3571.31</v>
      </c>
      <c r="J196" s="18"/>
      <c r="K196" s="18">
        <f>6756.78</f>
        <v>6756.78</v>
      </c>
      <c r="L196" s="19">
        <f t="shared" si="0"/>
        <v>402768.60000000003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427298.28</f>
        <v>427298.28</v>
      </c>
      <c r="G197" s="18">
        <f>153714.29</f>
        <v>153714.29</v>
      </c>
      <c r="H197" s="18">
        <f>18611.12+48115.07+1032.51</f>
        <v>67758.7</v>
      </c>
      <c r="I197" s="18">
        <f>4367.55</f>
        <v>4367.55</v>
      </c>
      <c r="J197" s="18">
        <f>1677.87</f>
        <v>1677.87</v>
      </c>
      <c r="K197" s="18">
        <f>2680</f>
        <v>2680</v>
      </c>
      <c r="L197" s="19">
        <f t="shared" si="0"/>
        <v>657496.69000000006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239045.52+39788.45</f>
        <v>278833.96999999997</v>
      </c>
      <c r="G199" s="18">
        <f>121600.76+19936.96</f>
        <v>141537.72</v>
      </c>
      <c r="H199" s="18">
        <f>112468.86+3352.17+31519.12</f>
        <v>147340.15</v>
      </c>
      <c r="I199" s="18">
        <f>281916.17+416.6</f>
        <v>282332.76999999996</v>
      </c>
      <c r="J199" s="18">
        <f>83948.84</f>
        <v>83948.84</v>
      </c>
      <c r="K199" s="18"/>
      <c r="L199" s="19">
        <f t="shared" si="0"/>
        <v>933993.44999999984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434491.93+7485.25</f>
        <v>441977.18</v>
      </c>
      <c r="I200" s="18"/>
      <c r="J200" s="18"/>
      <c r="K200" s="18"/>
      <c r="L200" s="19">
        <f t="shared" si="0"/>
        <v>441977.18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58507.58+32437.31</f>
        <v>90944.89</v>
      </c>
      <c r="G201" s="18">
        <f>15145.99+15923.22</f>
        <v>31069.21</v>
      </c>
      <c r="H201" s="18">
        <f>1368.25+65</f>
        <v>1433.25</v>
      </c>
      <c r="I201" s="18">
        <f>4720.75+4362.8</f>
        <v>9083.5499999999993</v>
      </c>
      <c r="J201" s="18">
        <v>71647.73</v>
      </c>
      <c r="K201" s="18"/>
      <c r="L201" s="19">
        <f>SUM(F201:K201)</f>
        <v>204178.63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4986799.67</v>
      </c>
      <c r="G203" s="41">
        <f t="shared" si="1"/>
        <v>2087220.3600000003</v>
      </c>
      <c r="H203" s="41">
        <f t="shared" si="1"/>
        <v>1513815.7699999998</v>
      </c>
      <c r="I203" s="41">
        <f t="shared" si="1"/>
        <v>596563.98</v>
      </c>
      <c r="J203" s="41">
        <f t="shared" si="1"/>
        <v>182532.96999999997</v>
      </c>
      <c r="K203" s="41">
        <f t="shared" si="1"/>
        <v>15497.130000000001</v>
      </c>
      <c r="L203" s="41">
        <f t="shared" si="1"/>
        <v>9382429.8800000008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1837985.81+19506.57</f>
        <v>1857492.3800000001</v>
      </c>
      <c r="G207" s="18">
        <f>714638.87+20659.23</f>
        <v>735298.1</v>
      </c>
      <c r="H207" s="18">
        <f>2950+15125.74+1699</f>
        <v>19774.739999999998</v>
      </c>
      <c r="I207" s="18">
        <f>61192.45</f>
        <v>61192.45</v>
      </c>
      <c r="J207" s="18">
        <f>8824.59</f>
        <v>8824.59</v>
      </c>
      <c r="K207" s="18">
        <f>99.75</f>
        <v>99.75</v>
      </c>
      <c r="L207" s="19">
        <f>SUM(F207:K207)</f>
        <v>2682682.0100000002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237605.25+8094.63+39862+49871+36516.46</f>
        <v>371949.34</v>
      </c>
      <c r="G208" s="18">
        <f>134189.52+805.99+8976.31+26035.45+18943.37</f>
        <v>188950.63999999998</v>
      </c>
      <c r="H208" s="18">
        <f>4750+23298.44+1545.67+1136.74+302.75</f>
        <v>31033.600000000002</v>
      </c>
      <c r="I208" s="18">
        <f>2294.52+423.99+3898.79+764.45</f>
        <v>7381.75</v>
      </c>
      <c r="J208" s="18">
        <f>949</f>
        <v>949</v>
      </c>
      <c r="K208" s="18"/>
      <c r="L208" s="19">
        <f>SUM(F208:K208)</f>
        <v>600264.32999999996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31402.95+22399+6957.5</f>
        <v>60759.45</v>
      </c>
      <c r="G210" s="18">
        <f>4733.56+2422.02+1066.7</f>
        <v>8222.2800000000007</v>
      </c>
      <c r="H210" s="18">
        <f>750+5790.31+160</f>
        <v>6700.31</v>
      </c>
      <c r="I210" s="18">
        <f>3360.74+419.65</f>
        <v>3780.39</v>
      </c>
      <c r="J210" s="18">
        <f>258.65+7534.48</f>
        <v>7793.1299999999992</v>
      </c>
      <c r="K210" s="18">
        <f>876.5+485</f>
        <v>1361.5</v>
      </c>
      <c r="L210" s="19">
        <f>SUM(F210:K210)</f>
        <v>88617.06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107379.01+38276.3+67415+51925.24+6755.19</f>
        <v>271750.74</v>
      </c>
      <c r="G212" s="18">
        <f>31590.05+14592.89+28587+21198.71+389.2+627.54</f>
        <v>96985.389999999985</v>
      </c>
      <c r="H212" s="18">
        <f>5687.5+1813+537.5+4699.5+560+26605.6+32110.57</f>
        <v>72013.67</v>
      </c>
      <c r="I212" s="18">
        <f>374.78+3514.07+1335.35+363.4+1670.47</f>
        <v>7258.0700000000006</v>
      </c>
      <c r="J212" s="18">
        <f>137.76</f>
        <v>137.76</v>
      </c>
      <c r="K212" s="18">
        <f>1845.9</f>
        <v>1845.9</v>
      </c>
      <c r="L212" s="19">
        <f t="shared" ref="L212:L218" si="2">SUM(F212:K212)</f>
        <v>449991.53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17298.18+19742.73</f>
        <v>37040.910000000003</v>
      </c>
      <c r="G213" s="18">
        <f>2549.15+10025.41+10967.14</f>
        <v>23541.699999999997</v>
      </c>
      <c r="H213" s="18">
        <f>74.62+2287.95+142.45</f>
        <v>2505.0199999999995</v>
      </c>
      <c r="I213" s="18">
        <f>14548.98+59.72</f>
        <v>14608.699999999999</v>
      </c>
      <c r="J213" s="18">
        <f>4465.62</f>
        <v>4465.62</v>
      </c>
      <c r="K213" s="18">
        <f>282.5</f>
        <v>282.5</v>
      </c>
      <c r="L213" s="19">
        <f t="shared" si="2"/>
        <v>82444.45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5547.5</f>
        <v>5547.5</v>
      </c>
      <c r="G214" s="18">
        <f>532.98</f>
        <v>532.98</v>
      </c>
      <c r="H214" s="18">
        <f>16503.49+188730.15</f>
        <v>205233.63999999998</v>
      </c>
      <c r="I214" s="18">
        <f>1923.03</f>
        <v>1923.03</v>
      </c>
      <c r="J214" s="18"/>
      <c r="K214" s="18">
        <f>3638.27</f>
        <v>3638.27</v>
      </c>
      <c r="L214" s="19">
        <f t="shared" si="2"/>
        <v>216875.41999999998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213027.95</f>
        <v>213027.95</v>
      </c>
      <c r="G215" s="18">
        <f>65870.23</f>
        <v>65870.23</v>
      </c>
      <c r="H215" s="18">
        <f>5067.47+29872.81+555.97</f>
        <v>35496.25</v>
      </c>
      <c r="I215" s="18">
        <f>861.99</f>
        <v>861.99</v>
      </c>
      <c r="J215" s="18">
        <f>654</f>
        <v>654</v>
      </c>
      <c r="K215" s="18">
        <f>1443.94</f>
        <v>1443.94</v>
      </c>
      <c r="L215" s="19">
        <f t="shared" si="2"/>
        <v>317354.36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161861.72+21424.55</f>
        <v>183286.27</v>
      </c>
      <c r="G217" s="18">
        <f>71182+10735.27</f>
        <v>81917.27</v>
      </c>
      <c r="H217" s="18">
        <f>80913.57+1805.02+16971.83</f>
        <v>99690.420000000013</v>
      </c>
      <c r="I217" s="18">
        <f>215893.69+224.32</f>
        <v>216118.01</v>
      </c>
      <c r="J217" s="18">
        <f>2674.89</f>
        <v>2674.89</v>
      </c>
      <c r="K217" s="18"/>
      <c r="L217" s="19">
        <f t="shared" si="2"/>
        <v>583686.86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230210.49+15442.5</f>
        <v>245652.99</v>
      </c>
      <c r="I218" s="18"/>
      <c r="J218" s="18"/>
      <c r="K218" s="18"/>
      <c r="L218" s="19">
        <f t="shared" si="2"/>
        <v>245652.99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f>17466.25</f>
        <v>17466.25</v>
      </c>
      <c r="G219" s="18">
        <f>8574.04</f>
        <v>8574.0400000000009</v>
      </c>
      <c r="H219" s="18">
        <f>736.75+35</f>
        <v>771.75</v>
      </c>
      <c r="I219" s="18">
        <f>2648.35+2349.2</f>
        <v>4997.5499999999993</v>
      </c>
      <c r="J219" s="18">
        <f>38579.55</f>
        <v>38579.550000000003</v>
      </c>
      <c r="K219" s="18"/>
      <c r="L219" s="19">
        <f>SUM(F219:K219)</f>
        <v>70389.14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3018320.7900000005</v>
      </c>
      <c r="G221" s="41">
        <f>SUM(G207:G220)</f>
        <v>1209892.6300000001</v>
      </c>
      <c r="H221" s="41">
        <f>SUM(H207:H220)</f>
        <v>718872.39</v>
      </c>
      <c r="I221" s="41">
        <f>SUM(I207:I220)</f>
        <v>318121.94</v>
      </c>
      <c r="J221" s="41">
        <f>SUM(J207:J220)</f>
        <v>64078.54</v>
      </c>
      <c r="K221" s="41">
        <f t="shared" si="3"/>
        <v>8671.86</v>
      </c>
      <c r="L221" s="41">
        <f t="shared" si="3"/>
        <v>5337958.1500000013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22363.25</f>
        <v>22363.25</v>
      </c>
      <c r="G225" s="18">
        <v>10876.42</v>
      </c>
      <c r="H225" s="18">
        <f>5290001.64</f>
        <v>5290001.6399999997</v>
      </c>
      <c r="I225" s="18"/>
      <c r="J225" s="18"/>
      <c r="K225" s="18"/>
      <c r="L225" s="19">
        <f>SUM(F225:K225)</f>
        <v>5323241.3099999996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215756.97+47167.12</f>
        <v>262924.09000000003</v>
      </c>
      <c r="G226" s="18">
        <f>106376.76+24468.53</f>
        <v>130845.29</v>
      </c>
      <c r="H226" s="18">
        <f>1841326.46</f>
        <v>1841326.46</v>
      </c>
      <c r="I226" s="18"/>
      <c r="J226" s="18"/>
      <c r="K226" s="18"/>
      <c r="L226" s="19">
        <f>SUM(F226:K226)</f>
        <v>2235095.84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f>8100</f>
        <v>8100</v>
      </c>
      <c r="I228" s="18"/>
      <c r="J228" s="18"/>
      <c r="K228" s="18"/>
      <c r="L228" s="19">
        <f>SUM(F228:K228)</f>
        <v>8100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294507.93</f>
        <v>294507.93</v>
      </c>
      <c r="I236" s="18"/>
      <c r="J236" s="18"/>
      <c r="K236" s="18"/>
      <c r="L236" s="19">
        <f t="shared" si="4"/>
        <v>294507.93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285287.34000000003</v>
      </c>
      <c r="G239" s="41">
        <f t="shared" si="5"/>
        <v>141721.71</v>
      </c>
      <c r="H239" s="41">
        <f t="shared" si="5"/>
        <v>7433936.0299999993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7860945.0799999991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15275+3909.74</f>
        <v>19184.739999999998</v>
      </c>
      <c r="I247" s="18"/>
      <c r="J247" s="18"/>
      <c r="K247" s="18"/>
      <c r="L247" s="19">
        <f t="shared" si="6"/>
        <v>19184.739999999998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19184.739999999998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19184.739999999998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8290407.8000000007</v>
      </c>
      <c r="G249" s="41">
        <f t="shared" si="8"/>
        <v>3438834.7</v>
      </c>
      <c r="H249" s="41">
        <f t="shared" si="8"/>
        <v>9685808.9299999997</v>
      </c>
      <c r="I249" s="41">
        <f t="shared" si="8"/>
        <v>914685.91999999993</v>
      </c>
      <c r="J249" s="41">
        <f t="shared" si="8"/>
        <v>246611.50999999998</v>
      </c>
      <c r="K249" s="41">
        <f t="shared" si="8"/>
        <v>24168.99</v>
      </c>
      <c r="L249" s="41">
        <f t="shared" si="8"/>
        <v>22600517.849999998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1035000</v>
      </c>
      <c r="L252" s="19">
        <f>SUM(F252:K252)</f>
        <v>1035000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642511.25</v>
      </c>
      <c r="L253" s="19">
        <f>SUM(F253:K253)</f>
        <v>642511.25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99379.75</v>
      </c>
      <c r="L255" s="19">
        <f>SUM(F255:K255)</f>
        <v>99379.75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1776891</v>
      </c>
      <c r="L262" s="41">
        <f t="shared" si="9"/>
        <v>1776891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8290407.8000000007</v>
      </c>
      <c r="G263" s="42">
        <f t="shared" si="11"/>
        <v>3438834.7</v>
      </c>
      <c r="H263" s="42">
        <f t="shared" si="11"/>
        <v>9685808.9299999997</v>
      </c>
      <c r="I263" s="42">
        <f t="shared" si="11"/>
        <v>914685.91999999993</v>
      </c>
      <c r="J263" s="42">
        <f t="shared" si="11"/>
        <v>246611.50999999998</v>
      </c>
      <c r="K263" s="42">
        <f t="shared" si="11"/>
        <v>1801059.99</v>
      </c>
      <c r="L263" s="42">
        <f t="shared" si="11"/>
        <v>24377408.849999998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107324.72+325</f>
        <v>107649.72</v>
      </c>
      <c r="G268" s="18">
        <f>22994.27+23.21+24.32</f>
        <v>23041.8</v>
      </c>
      <c r="H268" s="18">
        <f>2925</f>
        <v>2925</v>
      </c>
      <c r="I268" s="18">
        <f>1191.63+241.57+443.35</f>
        <v>1876.5500000000002</v>
      </c>
      <c r="J268" s="18">
        <f>1208+13920.11</f>
        <v>15128.11</v>
      </c>
      <c r="K268" s="18"/>
      <c r="L268" s="19">
        <f>SUM(F268:K268)</f>
        <v>150621.18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74420.88+1202.5+42157.05+37263.93</f>
        <v>155044.36000000002</v>
      </c>
      <c r="G269" s="18">
        <f>24548.01+5906.61+3157.6</f>
        <v>33612.22</v>
      </c>
      <c r="H269" s="18">
        <f>11337.53</f>
        <v>11337.53</v>
      </c>
      <c r="I269" s="18"/>
      <c r="J269" s="18">
        <f>26178.84</f>
        <v>26178.84</v>
      </c>
      <c r="K269" s="18"/>
      <c r="L269" s="19">
        <f>SUM(F269:K269)</f>
        <v>226172.95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6500+24113.7</f>
        <v>30613.7</v>
      </c>
      <c r="G273" s="18">
        <f>975.24+1844.38+1773.44</f>
        <v>4593.0599999999995</v>
      </c>
      <c r="H273" s="18">
        <f>1885+35803.48+11050</f>
        <v>48738.48</v>
      </c>
      <c r="I273" s="18">
        <f>1248.18</f>
        <v>1248.18</v>
      </c>
      <c r="J273" s="18"/>
      <c r="K273" s="18"/>
      <c r="L273" s="19">
        <f t="shared" ref="L273:L279" si="12">SUM(F273:K273)</f>
        <v>85193.42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3744+13435.5</f>
        <v>17179.5</v>
      </c>
      <c r="G274" s="18">
        <f>541.72+1010.81+11.9+967.19</f>
        <v>2531.62</v>
      </c>
      <c r="H274" s="18">
        <f>30732.2+500+7858.08+19483+2210</f>
        <v>60783.28</v>
      </c>
      <c r="I274" s="18">
        <f>535.72+322.14+4324.23</f>
        <v>5182.0899999999992</v>
      </c>
      <c r="J274" s="18"/>
      <c r="K274" s="18"/>
      <c r="L274" s="19">
        <f t="shared" si="12"/>
        <v>85676.489999999991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4462.4+7944.56+2794.59</f>
        <v>15201.55</v>
      </c>
      <c r="L277" s="19">
        <f t="shared" si="12"/>
        <v>15201.55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310487.28000000003</v>
      </c>
      <c r="G282" s="42">
        <f t="shared" si="13"/>
        <v>63778.700000000004</v>
      </c>
      <c r="H282" s="42">
        <f t="shared" si="13"/>
        <v>123784.29000000001</v>
      </c>
      <c r="I282" s="42">
        <f t="shared" si="13"/>
        <v>8306.82</v>
      </c>
      <c r="J282" s="42">
        <f t="shared" si="13"/>
        <v>41306.949999999997</v>
      </c>
      <c r="K282" s="42">
        <f t="shared" si="13"/>
        <v>15201.55</v>
      </c>
      <c r="L282" s="41">
        <f t="shared" si="13"/>
        <v>562865.59000000008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11022.5+175</f>
        <v>11197.5</v>
      </c>
      <c r="G287" s="18">
        <f>4789.64+12.49+13.1</f>
        <v>4815.2300000000005</v>
      </c>
      <c r="H287" s="18">
        <f>1575</f>
        <v>1575</v>
      </c>
      <c r="I287" s="18">
        <f>500+130.08+238.73</f>
        <v>868.81000000000006</v>
      </c>
      <c r="J287" s="18">
        <f>3298.78+7495.45</f>
        <v>10794.23</v>
      </c>
      <c r="K287" s="18"/>
      <c r="L287" s="19">
        <f>SUM(F287:K287)</f>
        <v>29250.77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49063.17+647.5+22699.95+20065.19</f>
        <v>92475.81</v>
      </c>
      <c r="G288" s="18">
        <f>18323.66+3180.48+1700.24</f>
        <v>23204.38</v>
      </c>
      <c r="H288" s="18">
        <f>6104.82</f>
        <v>6104.82</v>
      </c>
      <c r="I288" s="18"/>
      <c r="J288" s="18">
        <f>14096.3</f>
        <v>14096.3</v>
      </c>
      <c r="K288" s="18"/>
      <c r="L288" s="19">
        <f>SUM(F288:K288)</f>
        <v>135881.31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f>2000</f>
        <v>2000</v>
      </c>
      <c r="G290" s="18"/>
      <c r="H290" s="18">
        <f>1500</f>
        <v>1500</v>
      </c>
      <c r="I290" s="18"/>
      <c r="J290" s="18"/>
      <c r="K290" s="18"/>
      <c r="L290" s="19">
        <f>SUM(F290:K290)</f>
        <v>3500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12984.3</f>
        <v>12984.3</v>
      </c>
      <c r="G292" s="18">
        <f>993.12+954.93</f>
        <v>1948.05</v>
      </c>
      <c r="H292" s="18">
        <f>1350+1015+19278.8+5950</f>
        <v>27593.8</v>
      </c>
      <c r="I292" s="18">
        <f>672.1</f>
        <v>672.1</v>
      </c>
      <c r="J292" s="18"/>
      <c r="K292" s="18"/>
      <c r="L292" s="19">
        <f t="shared" ref="L292:L298" si="14">SUM(F292:K292)</f>
        <v>43198.249999999993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1200+7234.5</f>
        <v>8434.5</v>
      </c>
      <c r="G293" s="18">
        <f>181.67+544.29+6.41+520.8</f>
        <v>1253.1699999999998</v>
      </c>
      <c r="H293" s="18">
        <f>11227.8+4231.28+10490.85+1190</f>
        <v>27139.93</v>
      </c>
      <c r="I293" s="18">
        <f>377.82+173.46+2328.43</f>
        <v>2879.71</v>
      </c>
      <c r="J293" s="18"/>
      <c r="K293" s="18"/>
      <c r="L293" s="19">
        <f t="shared" si="14"/>
        <v>39707.31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f>100.19+4277.84+1504.78</f>
        <v>5882.8099999999995</v>
      </c>
      <c r="L296" s="19">
        <f t="shared" si="14"/>
        <v>5882.8099999999995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127092.11</v>
      </c>
      <c r="G301" s="42">
        <f t="shared" si="15"/>
        <v>31220.829999999998</v>
      </c>
      <c r="H301" s="42">
        <f t="shared" si="15"/>
        <v>63913.549999999996</v>
      </c>
      <c r="I301" s="42">
        <f t="shared" si="15"/>
        <v>4420.62</v>
      </c>
      <c r="J301" s="42">
        <f t="shared" si="15"/>
        <v>24890.53</v>
      </c>
      <c r="K301" s="42">
        <f t="shared" si="15"/>
        <v>5882.8099999999995</v>
      </c>
      <c r="L301" s="41">
        <f t="shared" si="15"/>
        <v>257420.44999999998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437579.39</v>
      </c>
      <c r="G330" s="41">
        <f t="shared" si="20"/>
        <v>94999.53</v>
      </c>
      <c r="H330" s="41">
        <f t="shared" si="20"/>
        <v>187697.84</v>
      </c>
      <c r="I330" s="41">
        <f t="shared" si="20"/>
        <v>12727.439999999999</v>
      </c>
      <c r="J330" s="41">
        <f t="shared" si="20"/>
        <v>66197.48</v>
      </c>
      <c r="K330" s="41">
        <f t="shared" si="20"/>
        <v>21084.36</v>
      </c>
      <c r="L330" s="41">
        <f t="shared" si="20"/>
        <v>820286.04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437579.39</v>
      </c>
      <c r="G344" s="41">
        <f>G330</f>
        <v>94999.53</v>
      </c>
      <c r="H344" s="41">
        <f>H330</f>
        <v>187697.84</v>
      </c>
      <c r="I344" s="41">
        <f>I330</f>
        <v>12727.439999999999</v>
      </c>
      <c r="J344" s="41">
        <f>J330</f>
        <v>66197.48</v>
      </c>
      <c r="K344" s="47">
        <f>K330+K343</f>
        <v>21084.36</v>
      </c>
      <c r="L344" s="41">
        <f>L330+L343</f>
        <v>820286.04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140200.45000000001</v>
      </c>
      <c r="G350" s="18">
        <v>102972.75</v>
      </c>
      <c r="H350" s="18">
        <v>7753.09</v>
      </c>
      <c r="I350" s="18">
        <v>134381.35999999999</v>
      </c>
      <c r="J350" s="18">
        <v>520</v>
      </c>
      <c r="K350" s="18"/>
      <c r="L350" s="13">
        <f>SUM(F350:K350)</f>
        <v>385827.65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76566.3</v>
      </c>
      <c r="G351" s="18">
        <v>32380.2</v>
      </c>
      <c r="H351" s="18">
        <v>2486.56</v>
      </c>
      <c r="I351" s="18">
        <v>72359.19</v>
      </c>
      <c r="J351" s="18">
        <v>1690</v>
      </c>
      <c r="K351" s="18"/>
      <c r="L351" s="19">
        <f>SUM(F351:K351)</f>
        <v>185482.25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216766.75</v>
      </c>
      <c r="G354" s="47">
        <f t="shared" si="22"/>
        <v>135352.95000000001</v>
      </c>
      <c r="H354" s="47">
        <f t="shared" si="22"/>
        <v>10239.65</v>
      </c>
      <c r="I354" s="47">
        <f t="shared" si="22"/>
        <v>206740.55</v>
      </c>
      <c r="J354" s="47">
        <f t="shared" si="22"/>
        <v>2210</v>
      </c>
      <c r="K354" s="47">
        <f t="shared" si="22"/>
        <v>0</v>
      </c>
      <c r="L354" s="47">
        <f t="shared" si="22"/>
        <v>571309.9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101777.94</v>
      </c>
      <c r="G359" s="18">
        <v>54803.5</v>
      </c>
      <c r="H359" s="18"/>
      <c r="I359" s="56">
        <f>SUM(F359:H359)</f>
        <v>156581.44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32603.42</v>
      </c>
      <c r="G360" s="63">
        <v>17555.689999999999</v>
      </c>
      <c r="H360" s="63"/>
      <c r="I360" s="56">
        <f>SUM(F360:H360)</f>
        <v>50159.11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134381.35999999999</v>
      </c>
      <c r="G361" s="47">
        <f>SUM(G359:G360)</f>
        <v>72359.19</v>
      </c>
      <c r="H361" s="47">
        <f>SUM(H359:H360)</f>
        <v>0</v>
      </c>
      <c r="I361" s="47">
        <f>SUM(I359:I360)</f>
        <v>206740.55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480.19</v>
      </c>
      <c r="I380" s="18"/>
      <c r="J380" s="24" t="s">
        <v>312</v>
      </c>
      <c r="K380" s="24" t="s">
        <v>312</v>
      </c>
      <c r="L380" s="56">
        <f t="shared" si="25"/>
        <v>480.19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480.19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480.19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1938.32</v>
      </c>
      <c r="I389" s="18"/>
      <c r="J389" s="24" t="s">
        <v>312</v>
      </c>
      <c r="K389" s="24" t="s">
        <v>312</v>
      </c>
      <c r="L389" s="56">
        <f t="shared" si="26"/>
        <v>1938.32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2.92</v>
      </c>
      <c r="I391" s="18"/>
      <c r="J391" s="24" t="s">
        <v>312</v>
      </c>
      <c r="K391" s="24" t="s">
        <v>312</v>
      </c>
      <c r="L391" s="56">
        <f t="shared" si="26"/>
        <v>2.92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1941.24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1941.24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2421.4299999999998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2421.4299999999998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51914.42</v>
      </c>
      <c r="G431" s="18">
        <v>209913.65</v>
      </c>
      <c r="H431" s="18"/>
      <c r="I431" s="56">
        <f t="shared" ref="I431:I437" si="33">SUM(F431:H431)</f>
        <v>261828.07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51914.42</v>
      </c>
      <c r="G438" s="13">
        <f>SUM(G431:G437)</f>
        <v>209913.65</v>
      </c>
      <c r="H438" s="13">
        <f>SUM(H431:H437)</f>
        <v>0</v>
      </c>
      <c r="I438" s="13">
        <f>SUM(I431:I437)</f>
        <v>261828.07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51914.42</v>
      </c>
      <c r="G449" s="18">
        <v>209913.65</v>
      </c>
      <c r="H449" s="18"/>
      <c r="I449" s="56">
        <f>SUM(F449:H449)</f>
        <v>261828.07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51914.42</v>
      </c>
      <c r="G450" s="83">
        <f>SUM(G446:G449)</f>
        <v>209913.65</v>
      </c>
      <c r="H450" s="83">
        <f>SUM(H446:H449)</f>
        <v>0</v>
      </c>
      <c r="I450" s="83">
        <f>SUM(I446:I449)</f>
        <v>261828.07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51914.42</v>
      </c>
      <c r="G451" s="42">
        <f>G444+G450</f>
        <v>209913.65</v>
      </c>
      <c r="H451" s="42">
        <f>H444+H450</f>
        <v>0</v>
      </c>
      <c r="I451" s="42">
        <f>I444+I450</f>
        <v>261828.07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1053676.3899999999</v>
      </c>
      <c r="G455" s="18"/>
      <c r="H455" s="18"/>
      <c r="I455" s="18"/>
      <c r="J455" s="18">
        <v>259406.64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24408902</v>
      </c>
      <c r="G458" s="18">
        <v>571309.9</v>
      </c>
      <c r="H458" s="18">
        <v>820286.04</v>
      </c>
      <c r="I458" s="18"/>
      <c r="J458" s="18">
        <v>2421.4299999999998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24408902</v>
      </c>
      <c r="G460" s="53">
        <f>SUM(G458:G459)</f>
        <v>571309.9</v>
      </c>
      <c r="H460" s="53">
        <f>SUM(H458:H459)</f>
        <v>820286.04</v>
      </c>
      <c r="I460" s="53">
        <f>SUM(I458:I459)</f>
        <v>0</v>
      </c>
      <c r="J460" s="53">
        <f>SUM(J458:J459)</f>
        <v>2421.4299999999998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24377408.850000001</v>
      </c>
      <c r="G462" s="18">
        <v>571309.9</v>
      </c>
      <c r="H462" s="18">
        <v>820286.04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24377408.850000001</v>
      </c>
      <c r="G464" s="53">
        <f>SUM(G462:G463)</f>
        <v>571309.9</v>
      </c>
      <c r="H464" s="53">
        <f>SUM(H462:H463)</f>
        <v>820286.04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1085169.5399999991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261828.07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30732213.059999999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4.51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14470000</v>
      </c>
      <c r="G485" s="18"/>
      <c r="H485" s="18"/>
      <c r="I485" s="18"/>
      <c r="J485" s="18"/>
      <c r="K485" s="53">
        <f>SUM(F485:J485)</f>
        <v>14470000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1677511.25</v>
      </c>
      <c r="G487" s="18"/>
      <c r="H487" s="18"/>
      <c r="I487" s="18"/>
      <c r="J487" s="18"/>
      <c r="K487" s="53">
        <f t="shared" si="34"/>
        <v>1677511.25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13435000</v>
      </c>
      <c r="G488" s="205"/>
      <c r="H488" s="205"/>
      <c r="I488" s="205"/>
      <c r="J488" s="205"/>
      <c r="K488" s="206">
        <f t="shared" si="34"/>
        <v>13435000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4241297.5</v>
      </c>
      <c r="G489" s="18"/>
      <c r="H489" s="18"/>
      <c r="I489" s="18"/>
      <c r="J489" s="18"/>
      <c r="K489" s="53">
        <f t="shared" si="34"/>
        <v>4241297.5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17676297.5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17676297.5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1035000</v>
      </c>
      <c r="G491" s="205"/>
      <c r="H491" s="205"/>
      <c r="I491" s="205"/>
      <c r="J491" s="205"/>
      <c r="K491" s="206">
        <f t="shared" si="34"/>
        <v>1035000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602922.5</v>
      </c>
      <c r="G492" s="18"/>
      <c r="H492" s="18"/>
      <c r="I492" s="18"/>
      <c r="J492" s="18"/>
      <c r="K492" s="53">
        <f t="shared" si="34"/>
        <v>602922.5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1637922.5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1637922.5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79420.98+1202.5+74420.88+477654.6+33558.72+76725</f>
        <v>742982.67999999993</v>
      </c>
      <c r="G511" s="18">
        <f>9064.21+24548.01+224948.04+3282.89+37246.61</f>
        <v>299089.76</v>
      </c>
      <c r="H511" s="18">
        <f>256809.53</f>
        <v>256809.53</v>
      </c>
      <c r="I511" s="18">
        <f>1248.18+3768.94</f>
        <v>5017.12</v>
      </c>
      <c r="J511" s="18">
        <f>12608.14+13570.7+5890.81+330.75</f>
        <v>32400.400000000001</v>
      </c>
      <c r="K511" s="18">
        <f>1669</f>
        <v>1669</v>
      </c>
      <c r="L511" s="88">
        <f>SUM(F511:K511)</f>
        <v>1337968.49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42765.14+647.5+49063.17+237605.25+8094.63</f>
        <v>338175.69</v>
      </c>
      <c r="G512" s="18">
        <f>4880.72+18323.66+134189.52+805.99</f>
        <v>158199.88999999998</v>
      </c>
      <c r="H512" s="18">
        <f>4000</f>
        <v>4000</v>
      </c>
      <c r="I512" s="18">
        <f>672.1+2294.52</f>
        <v>2966.62</v>
      </c>
      <c r="J512" s="18">
        <f>6789+7307.3</f>
        <v>14096.3</v>
      </c>
      <c r="K512" s="18"/>
      <c r="L512" s="88">
        <f>SUM(F512:K512)</f>
        <v>517438.49999999994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215756.97</v>
      </c>
      <c r="G513" s="18">
        <v>106376.76</v>
      </c>
      <c r="H513" s="18">
        <v>1841326.46</v>
      </c>
      <c r="I513" s="18"/>
      <c r="J513" s="18"/>
      <c r="K513" s="18"/>
      <c r="L513" s="88">
        <f>SUM(F513:K513)</f>
        <v>2163460.19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1296915.3399999999</v>
      </c>
      <c r="G514" s="108">
        <f t="shared" ref="G514:L514" si="35">SUM(G511:G513)</f>
        <v>563666.41</v>
      </c>
      <c r="H514" s="108">
        <f t="shared" si="35"/>
        <v>2102135.9899999998</v>
      </c>
      <c r="I514" s="108">
        <f t="shared" si="35"/>
        <v>7983.74</v>
      </c>
      <c r="J514" s="108">
        <f t="shared" si="35"/>
        <v>46496.7</v>
      </c>
      <c r="K514" s="108">
        <f t="shared" si="35"/>
        <v>1669</v>
      </c>
      <c r="L514" s="89">
        <f t="shared" si="35"/>
        <v>4018867.1799999997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24113.7+6500+8878.24+179925.8</f>
        <v>219417.74</v>
      </c>
      <c r="G516" s="18">
        <f>3617.82+975.24+511.52+824.76+74349.12</f>
        <v>80278.459999999992</v>
      </c>
      <c r="H516" s="18">
        <f>48738.48+11337.53+34967.36+72823.27+2600</f>
        <v>170466.64</v>
      </c>
      <c r="I516" s="18">
        <f>1332.1+1169.84</f>
        <v>2501.9399999999996</v>
      </c>
      <c r="J516" s="18"/>
      <c r="K516" s="18"/>
      <c r="L516" s="88">
        <f>SUM(F516:K516)</f>
        <v>472664.77999999997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12984.3+2130.78+67415+51925.24</f>
        <v>134455.32</v>
      </c>
      <c r="G517" s="18">
        <f>1948.05+122.76+197.94+28587+21198.71</f>
        <v>52054.46</v>
      </c>
      <c r="H517" s="18">
        <f>26243.8+6104.82+8392.17+17477.58+537.5</f>
        <v>58755.87</v>
      </c>
      <c r="I517" s="18">
        <f>1335.35+363.4</f>
        <v>1698.75</v>
      </c>
      <c r="J517" s="18"/>
      <c r="K517" s="18"/>
      <c r="L517" s="88">
        <f>SUM(F517:K517)</f>
        <v>246964.4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8291.51</f>
        <v>8291.51</v>
      </c>
      <c r="G518" s="18">
        <f>477.72+770.26</f>
        <v>1247.98</v>
      </c>
      <c r="H518" s="18">
        <f>32656.47+68010.61</f>
        <v>100667.08</v>
      </c>
      <c r="I518" s="18"/>
      <c r="J518" s="18"/>
      <c r="K518" s="18"/>
      <c r="L518" s="88">
        <f>SUM(F518:K518)</f>
        <v>110206.57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362164.57</v>
      </c>
      <c r="G519" s="89">
        <f t="shared" ref="G519:L519" si="36">SUM(G516:G518)</f>
        <v>133580.9</v>
      </c>
      <c r="H519" s="89">
        <f t="shared" si="36"/>
        <v>329889.59000000003</v>
      </c>
      <c r="I519" s="89">
        <f t="shared" si="36"/>
        <v>4200.6899999999996</v>
      </c>
      <c r="J519" s="89">
        <f t="shared" si="36"/>
        <v>0</v>
      </c>
      <c r="K519" s="89">
        <f t="shared" si="36"/>
        <v>0</v>
      </c>
      <c r="L519" s="89">
        <f t="shared" si="36"/>
        <v>829835.75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69989.91</f>
        <v>69989.91</v>
      </c>
      <c r="G521" s="18">
        <f>36308.15</f>
        <v>36308.15</v>
      </c>
      <c r="H521" s="18">
        <f>2031.46+1232+1494.01</f>
        <v>4757.47</v>
      </c>
      <c r="I521" s="18">
        <f>1004.7</f>
        <v>1004.7</v>
      </c>
      <c r="J521" s="18"/>
      <c r="K521" s="18"/>
      <c r="L521" s="88">
        <f>SUM(F521:K521)</f>
        <v>112060.23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16797.58</f>
        <v>16797.580000000002</v>
      </c>
      <c r="G522" s="18">
        <f>8713.96</f>
        <v>8713.9599999999991</v>
      </c>
      <c r="H522" s="18">
        <f>487.55+750+358.56</f>
        <v>1596.11</v>
      </c>
      <c r="I522" s="18">
        <f>241.13</f>
        <v>241.13</v>
      </c>
      <c r="J522" s="18"/>
      <c r="K522" s="18"/>
      <c r="L522" s="88">
        <f>SUM(F522:K522)</f>
        <v>27348.780000000002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65364.49</f>
        <v>65364.49</v>
      </c>
      <c r="G523" s="18">
        <f>33908.63</f>
        <v>33908.629999999997</v>
      </c>
      <c r="H523" s="18">
        <f>1897.19+1395.27</f>
        <v>3292.46</v>
      </c>
      <c r="I523" s="18">
        <f>938.3</f>
        <v>938.3</v>
      </c>
      <c r="J523" s="18"/>
      <c r="K523" s="18"/>
      <c r="L523" s="88">
        <f>SUM(F523:K523)</f>
        <v>103503.88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152151.98000000001</v>
      </c>
      <c r="G524" s="89">
        <f t="shared" ref="G524:L524" si="37">SUM(G521:G523)</f>
        <v>78930.739999999991</v>
      </c>
      <c r="H524" s="89">
        <f t="shared" si="37"/>
        <v>9646.0400000000009</v>
      </c>
      <c r="I524" s="89">
        <f t="shared" si="37"/>
        <v>2184.13</v>
      </c>
      <c r="J524" s="89">
        <f t="shared" si="37"/>
        <v>0</v>
      </c>
      <c r="K524" s="89">
        <f t="shared" si="37"/>
        <v>0</v>
      </c>
      <c r="L524" s="89">
        <f t="shared" si="37"/>
        <v>242912.89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29716.6</v>
      </c>
      <c r="I526" s="18"/>
      <c r="J526" s="18"/>
      <c r="K526" s="18"/>
      <c r="L526" s="88">
        <f>SUM(F526:K526)</f>
        <v>29716.6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29716.6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29716.6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130974.7</v>
      </c>
      <c r="I531" s="18"/>
      <c r="J531" s="18"/>
      <c r="K531" s="18"/>
      <c r="L531" s="88">
        <f>SUM(F531:K531)</f>
        <v>130974.7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68334.63</v>
      </c>
      <c r="I532" s="18"/>
      <c r="J532" s="18"/>
      <c r="K532" s="18"/>
      <c r="L532" s="88">
        <f>SUM(F532:K532)</f>
        <v>68334.63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85418.28</v>
      </c>
      <c r="I533" s="18"/>
      <c r="J533" s="18"/>
      <c r="K533" s="18"/>
      <c r="L533" s="88">
        <f>SUM(F533:K533)</f>
        <v>85418.28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284727.61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284727.61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1811231.89</v>
      </c>
      <c r="G535" s="89">
        <f t="shared" ref="G535:L535" si="40">G514+G519+G524+G529+G534</f>
        <v>776178.05</v>
      </c>
      <c r="H535" s="89">
        <f t="shared" si="40"/>
        <v>2756115.8299999996</v>
      </c>
      <c r="I535" s="89">
        <f t="shared" si="40"/>
        <v>14368.560000000001</v>
      </c>
      <c r="J535" s="89">
        <f t="shared" si="40"/>
        <v>46496.7</v>
      </c>
      <c r="K535" s="89">
        <f t="shared" si="40"/>
        <v>1669</v>
      </c>
      <c r="L535" s="89">
        <f t="shared" si="40"/>
        <v>5406060.0299999993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1337968.49</v>
      </c>
      <c r="G539" s="87">
        <f>L516</f>
        <v>472664.77999999997</v>
      </c>
      <c r="H539" s="87">
        <f>L521</f>
        <v>112060.23</v>
      </c>
      <c r="I539" s="87">
        <f>L526</f>
        <v>29716.6</v>
      </c>
      <c r="J539" s="87">
        <f>L531</f>
        <v>130974.7</v>
      </c>
      <c r="K539" s="87">
        <f>SUM(F539:J539)</f>
        <v>2083384.8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517438.49999999994</v>
      </c>
      <c r="G540" s="87">
        <f>L517</f>
        <v>246964.4</v>
      </c>
      <c r="H540" s="87">
        <f>L522</f>
        <v>27348.780000000002</v>
      </c>
      <c r="I540" s="87">
        <f>L527</f>
        <v>0</v>
      </c>
      <c r="J540" s="87">
        <f>L532</f>
        <v>68334.63</v>
      </c>
      <c r="K540" s="87">
        <f>SUM(F540:J540)</f>
        <v>860086.30999999994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2163460.19</v>
      </c>
      <c r="G541" s="87">
        <f>L518</f>
        <v>110206.57</v>
      </c>
      <c r="H541" s="87">
        <f>L523</f>
        <v>103503.88</v>
      </c>
      <c r="I541" s="87">
        <f>L528</f>
        <v>0</v>
      </c>
      <c r="J541" s="87">
        <f>L533</f>
        <v>85418.28</v>
      </c>
      <c r="K541" s="87">
        <f>SUM(F541:J541)</f>
        <v>2462588.9199999995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4018867.1799999997</v>
      </c>
      <c r="G542" s="89">
        <f t="shared" si="41"/>
        <v>829835.75</v>
      </c>
      <c r="H542" s="89">
        <f t="shared" si="41"/>
        <v>242912.89</v>
      </c>
      <c r="I542" s="89">
        <f t="shared" si="41"/>
        <v>29716.6</v>
      </c>
      <c r="J542" s="89">
        <f t="shared" si="41"/>
        <v>284727.61</v>
      </c>
      <c r="K542" s="89">
        <f t="shared" si="41"/>
        <v>5406060.0299999993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76725</v>
      </c>
      <c r="G552" s="18">
        <v>37246.61</v>
      </c>
      <c r="H552" s="18"/>
      <c r="I552" s="18"/>
      <c r="J552" s="18"/>
      <c r="K552" s="18"/>
      <c r="L552" s="88">
        <f>SUM(F552:K552)</f>
        <v>113971.61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39862</v>
      </c>
      <c r="G553" s="18">
        <v>8976.31</v>
      </c>
      <c r="H553" s="18"/>
      <c r="I553" s="18">
        <v>423.99</v>
      </c>
      <c r="J553" s="18"/>
      <c r="K553" s="18"/>
      <c r="L553" s="88">
        <f>SUM(F553:K553)</f>
        <v>49262.299999999996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116587</v>
      </c>
      <c r="G555" s="89">
        <f t="shared" si="43"/>
        <v>46222.92</v>
      </c>
      <c r="H555" s="89">
        <f t="shared" si="43"/>
        <v>0</v>
      </c>
      <c r="I555" s="89">
        <f t="shared" si="43"/>
        <v>423.99</v>
      </c>
      <c r="J555" s="89">
        <f t="shared" si="43"/>
        <v>0</v>
      </c>
      <c r="K555" s="89">
        <f t="shared" si="43"/>
        <v>0</v>
      </c>
      <c r="L555" s="89">
        <f t="shared" si="43"/>
        <v>163233.91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55267</v>
      </c>
      <c r="G557" s="18">
        <v>26628.240000000002</v>
      </c>
      <c r="H557" s="18"/>
      <c r="I557" s="18">
        <v>1836.1</v>
      </c>
      <c r="J557" s="18">
        <v>2098</v>
      </c>
      <c r="K557" s="18">
        <v>690</v>
      </c>
      <c r="L557" s="88">
        <f>SUM(F557:K557)</f>
        <v>86519.340000000011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49871</v>
      </c>
      <c r="G558" s="18">
        <v>26035.45</v>
      </c>
      <c r="H558" s="18"/>
      <c r="I558" s="18">
        <v>3898.79</v>
      </c>
      <c r="J558" s="18">
        <v>949</v>
      </c>
      <c r="K558" s="18"/>
      <c r="L558" s="88">
        <f>SUM(F558:K558)</f>
        <v>80754.239999999991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105138</v>
      </c>
      <c r="G560" s="194">
        <f t="shared" ref="G560:L560" si="44">SUM(G557:G559)</f>
        <v>52663.69</v>
      </c>
      <c r="H560" s="194">
        <f t="shared" si="44"/>
        <v>0</v>
      </c>
      <c r="I560" s="194">
        <f t="shared" si="44"/>
        <v>5734.8899999999994</v>
      </c>
      <c r="J560" s="194">
        <f t="shared" si="44"/>
        <v>3047</v>
      </c>
      <c r="K560" s="194">
        <f t="shared" si="44"/>
        <v>690</v>
      </c>
      <c r="L560" s="194">
        <f t="shared" si="44"/>
        <v>167273.58000000002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221725</v>
      </c>
      <c r="G561" s="89">
        <f t="shared" ref="G561:L561" si="45">G550+G555+G560</f>
        <v>98886.61</v>
      </c>
      <c r="H561" s="89">
        <f t="shared" si="45"/>
        <v>0</v>
      </c>
      <c r="I561" s="89">
        <f t="shared" si="45"/>
        <v>6158.8799999999992</v>
      </c>
      <c r="J561" s="89">
        <f t="shared" si="45"/>
        <v>3047</v>
      </c>
      <c r="K561" s="89">
        <f t="shared" si="45"/>
        <v>690</v>
      </c>
      <c r="L561" s="89">
        <f t="shared" si="45"/>
        <v>330507.49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5290001.6399999997</v>
      </c>
      <c r="I565" s="87">
        <f>SUM(F565:H565)</f>
        <v>5290001.6399999997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72944.42</v>
      </c>
      <c r="G569" s="18"/>
      <c r="H569" s="18">
        <v>1224746.75</v>
      </c>
      <c r="I569" s="87">
        <f t="shared" si="46"/>
        <v>1297691.17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183865.11</v>
      </c>
      <c r="G572" s="18">
        <v>4000</v>
      </c>
      <c r="H572" s="18">
        <v>616579.71</v>
      </c>
      <c r="I572" s="87">
        <f t="shared" si="46"/>
        <v>804444.82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303517.23</v>
      </c>
      <c r="I581" s="18">
        <v>161875.85999999999</v>
      </c>
      <c r="J581" s="18">
        <v>209089.65</v>
      </c>
      <c r="K581" s="104">
        <f t="shared" ref="K581:K587" si="47">SUM(H581:J581)</f>
        <v>674482.74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130974.7</v>
      </c>
      <c r="I582" s="18">
        <v>68334.63</v>
      </c>
      <c r="J582" s="18">
        <v>85418.28</v>
      </c>
      <c r="K582" s="104">
        <f t="shared" si="47"/>
        <v>284727.61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12797.5</v>
      </c>
      <c r="J584" s="18"/>
      <c r="K584" s="104">
        <f t="shared" si="47"/>
        <v>12797.5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7485.25</v>
      </c>
      <c r="I585" s="18">
        <v>2645</v>
      </c>
      <c r="J585" s="18"/>
      <c r="K585" s="104">
        <f t="shared" si="47"/>
        <v>10130.25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441977.18</v>
      </c>
      <c r="I588" s="108">
        <f>SUM(I581:I587)</f>
        <v>245652.99</v>
      </c>
      <c r="J588" s="108">
        <f>SUM(J581:J587)</f>
        <v>294507.93</v>
      </c>
      <c r="K588" s="108">
        <f>SUM(K581:K587)</f>
        <v>982138.1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110885.24+71647.73+1208+13920.11+26178.84</f>
        <v>223839.92</v>
      </c>
      <c r="I594" s="18">
        <f>25498.99+38579.55+3298.78+7495.45+14096.3</f>
        <v>88969.07</v>
      </c>
      <c r="J594" s="18"/>
      <c r="K594" s="104">
        <f>SUM(H594:J594)</f>
        <v>312808.99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223839.92</v>
      </c>
      <c r="I595" s="108">
        <f>SUM(I592:I594)</f>
        <v>88969.07</v>
      </c>
      <c r="J595" s="108">
        <f>SUM(J592:J594)</f>
        <v>0</v>
      </c>
      <c r="K595" s="108">
        <f>SUM(K592:K594)</f>
        <v>312808.99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3750+33558.72</f>
        <v>37308.720000000001</v>
      </c>
      <c r="G601" s="18">
        <f>306.08+514.76+265.93+3282.89</f>
        <v>4369.66</v>
      </c>
      <c r="H601" s="18"/>
      <c r="I601" s="18"/>
      <c r="J601" s="18"/>
      <c r="K601" s="18"/>
      <c r="L601" s="88">
        <f>SUM(F601:K601)</f>
        <v>41678.380000000005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6957.5+8094.63</f>
        <v>15052.130000000001</v>
      </c>
      <c r="G602" s="18">
        <f>1066.7+805.99</f>
        <v>1872.69</v>
      </c>
      <c r="H602" s="18"/>
      <c r="I602" s="18">
        <f>419.65</f>
        <v>419.65</v>
      </c>
      <c r="J602" s="18"/>
      <c r="K602" s="18"/>
      <c r="L602" s="88">
        <f>SUM(F602:K602)</f>
        <v>17344.47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52360.850000000006</v>
      </c>
      <c r="G604" s="108">
        <f t="shared" si="48"/>
        <v>6242.35</v>
      </c>
      <c r="H604" s="108">
        <f t="shared" si="48"/>
        <v>0</v>
      </c>
      <c r="I604" s="108">
        <f t="shared" si="48"/>
        <v>419.65</v>
      </c>
      <c r="J604" s="108">
        <f t="shared" si="48"/>
        <v>0</v>
      </c>
      <c r="K604" s="108">
        <f t="shared" si="48"/>
        <v>0</v>
      </c>
      <c r="L604" s="89">
        <f t="shared" si="48"/>
        <v>59022.850000000006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1526628.49</v>
      </c>
      <c r="H607" s="109">
        <f>SUM(F44)</f>
        <v>1526628.49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12469.509999999998</v>
      </c>
      <c r="H608" s="109">
        <f>SUM(G44)</f>
        <v>12469.51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239329.03</v>
      </c>
      <c r="H609" s="109">
        <f>SUM(H44)</f>
        <v>239329.03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261828.07</v>
      </c>
      <c r="H611" s="109">
        <f>SUM(J44)</f>
        <v>261828.07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1085169.54</v>
      </c>
      <c r="H612" s="109">
        <f>F466</f>
        <v>1085169.5399999991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261828.07</v>
      </c>
      <c r="H616" s="109">
        <f>J466</f>
        <v>261828.07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24408902</v>
      </c>
      <c r="H617" s="104">
        <f>SUM(F458)</f>
        <v>24408902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571309.9</v>
      </c>
      <c r="H618" s="104">
        <f>SUM(G458)</f>
        <v>571309.9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820286.04</v>
      </c>
      <c r="H619" s="104">
        <f>SUM(H458)</f>
        <v>820286.04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2421.4299999999998</v>
      </c>
      <c r="H621" s="104">
        <f>SUM(J458)</f>
        <v>2421.4299999999998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24377408.849999998</v>
      </c>
      <c r="H622" s="104">
        <f>SUM(F462)</f>
        <v>24377408.850000001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820286.04</v>
      </c>
      <c r="H623" s="104">
        <f>SUM(H462)</f>
        <v>820286.04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206740.55</v>
      </c>
      <c r="H624" s="104">
        <f>I361</f>
        <v>206740.55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571309.9</v>
      </c>
      <c r="H625" s="104">
        <f>SUM(G462)</f>
        <v>571309.9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2421.4299999999998</v>
      </c>
      <c r="H627" s="164">
        <f>SUM(J458)</f>
        <v>2421.4299999999998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51914.42</v>
      </c>
      <c r="H629" s="104">
        <f>SUM(F451)</f>
        <v>51914.42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209913.65</v>
      </c>
      <c r="H630" s="104">
        <f>SUM(G451)</f>
        <v>209913.65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261828.07</v>
      </c>
      <c r="H632" s="104">
        <f>SUM(I451)</f>
        <v>261828.07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2421.4299999999998</v>
      </c>
      <c r="H634" s="104">
        <f>H400</f>
        <v>2421.4299999999998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2421.4299999999998</v>
      </c>
      <c r="H636" s="104">
        <f>L400</f>
        <v>2421.4299999999998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982138.1</v>
      </c>
      <c r="H637" s="104">
        <f>L200+L218+L236</f>
        <v>982138.09999999986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312808.99</v>
      </c>
      <c r="H638" s="104">
        <f>(J249+J330)-(J247+J328)</f>
        <v>312808.99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441977.18</v>
      </c>
      <c r="H639" s="104">
        <f>H588</f>
        <v>441977.18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245652.99</v>
      </c>
      <c r="H640" s="104">
        <f>I588</f>
        <v>245652.99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294507.93</v>
      </c>
      <c r="H641" s="104">
        <f>J588</f>
        <v>294507.93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99379.75</v>
      </c>
      <c r="H642" s="104">
        <f>K255+K337</f>
        <v>99379.75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10331123.120000001</v>
      </c>
      <c r="G650" s="19">
        <f>(L221+L301+L351)</f>
        <v>5780860.8500000015</v>
      </c>
      <c r="H650" s="19">
        <f>(L239+L320+L352)</f>
        <v>7860945.0799999991</v>
      </c>
      <c r="I650" s="19">
        <f>SUM(F650:H650)</f>
        <v>23972929.050000001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209566.08202503319</v>
      </c>
      <c r="G651" s="19">
        <f>(L351/IF(SUM(L350:L352)=0,1,SUM(L350:L352))*(SUM(G89:G102)))</f>
        <v>100746.50797496684</v>
      </c>
      <c r="H651" s="19">
        <f>(L352/IF(SUM(L350:L352)=0,1,SUM(L350:L352))*(SUM(G89:G102)))</f>
        <v>0</v>
      </c>
      <c r="I651" s="19">
        <f>SUM(F651:H651)</f>
        <v>310312.59000000003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441977.18</v>
      </c>
      <c r="G652" s="19">
        <f>(L218+L298)-(J218+J298)</f>
        <v>245652.99</v>
      </c>
      <c r="H652" s="19">
        <f>(L236+L317)-(J236+J317)</f>
        <v>294507.93</v>
      </c>
      <c r="I652" s="19">
        <f>SUM(F652:H652)</f>
        <v>982138.09999999986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522327.82999999996</v>
      </c>
      <c r="G653" s="200">
        <f>SUM(G565:G577)+SUM(I592:I594)+L602</f>
        <v>110313.54000000001</v>
      </c>
      <c r="H653" s="200">
        <f>SUM(H565:H577)+SUM(J592:J594)+L603</f>
        <v>7131328.0999999996</v>
      </c>
      <c r="I653" s="19">
        <f>SUM(F653:H653)</f>
        <v>7763969.4699999997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9157252.0279749669</v>
      </c>
      <c r="G654" s="19">
        <f>G650-SUM(G651:G653)</f>
        <v>5324147.8120250348</v>
      </c>
      <c r="H654" s="19">
        <f>H650-SUM(H651:H653)</f>
        <v>435109.04999999981</v>
      </c>
      <c r="I654" s="19">
        <f>I650-SUM(I651:I653)</f>
        <v>14916508.890000001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873.04</v>
      </c>
      <c r="G655" s="249">
        <v>502.88</v>
      </c>
      <c r="H655" s="249"/>
      <c r="I655" s="19">
        <f>SUM(F655:H655)</f>
        <v>1375.92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10488.93</v>
      </c>
      <c r="G657" s="19">
        <f>ROUND(G654/G655,2)</f>
        <v>10587.31</v>
      </c>
      <c r="H657" s="19" t="e">
        <f>ROUND(H654/H655,2)</f>
        <v>#DIV/0!</v>
      </c>
      <c r="I657" s="19">
        <f>ROUND(I654/I655,2)</f>
        <v>10841.12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-435109.05</v>
      </c>
      <c r="I659" s="19">
        <f>SUM(F659:H659)</f>
        <v>-435109.05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10488.93</v>
      </c>
      <c r="G662" s="19">
        <f>ROUND((G654+G659)/(G655+G660),2)</f>
        <v>10587.31</v>
      </c>
      <c r="H662" s="19" t="e">
        <f>ROUND((H654+H659)/(H655+H660),2)</f>
        <v>#DIV/0!</v>
      </c>
      <c r="I662" s="19">
        <f>ROUND((I654+I659)/(I655+I660),2)</f>
        <v>10524.89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560D-687C-4C3D-9F77-897F487CB78D}">
  <sheetPr>
    <tabColor indexed="20"/>
  </sheetPr>
  <dimension ref="A1:C52"/>
  <sheetViews>
    <sheetView topLeftCell="A37"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Hooksett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4897428.6100000003</v>
      </c>
      <c r="C9" s="230">
        <f>'DOE25'!G189+'DOE25'!G207+'DOE25'!G225+'DOE25'!G268+'DOE25'!G287+'DOE25'!G306</f>
        <v>1961479.86</v>
      </c>
    </row>
    <row r="10" spans="1:3" x14ac:dyDescent="0.2">
      <c r="A10" t="s">
        <v>813</v>
      </c>
      <c r="B10" s="241">
        <v>4423757.67</v>
      </c>
      <c r="C10" s="241">
        <v>1759859.01</v>
      </c>
    </row>
    <row r="11" spans="1:3" x14ac:dyDescent="0.2">
      <c r="A11" t="s">
        <v>814</v>
      </c>
      <c r="B11" s="241">
        <v>97651.8</v>
      </c>
      <c r="C11" s="241">
        <v>102971.24</v>
      </c>
    </row>
    <row r="12" spans="1:3" x14ac:dyDescent="0.2">
      <c r="A12" t="s">
        <v>815</v>
      </c>
      <c r="B12" s="241">
        <v>376019.14</v>
      </c>
      <c r="C12" s="241">
        <v>98649.61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4897428.6099999994</v>
      </c>
      <c r="C13" s="232">
        <f>SUM(C10:C12)</f>
        <v>1961479.86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1594067.3200000003</v>
      </c>
      <c r="C18" s="230">
        <f>'DOE25'!G190+'DOE25'!G208+'DOE25'!G226+'DOE25'!G269+'DOE25'!G288+'DOE25'!G307</f>
        <v>704237.15</v>
      </c>
    </row>
    <row r="19" spans="1:3" x14ac:dyDescent="0.2">
      <c r="A19" t="s">
        <v>813</v>
      </c>
      <c r="B19" s="241">
        <v>612557.93000000005</v>
      </c>
      <c r="C19" s="241">
        <v>289676.39</v>
      </c>
    </row>
    <row r="20" spans="1:3" x14ac:dyDescent="0.2">
      <c r="A20" t="s">
        <v>814</v>
      </c>
      <c r="B20" s="241">
        <v>585717.37</v>
      </c>
      <c r="C20" s="241">
        <v>298337</v>
      </c>
    </row>
    <row r="21" spans="1:3" x14ac:dyDescent="0.2">
      <c r="A21" t="s">
        <v>815</v>
      </c>
      <c r="B21" s="241">
        <v>395792.02</v>
      </c>
      <c r="C21" s="241">
        <v>116223.76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1594067.32</v>
      </c>
      <c r="C22" s="232">
        <f>SUM(C19:C21)</f>
        <v>704237.15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80559.45</v>
      </c>
      <c r="C36" s="236">
        <f>'DOE25'!G192+'DOE25'!G210+'DOE25'!G228+'DOE25'!G271+'DOE25'!G290+'DOE25'!G309</f>
        <v>10778.03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14400+3400+31402.95+22399+6957.5+2000</f>
        <v>80559.45</v>
      </c>
      <c r="C39" s="241">
        <f>2040.99+514.76+4733.56+2422.02+1066.7</f>
        <v>10778.03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80559.45</v>
      </c>
      <c r="C40" s="232">
        <f>SUM(C37:C39)</f>
        <v>10778.03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2210-B019-4119-8CF6-BE7CDD554E12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Hooksett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16698998.080000002</v>
      </c>
      <c r="D5" s="20">
        <f>SUM('DOE25'!L189:L192)+SUM('DOE25'!L207:L210)+SUM('DOE25'!L225:L228)-F5-G5</f>
        <v>16660632.320000002</v>
      </c>
      <c r="E5" s="244"/>
      <c r="F5" s="256">
        <f>SUM('DOE25'!J189:J192)+SUM('DOE25'!J207:J210)+SUM('DOE25'!J225:J228)</f>
        <v>34360.26</v>
      </c>
      <c r="G5" s="53">
        <f>SUM('DOE25'!K189:K192)+SUM('DOE25'!K207:K210)+SUM('DOE25'!K225:K228)</f>
        <v>4005.5</v>
      </c>
      <c r="H5" s="260"/>
    </row>
    <row r="6" spans="1:9" x14ac:dyDescent="0.2">
      <c r="A6" s="32">
        <v>2100</v>
      </c>
      <c r="B6" t="s">
        <v>835</v>
      </c>
      <c r="C6" s="246">
        <f t="shared" si="0"/>
        <v>1124539.3399999999</v>
      </c>
      <c r="D6" s="20">
        <f>'DOE25'!L194+'DOE25'!L212+'DOE25'!L230-F6-G6</f>
        <v>1118266.6299999999</v>
      </c>
      <c r="E6" s="244"/>
      <c r="F6" s="256">
        <f>'DOE25'!J194+'DOE25'!J212+'DOE25'!J230</f>
        <v>998.71</v>
      </c>
      <c r="G6" s="53">
        <f>'DOE25'!K194+'DOE25'!K212+'DOE25'!K230</f>
        <v>5274</v>
      </c>
      <c r="H6" s="260"/>
    </row>
    <row r="7" spans="1:9" x14ac:dyDescent="0.2">
      <c r="A7" s="32">
        <v>2200</v>
      </c>
      <c r="B7" t="s">
        <v>868</v>
      </c>
      <c r="C7" s="246">
        <f t="shared" si="0"/>
        <v>388914.44</v>
      </c>
      <c r="D7" s="20">
        <f>'DOE25'!L195+'DOE25'!L213+'DOE25'!L231-F7-G7</f>
        <v>376474.28</v>
      </c>
      <c r="E7" s="244"/>
      <c r="F7" s="256">
        <f>'DOE25'!J195+'DOE25'!J213+'DOE25'!J231</f>
        <v>12069.66</v>
      </c>
      <c r="G7" s="53">
        <f>'DOE25'!K195+'DOE25'!K213+'DOE25'!K231</f>
        <v>370.5</v>
      </c>
      <c r="H7" s="260"/>
    </row>
    <row r="8" spans="1:9" x14ac:dyDescent="0.2">
      <c r="A8" s="32">
        <v>2300</v>
      </c>
      <c r="B8" t="s">
        <v>836</v>
      </c>
      <c r="C8" s="246">
        <f t="shared" si="0"/>
        <v>452143.14999999991</v>
      </c>
      <c r="D8" s="244"/>
      <c r="E8" s="20">
        <f>'DOE25'!L196+'DOE25'!L214+'DOE25'!L232-F8-G8-D9-D11</f>
        <v>441748.09999999992</v>
      </c>
      <c r="F8" s="256">
        <f>'DOE25'!J196+'DOE25'!J214+'DOE25'!J232</f>
        <v>0</v>
      </c>
      <c r="G8" s="53">
        <f>'DOE25'!K196+'DOE25'!K214+'DOE25'!K232</f>
        <v>10395.049999999999</v>
      </c>
      <c r="H8" s="260"/>
    </row>
    <row r="9" spans="1:9" x14ac:dyDescent="0.2">
      <c r="A9" s="32">
        <v>2310</v>
      </c>
      <c r="B9" t="s">
        <v>852</v>
      </c>
      <c r="C9" s="246">
        <f t="shared" si="0"/>
        <v>60210.68</v>
      </c>
      <c r="D9" s="245">
        <v>60210.68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14710</v>
      </c>
      <c r="D10" s="244"/>
      <c r="E10" s="245">
        <v>14710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107290.19</v>
      </c>
      <c r="D11" s="245">
        <v>107290.19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974851.05</v>
      </c>
      <c r="D12" s="20">
        <f>'DOE25'!L197+'DOE25'!L215+'DOE25'!L233-F12-G12</f>
        <v>968395.24000000011</v>
      </c>
      <c r="E12" s="244"/>
      <c r="F12" s="256">
        <f>'DOE25'!J197+'DOE25'!J215+'DOE25'!J233</f>
        <v>2331.87</v>
      </c>
      <c r="G12" s="53">
        <f>'DOE25'!K197+'DOE25'!K215+'DOE25'!K233</f>
        <v>4123.9400000000005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1517680.3099999998</v>
      </c>
      <c r="D14" s="20">
        <f>'DOE25'!L199+'DOE25'!L217+'DOE25'!L235-F14-G14</f>
        <v>1431056.5799999998</v>
      </c>
      <c r="E14" s="244"/>
      <c r="F14" s="256">
        <f>'DOE25'!J199+'DOE25'!J217+'DOE25'!J235</f>
        <v>86623.73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982138.09999999986</v>
      </c>
      <c r="D15" s="20">
        <f>'DOE25'!L200+'DOE25'!L218+'DOE25'!L236-F15-G15</f>
        <v>982138.09999999986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274567.77</v>
      </c>
      <c r="D16" s="244"/>
      <c r="E16" s="20">
        <f>'DOE25'!L201+'DOE25'!L219+'DOE25'!L237-F16-G16</f>
        <v>164340.49000000002</v>
      </c>
      <c r="F16" s="256">
        <f>'DOE25'!J201+'DOE25'!J219+'DOE25'!J237</f>
        <v>110227.28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19184.739999999998</v>
      </c>
      <c r="D22" s="244"/>
      <c r="E22" s="244"/>
      <c r="F22" s="256">
        <f>'DOE25'!L247+'DOE25'!L328</f>
        <v>19184.739999999998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1677511.25</v>
      </c>
      <c r="D25" s="244"/>
      <c r="E25" s="244"/>
      <c r="F25" s="259"/>
      <c r="G25" s="257"/>
      <c r="H25" s="258">
        <f>'DOE25'!L252+'DOE25'!L253+'DOE25'!L333+'DOE25'!L334</f>
        <v>1677511.25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414728.46</v>
      </c>
      <c r="D29" s="20">
        <f>'DOE25'!L350+'DOE25'!L351+'DOE25'!L352-'DOE25'!I359-F29-G29</f>
        <v>412518.46</v>
      </c>
      <c r="E29" s="244"/>
      <c r="F29" s="256">
        <f>'DOE25'!J350+'DOE25'!J351+'DOE25'!J352</f>
        <v>2210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820286.04</v>
      </c>
      <c r="D31" s="20">
        <f>'DOE25'!L282+'DOE25'!L301+'DOE25'!L320+'DOE25'!L325+'DOE25'!L326+'DOE25'!L327-F31-G31</f>
        <v>733004.20000000007</v>
      </c>
      <c r="E31" s="244"/>
      <c r="F31" s="256">
        <f>'DOE25'!J282+'DOE25'!J301+'DOE25'!J320+'DOE25'!J325+'DOE25'!J326+'DOE25'!J327</f>
        <v>66197.48</v>
      </c>
      <c r="G31" s="53">
        <f>'DOE25'!K282+'DOE25'!K301+'DOE25'!K320+'DOE25'!K325+'DOE25'!K326+'DOE25'!K327</f>
        <v>21084.36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22849986.680000003</v>
      </c>
      <c r="E33" s="247">
        <f>SUM(E5:E31)</f>
        <v>620798.59</v>
      </c>
      <c r="F33" s="247">
        <f>SUM(F5:F31)</f>
        <v>334203.73</v>
      </c>
      <c r="G33" s="247">
        <f>SUM(G5:G31)</f>
        <v>45253.35</v>
      </c>
      <c r="H33" s="247">
        <f>SUM(H5:H31)</f>
        <v>1677511.25</v>
      </c>
    </row>
    <row r="35" spans="2:8" ht="12" thickBot="1" x14ac:dyDescent="0.25">
      <c r="B35" s="254" t="s">
        <v>881</v>
      </c>
      <c r="D35" s="255">
        <f>E33</f>
        <v>620798.59</v>
      </c>
      <c r="E35" s="250"/>
    </row>
    <row r="36" spans="2:8" ht="12" thickTop="1" x14ac:dyDescent="0.2">
      <c r="B36" t="s">
        <v>849</v>
      </c>
      <c r="D36" s="20">
        <f>D33</f>
        <v>22849986.680000003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8CFE-6239-4B49-8B4F-8C872F199525}">
  <sheetPr transitionEvaluation="1" codeName="Sheet2">
    <tabColor indexed="10"/>
  </sheetPr>
  <dimension ref="A1:I156"/>
  <sheetViews>
    <sheetView zoomScale="75" workbookViewId="0">
      <pane ySplit="2" topLeftCell="A74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Hooksett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1241804.78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261828.07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4589.59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234591.18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42823.72</v>
      </c>
      <c r="D13" s="95">
        <f>'DOE25'!G13</f>
        <v>10587.22</v>
      </c>
      <c r="E13" s="95">
        <f>'DOE25'!H13</f>
        <v>239324.05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2819.22</v>
      </c>
      <c r="D14" s="95">
        <f>'DOE25'!G14</f>
        <v>1882.29</v>
      </c>
      <c r="E14" s="95">
        <f>'DOE25'!H14</f>
        <v>4.9800000000000004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1526628.49</v>
      </c>
      <c r="D19" s="41">
        <f>SUM(D9:D18)</f>
        <v>12469.509999999998</v>
      </c>
      <c r="E19" s="41">
        <f>SUM(E9:E18)</f>
        <v>239329.03</v>
      </c>
      <c r="F19" s="41">
        <f>SUM(F9:F18)</f>
        <v>0</v>
      </c>
      <c r="G19" s="41">
        <f>SUM(G9:G18)</f>
        <v>261828.07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2645.87</v>
      </c>
      <c r="E22" s="95">
        <f>'DOE25'!H23</f>
        <v>231945.31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427706.7</v>
      </c>
      <c r="D24" s="95">
        <f>'DOE25'!G25</f>
        <v>968.38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10621.25</v>
      </c>
      <c r="D28" s="95">
        <f>'DOE25'!G29</f>
        <v>93.39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3131</v>
      </c>
      <c r="D30" s="95">
        <f>'DOE25'!G31</f>
        <v>8761.8700000000008</v>
      </c>
      <c r="E30" s="95">
        <f>'DOE25'!H31</f>
        <v>7383.72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441458.95</v>
      </c>
      <c r="D32" s="41">
        <f>SUM(D22:D31)</f>
        <v>12469.51</v>
      </c>
      <c r="E32" s="41">
        <f>SUM(E22:E31)</f>
        <v>239329.03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117679.86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261828.07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967489.68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1085169.54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261828.07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1526628.49</v>
      </c>
      <c r="D43" s="41">
        <f>D42+D32</f>
        <v>12469.51</v>
      </c>
      <c r="E43" s="41">
        <f>E42+E32</f>
        <v>239329.03</v>
      </c>
      <c r="F43" s="41">
        <f>F42+F32</f>
        <v>0</v>
      </c>
      <c r="G43" s="41">
        <f>G42+G32</f>
        <v>261828.07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16668680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37411.619999999995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24959.5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7861.22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2421.4299999999998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310312.59000000003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29256.599999999995</v>
      </c>
      <c r="D53" s="95">
        <f>SUM('DOE25'!G90:G102)</f>
        <v>0</v>
      </c>
      <c r="E53" s="95">
        <f>SUM('DOE25'!H90:H102)</f>
        <v>5940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99488.939999999988</v>
      </c>
      <c r="D54" s="130">
        <f>SUM(D49:D53)</f>
        <v>310312.59000000003</v>
      </c>
      <c r="E54" s="130">
        <f>SUM(E49:E53)</f>
        <v>5940</v>
      </c>
      <c r="F54" s="130">
        <f>SUM(F49:F53)</f>
        <v>0</v>
      </c>
      <c r="G54" s="130">
        <f>SUM(G49:G53)</f>
        <v>2421.4299999999998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16768168.939999999</v>
      </c>
      <c r="D55" s="22">
        <f>D48+D54</f>
        <v>310312.59000000003</v>
      </c>
      <c r="E55" s="22">
        <f>E48+E54</f>
        <v>5940</v>
      </c>
      <c r="F55" s="22">
        <f>F48+F54</f>
        <v>0</v>
      </c>
      <c r="G55" s="22">
        <f>G48+G54</f>
        <v>2421.4299999999998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2221620.5099999998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3633563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852367.49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6707551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310500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425991.14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7050</v>
      </c>
      <c r="D69" s="95">
        <f>SUM('DOE25'!G123:G127)</f>
        <v>6527.42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743541.14</v>
      </c>
      <c r="D70" s="130">
        <f>SUM(D64:D69)</f>
        <v>6527.42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7451092.1399999997</v>
      </c>
      <c r="D73" s="130">
        <f>SUM(D71:D72)+D70+D62</f>
        <v>6527.42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189640.92</v>
      </c>
      <c r="D80" s="95">
        <f>SUM('DOE25'!G145:G153)</f>
        <v>155090.14000000001</v>
      </c>
      <c r="E80" s="95">
        <f>SUM('DOE25'!H145:H153)</f>
        <v>782789.25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31556.79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189640.92</v>
      </c>
      <c r="D83" s="131">
        <f>SUM(D77:D82)</f>
        <v>155090.14000000001</v>
      </c>
      <c r="E83" s="131">
        <f>SUM(E77:E82)</f>
        <v>814346.04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99379.75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99379.75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24408902</v>
      </c>
      <c r="D96" s="86">
        <f>D55+D73+D83+D95</f>
        <v>571309.9</v>
      </c>
      <c r="E96" s="86">
        <f>E55+E73+E83+E95</f>
        <v>820286.04</v>
      </c>
      <c r="F96" s="86">
        <f>F55+F73+F83+F95</f>
        <v>0</v>
      </c>
      <c r="G96" s="86">
        <f>G55+G73+G95</f>
        <v>2421.4299999999998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12381817.900000002</v>
      </c>
      <c r="D101" s="24" t="s">
        <v>312</v>
      </c>
      <c r="E101" s="95">
        <f>('DOE25'!L268)+('DOE25'!L287)+('DOE25'!L306)</f>
        <v>179871.94999999998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4198884.97</v>
      </c>
      <c r="D102" s="24" t="s">
        <v>312</v>
      </c>
      <c r="E102" s="95">
        <f>('DOE25'!L269)+('DOE25'!L288)+('DOE25'!L307)</f>
        <v>362054.26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118295.20999999999</v>
      </c>
      <c r="D104" s="24" t="s">
        <v>312</v>
      </c>
      <c r="E104" s="95">
        <f>+('DOE25'!L271)+('DOE25'!L290)+('DOE25'!L309)</f>
        <v>3500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16698998.080000002</v>
      </c>
      <c r="D107" s="86">
        <f>SUM(D101:D106)</f>
        <v>0</v>
      </c>
      <c r="E107" s="86">
        <f>SUM(E101:E106)</f>
        <v>545426.21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1124539.3399999999</v>
      </c>
      <c r="D110" s="24" t="s">
        <v>312</v>
      </c>
      <c r="E110" s="95">
        <f>+('DOE25'!L273)+('DOE25'!L292)+('DOE25'!L311)</f>
        <v>128391.66999999998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388914.44</v>
      </c>
      <c r="D111" s="24" t="s">
        <v>312</v>
      </c>
      <c r="E111" s="95">
        <f>+('DOE25'!L274)+('DOE25'!L293)+('DOE25'!L312)</f>
        <v>125383.79999999999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619644.02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974851.05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21084.36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1517680.3099999998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982138.09999999986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274567.77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571309.9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5882335.0299999993</v>
      </c>
      <c r="D120" s="86">
        <f>SUM(D110:D119)</f>
        <v>571309.9</v>
      </c>
      <c r="E120" s="86">
        <f>SUM(E110:E119)</f>
        <v>274859.82999999996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19184.739999999998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1035000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642511.25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99379.75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480.19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1941.24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-2421.4299999999998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1796075.74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24377408.849999998</v>
      </c>
      <c r="D137" s="86">
        <f>(D107+D120+D136)</f>
        <v>571309.9</v>
      </c>
      <c r="E137" s="86">
        <f>(E107+E120+E136)</f>
        <v>820286.03999999992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05/02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30732213.059999999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4.51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14470000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14470000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1677511.25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1677511.25</v>
      </c>
    </row>
    <row r="151" spans="1:7" x14ac:dyDescent="0.2">
      <c r="A151" s="22" t="s">
        <v>35</v>
      </c>
      <c r="B151" s="137">
        <f>'DOE25'!F488</f>
        <v>13435000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13435000</v>
      </c>
    </row>
    <row r="152" spans="1:7" x14ac:dyDescent="0.2">
      <c r="A152" s="22" t="s">
        <v>36</v>
      </c>
      <c r="B152" s="137">
        <f>'DOE25'!F489</f>
        <v>4241297.5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4241297.5</v>
      </c>
    </row>
    <row r="153" spans="1:7" x14ac:dyDescent="0.2">
      <c r="A153" s="22" t="s">
        <v>37</v>
      </c>
      <c r="B153" s="137">
        <f>'DOE25'!F490</f>
        <v>17676297.5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17676297.5</v>
      </c>
    </row>
    <row r="154" spans="1:7" x14ac:dyDescent="0.2">
      <c r="A154" s="22" t="s">
        <v>38</v>
      </c>
      <c r="B154" s="137">
        <f>'DOE25'!F491</f>
        <v>1035000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1035000</v>
      </c>
    </row>
    <row r="155" spans="1:7" x14ac:dyDescent="0.2">
      <c r="A155" s="22" t="s">
        <v>39</v>
      </c>
      <c r="B155" s="137">
        <f>'DOE25'!F492</f>
        <v>602922.5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602922.5</v>
      </c>
    </row>
    <row r="156" spans="1:7" x14ac:dyDescent="0.2">
      <c r="A156" s="22" t="s">
        <v>269</v>
      </c>
      <c r="B156" s="137">
        <f>'DOE25'!F493</f>
        <v>1637922.5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1637922.5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E4DF-A77B-4730-AB89-FF87226BCDA0}">
  <sheetPr codeName="Sheet3">
    <tabColor indexed="43"/>
  </sheetPr>
  <dimension ref="A1:D42"/>
  <sheetViews>
    <sheetView topLeftCell="A4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Hooksett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10489</v>
      </c>
    </row>
    <row r="5" spans="1:4" x14ac:dyDescent="0.2">
      <c r="B5" t="s">
        <v>735</v>
      </c>
      <c r="C5" s="179">
        <f>IF('DOE25'!G655+'DOE25'!G660=0,0,ROUND('DOE25'!G662,0))</f>
        <v>10587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10525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12561690</v>
      </c>
      <c r="D10" s="182">
        <f>ROUND((C10/$C$28)*100,1)</f>
        <v>51.7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4560939</v>
      </c>
      <c r="D11" s="182">
        <f>ROUND((C11/$C$28)*100,1)</f>
        <v>18.8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121795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1252931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514298</v>
      </c>
      <c r="D16" s="182">
        <f t="shared" si="0"/>
        <v>2.1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894212</v>
      </c>
      <c r="D17" s="182">
        <f t="shared" si="0"/>
        <v>3.7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974851</v>
      </c>
      <c r="D18" s="182">
        <f t="shared" si="0"/>
        <v>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21084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1517680</v>
      </c>
      <c r="D20" s="182">
        <f t="shared" si="0"/>
        <v>6.2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982138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642511</v>
      </c>
      <c r="D25" s="182">
        <f t="shared" si="0"/>
        <v>2.6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260997.40999999997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24305126.41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19185</v>
      </c>
    </row>
    <row r="30" spans="1:4" x14ac:dyDescent="0.2">
      <c r="B30" s="187" t="s">
        <v>760</v>
      </c>
      <c r="C30" s="180">
        <f>SUM(C28:C29)</f>
        <v>24324311.41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1035000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16668680</v>
      </c>
      <c r="D35" s="182">
        <f t="shared" ref="D35:D40" si="1">ROUND((C35/$C$41)*100,1)</f>
        <v>65.599999999999994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107850.37000000104</v>
      </c>
      <c r="D36" s="182">
        <f t="shared" si="1"/>
        <v>0.4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5855184</v>
      </c>
      <c r="D37" s="182">
        <f t="shared" si="1"/>
        <v>23.1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1602436</v>
      </c>
      <c r="D38" s="182">
        <f t="shared" si="1"/>
        <v>6.3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1159077</v>
      </c>
      <c r="D39" s="182">
        <f t="shared" si="1"/>
        <v>4.5999999999999996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25393227.370000001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CAFB-9249-4173-A56A-B12A4987EFE8}">
  <sheetPr>
    <tabColor indexed="17"/>
  </sheetPr>
  <dimension ref="A1:IV90"/>
  <sheetViews>
    <sheetView workbookViewId="0">
      <pane ySplit="3" topLeftCell="A4" activePane="bottomLeft" state="frozen"/>
      <selection pane="bottomLeft" activeCell="B12" sqref="B1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Hooksett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2</v>
      </c>
      <c r="B5" s="220">
        <v>3</v>
      </c>
      <c r="C5" s="294" t="s">
        <v>897</v>
      </c>
      <c r="D5" s="294"/>
      <c r="E5" s="294"/>
      <c r="F5" s="294"/>
      <c r="G5" s="294"/>
      <c r="H5" s="294"/>
      <c r="I5" s="294"/>
      <c r="J5" s="294"/>
      <c r="K5" s="294"/>
      <c r="L5" s="294"/>
      <c r="M5" s="29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2</v>
      </c>
      <c r="B7" s="220">
        <v>5</v>
      </c>
      <c r="C7" s="280" t="s">
        <v>898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 t="s">
        <v>899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>
        <v>9</v>
      </c>
      <c r="B11" s="220" t="s">
        <v>900</v>
      </c>
      <c r="C11" s="280" t="s">
        <v>901</v>
      </c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 t="s">
        <v>902</v>
      </c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893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2"/>
      <c r="B74" s="212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2"/>
      <c r="B75" s="212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2"/>
      <c r="B76" s="212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2"/>
      <c r="B77" s="212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2"/>
      <c r="B78" s="212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2"/>
      <c r="B79" s="212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2"/>
      <c r="B80" s="212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2"/>
      <c r="B81" s="212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2"/>
      <c r="B82" s="212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2"/>
      <c r="B83" s="212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2"/>
      <c r="B84" s="212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2"/>
      <c r="B85" s="212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2"/>
      <c r="B86" s="212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2"/>
      <c r="B87" s="212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2"/>
      <c r="B88" s="212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2"/>
      <c r="B89" s="212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2"/>
      <c r="B90" s="212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2010-10-21T13:50:40Z</cp:lastPrinted>
  <dcterms:created xsi:type="dcterms:W3CDTF">1997-12-04T19:04:30Z</dcterms:created>
  <dcterms:modified xsi:type="dcterms:W3CDTF">2025-01-02T14:55:35Z</dcterms:modified>
</cp:coreProperties>
</file>