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687E684-A496-401E-A688-6B7B4B3F4059}" xr6:coauthVersionLast="47" xr6:coauthVersionMax="47" xr10:uidLastSave="{00000000-0000-0000-0000-000000000000}"/>
  <workbookProtection workbookPassword="B70A" lockStructure="1"/>
  <bookViews>
    <workbookView xWindow="1170" yWindow="1170" windowWidth="21600" windowHeight="11505" tabRatio="855" xr2:uid="{2552D550-976F-439D-B51B-26FC059D400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3" l="1"/>
  <c r="J226" i="1"/>
  <c r="I226" i="1"/>
  <c r="I239" i="1" s="1"/>
  <c r="H226" i="1"/>
  <c r="H239" i="1" s="1"/>
  <c r="G226" i="1"/>
  <c r="F226" i="1"/>
  <c r="J225" i="1"/>
  <c r="L225" i="1" s="1"/>
  <c r="H225" i="1"/>
  <c r="G225" i="1"/>
  <c r="F225" i="1"/>
  <c r="J208" i="1"/>
  <c r="I208" i="1"/>
  <c r="I221" i="1" s="1"/>
  <c r="H208" i="1"/>
  <c r="G208" i="1"/>
  <c r="F208" i="1"/>
  <c r="L208" i="1" s="1"/>
  <c r="J207" i="1"/>
  <c r="J221" i="1" s="1"/>
  <c r="H207" i="1"/>
  <c r="G207" i="1"/>
  <c r="F207" i="1"/>
  <c r="F221" i="1" s="1"/>
  <c r="J190" i="1"/>
  <c r="I190" i="1"/>
  <c r="H190" i="1"/>
  <c r="G190" i="1"/>
  <c r="F190" i="1"/>
  <c r="L190" i="1" s="1"/>
  <c r="J189" i="1"/>
  <c r="I189" i="1"/>
  <c r="H189" i="1"/>
  <c r="H203" i="1" s="1"/>
  <c r="G189" i="1"/>
  <c r="G203" i="1" s="1"/>
  <c r="G249" i="1" s="1"/>
  <c r="G263" i="1" s="1"/>
  <c r="F189" i="1"/>
  <c r="F9" i="1"/>
  <c r="I431" i="1"/>
  <c r="J9" i="1" s="1"/>
  <c r="I432" i="1"/>
  <c r="J10" i="1"/>
  <c r="I433" i="1"/>
  <c r="J12" i="1"/>
  <c r="G12" i="2" s="1"/>
  <c r="H13" i="1"/>
  <c r="I434" i="1"/>
  <c r="J13" i="1"/>
  <c r="I435" i="1"/>
  <c r="J14" i="1" s="1"/>
  <c r="G14" i="2" s="1"/>
  <c r="I436" i="1"/>
  <c r="J17" i="1"/>
  <c r="G17" i="2" s="1"/>
  <c r="I437" i="1"/>
  <c r="J18" i="1" s="1"/>
  <c r="G18" i="2" s="1"/>
  <c r="F19" i="1"/>
  <c r="G19" i="1"/>
  <c r="G608" i="1" s="1"/>
  <c r="H19" i="1"/>
  <c r="I19" i="1"/>
  <c r="H23" i="1"/>
  <c r="H33" i="1" s="1"/>
  <c r="H44" i="1" s="1"/>
  <c r="H609" i="1" s="1"/>
  <c r="I440" i="1"/>
  <c r="J23" i="1" s="1"/>
  <c r="I441" i="1"/>
  <c r="J24" i="1"/>
  <c r="G23" i="2" s="1"/>
  <c r="I442" i="1"/>
  <c r="J25" i="1" s="1"/>
  <c r="G24" i="2" s="1"/>
  <c r="F29" i="1"/>
  <c r="F30" i="1"/>
  <c r="F33" i="1" s="1"/>
  <c r="H31" i="1"/>
  <c r="E30" i="2" s="1"/>
  <c r="I443" i="1"/>
  <c r="J32" i="1"/>
  <c r="G33" i="1"/>
  <c r="I33" i="1"/>
  <c r="I446" i="1"/>
  <c r="J37" i="1" s="1"/>
  <c r="I447" i="1"/>
  <c r="J38" i="1"/>
  <c r="G37" i="2" s="1"/>
  <c r="I448" i="1"/>
  <c r="J40" i="1" s="1"/>
  <c r="G39" i="2" s="1"/>
  <c r="I449" i="1"/>
  <c r="J41" i="1"/>
  <c r="F42" i="1"/>
  <c r="F43" i="1" s="1"/>
  <c r="G43" i="1"/>
  <c r="H43" i="1"/>
  <c r="I43" i="1"/>
  <c r="I44" i="1" s="1"/>
  <c r="H610" i="1" s="1"/>
  <c r="G44" i="1"/>
  <c r="H608" i="1" s="1"/>
  <c r="F52" i="1"/>
  <c r="C35" i="10" s="1"/>
  <c r="G52" i="1"/>
  <c r="D48" i="2" s="1"/>
  <c r="H52" i="1"/>
  <c r="I52" i="1"/>
  <c r="J52" i="1"/>
  <c r="F71" i="1"/>
  <c r="H71" i="1"/>
  <c r="F86" i="1"/>
  <c r="H86" i="1"/>
  <c r="H104" i="1" s="1"/>
  <c r="G89" i="1"/>
  <c r="G103" i="1" s="1"/>
  <c r="H94" i="1"/>
  <c r="H103" i="1" s="1"/>
  <c r="H102" i="1"/>
  <c r="F103" i="1"/>
  <c r="I103" i="1"/>
  <c r="J103" i="1"/>
  <c r="I104" i="1"/>
  <c r="J104" i="1"/>
  <c r="J185" i="1" s="1"/>
  <c r="F113" i="1"/>
  <c r="G113" i="1"/>
  <c r="H113" i="1"/>
  <c r="I113" i="1"/>
  <c r="J113" i="1"/>
  <c r="G124" i="1"/>
  <c r="H127" i="1"/>
  <c r="E69" i="2" s="1"/>
  <c r="E70" i="2" s="1"/>
  <c r="E73" i="2" s="1"/>
  <c r="F128" i="1"/>
  <c r="G128" i="1"/>
  <c r="I128" i="1"/>
  <c r="I132" i="1" s="1"/>
  <c r="J128" i="1"/>
  <c r="J132" i="1" s="1"/>
  <c r="F132" i="1"/>
  <c r="G132" i="1"/>
  <c r="F139" i="1"/>
  <c r="G139" i="1"/>
  <c r="D77" i="2" s="1"/>
  <c r="D83" i="2" s="1"/>
  <c r="H139" i="1"/>
  <c r="H161" i="1" s="1"/>
  <c r="I139" i="1"/>
  <c r="I161" i="1" s="1"/>
  <c r="G150" i="1"/>
  <c r="F154" i="1"/>
  <c r="F161" i="1" s="1"/>
  <c r="G154" i="1"/>
  <c r="G161" i="1" s="1"/>
  <c r="H154" i="1"/>
  <c r="I154" i="1"/>
  <c r="F169" i="1"/>
  <c r="F184" i="1" s="1"/>
  <c r="I169" i="1"/>
  <c r="F175" i="1"/>
  <c r="G175" i="1"/>
  <c r="H175" i="1"/>
  <c r="H184" i="1" s="1"/>
  <c r="I175" i="1"/>
  <c r="I184" i="1" s="1"/>
  <c r="J175" i="1"/>
  <c r="F180" i="1"/>
  <c r="G180" i="1"/>
  <c r="G184" i="1" s="1"/>
  <c r="H180" i="1"/>
  <c r="I180" i="1"/>
  <c r="J184" i="1"/>
  <c r="L189" i="1"/>
  <c r="L191" i="1"/>
  <c r="L192" i="1"/>
  <c r="F194" i="1"/>
  <c r="G194" i="1"/>
  <c r="H194" i="1"/>
  <c r="L194" i="1" s="1"/>
  <c r="I194" i="1"/>
  <c r="I203" i="1" s="1"/>
  <c r="J194" i="1"/>
  <c r="J203" i="1" s="1"/>
  <c r="F195" i="1"/>
  <c r="L195" i="1" s="1"/>
  <c r="G195" i="1"/>
  <c r="H195" i="1"/>
  <c r="I195" i="1"/>
  <c r="J195" i="1"/>
  <c r="K195" i="1"/>
  <c r="K203" i="1" s="1"/>
  <c r="H196" i="1"/>
  <c r="L196" i="1"/>
  <c r="L197" i="1"/>
  <c r="D12" i="13" s="1"/>
  <c r="C12" i="13" s="1"/>
  <c r="L198" i="1"/>
  <c r="E13" i="13" s="1"/>
  <c r="C13" i="13" s="1"/>
  <c r="F199" i="1"/>
  <c r="L199" i="1" s="1"/>
  <c r="G199" i="1"/>
  <c r="H199" i="1"/>
  <c r="I199" i="1"/>
  <c r="J199" i="1"/>
  <c r="F200" i="1"/>
  <c r="L200" i="1" s="1"/>
  <c r="G200" i="1"/>
  <c r="H200" i="1"/>
  <c r="L201" i="1"/>
  <c r="C117" i="2" s="1"/>
  <c r="L207" i="1"/>
  <c r="L209" i="1"/>
  <c r="L210" i="1"/>
  <c r="F212" i="1"/>
  <c r="L212" i="1" s="1"/>
  <c r="G212" i="1"/>
  <c r="G221" i="1" s="1"/>
  <c r="H212" i="1"/>
  <c r="I212" i="1"/>
  <c r="J212" i="1"/>
  <c r="F213" i="1"/>
  <c r="G213" i="1"/>
  <c r="H213" i="1"/>
  <c r="I213" i="1"/>
  <c r="J213" i="1"/>
  <c r="K213" i="1"/>
  <c r="K221" i="1" s="1"/>
  <c r="L213" i="1"/>
  <c r="H214" i="1"/>
  <c r="L214" i="1" s="1"/>
  <c r="L215" i="1"/>
  <c r="L216" i="1"/>
  <c r="F217" i="1"/>
  <c r="L217" i="1" s="1"/>
  <c r="G217" i="1"/>
  <c r="H217" i="1"/>
  <c r="I217" i="1"/>
  <c r="J217" i="1"/>
  <c r="H218" i="1"/>
  <c r="L218" i="1"/>
  <c r="G652" i="1" s="1"/>
  <c r="L219" i="1"/>
  <c r="L227" i="1"/>
  <c r="L228" i="1"/>
  <c r="F230" i="1"/>
  <c r="F239" i="1" s="1"/>
  <c r="G230" i="1"/>
  <c r="H230" i="1"/>
  <c r="I230" i="1"/>
  <c r="J230" i="1"/>
  <c r="J239" i="1" s="1"/>
  <c r="F231" i="1"/>
  <c r="G231" i="1"/>
  <c r="H231" i="1"/>
  <c r="I231" i="1"/>
  <c r="J231" i="1"/>
  <c r="K231" i="1"/>
  <c r="G7" i="13" s="1"/>
  <c r="G33" i="13" s="1"/>
  <c r="L231" i="1"/>
  <c r="H232" i="1"/>
  <c r="L232" i="1"/>
  <c r="L233" i="1"/>
  <c r="L234" i="1"/>
  <c r="F235" i="1"/>
  <c r="G235" i="1"/>
  <c r="H235" i="1"/>
  <c r="L235" i="1" s="1"/>
  <c r="I235" i="1"/>
  <c r="J235" i="1"/>
  <c r="H236" i="1"/>
  <c r="L236" i="1" s="1"/>
  <c r="I236" i="1"/>
  <c r="L237" i="1"/>
  <c r="G239" i="1"/>
  <c r="L242" i="1"/>
  <c r="L243" i="1"/>
  <c r="C106" i="2" s="1"/>
  <c r="L244" i="1"/>
  <c r="D18" i="13" s="1"/>
  <c r="C18" i="13" s="1"/>
  <c r="L245" i="1"/>
  <c r="L246" i="1"/>
  <c r="L247" i="1"/>
  <c r="C122" i="2" s="1"/>
  <c r="F248" i="1"/>
  <c r="L248" i="1" s="1"/>
  <c r="G248" i="1"/>
  <c r="H248" i="1"/>
  <c r="I248" i="1"/>
  <c r="J248" i="1"/>
  <c r="K248" i="1"/>
  <c r="L252" i="1"/>
  <c r="L253" i="1"/>
  <c r="C124" i="2" s="1"/>
  <c r="L255" i="1"/>
  <c r="L256" i="1"/>
  <c r="L257" i="1"/>
  <c r="L258" i="1"/>
  <c r="L260" i="1"/>
  <c r="C26" i="10" s="1"/>
  <c r="L261" i="1"/>
  <c r="F262" i="1"/>
  <c r="L262" i="1" s="1"/>
  <c r="G262" i="1"/>
  <c r="H262" i="1"/>
  <c r="I262" i="1"/>
  <c r="J262" i="1"/>
  <c r="K262" i="1"/>
  <c r="F268" i="1"/>
  <c r="F282" i="1" s="1"/>
  <c r="F330" i="1" s="1"/>
  <c r="F344" i="1" s="1"/>
  <c r="G268" i="1"/>
  <c r="H268" i="1"/>
  <c r="F269" i="1"/>
  <c r="G269" i="1"/>
  <c r="H269" i="1"/>
  <c r="J269" i="1"/>
  <c r="J282" i="1" s="1"/>
  <c r="L269" i="1"/>
  <c r="E102" i="2" s="1"/>
  <c r="L270" i="1"/>
  <c r="L271" i="1"/>
  <c r="E104" i="2" s="1"/>
  <c r="H273" i="1"/>
  <c r="L273" i="1" s="1"/>
  <c r="L274" i="1"/>
  <c r="L275" i="1"/>
  <c r="L276" i="1"/>
  <c r="E113" i="2" s="1"/>
  <c r="L277" i="1"/>
  <c r="L278" i="1"/>
  <c r="I279" i="1"/>
  <c r="L279" i="1"/>
  <c r="L280" i="1"/>
  <c r="E117" i="2" s="1"/>
  <c r="G282" i="1"/>
  <c r="H282" i="1"/>
  <c r="I282" i="1"/>
  <c r="I330" i="1" s="1"/>
  <c r="I344" i="1" s="1"/>
  <c r="K282" i="1"/>
  <c r="L287" i="1"/>
  <c r="L288" i="1"/>
  <c r="L289" i="1"/>
  <c r="L290" i="1"/>
  <c r="H292" i="1"/>
  <c r="L292" i="1" s="1"/>
  <c r="L293" i="1"/>
  <c r="E111" i="2" s="1"/>
  <c r="L294" i="1"/>
  <c r="E112" i="2" s="1"/>
  <c r="L295" i="1"/>
  <c r="L296" i="1"/>
  <c r="L297" i="1"/>
  <c r="L298" i="1"/>
  <c r="L299" i="1"/>
  <c r="F301" i="1"/>
  <c r="G301" i="1"/>
  <c r="I301" i="1"/>
  <c r="J301" i="1"/>
  <c r="K301" i="1"/>
  <c r="G31" i="13" s="1"/>
  <c r="H306" i="1"/>
  <c r="L306" i="1" s="1"/>
  <c r="L320" i="1" s="1"/>
  <c r="L307" i="1"/>
  <c r="L308" i="1"/>
  <c r="C12" i="10" s="1"/>
  <c r="L309" i="1"/>
  <c r="H311" i="1"/>
  <c r="L311" i="1"/>
  <c r="J312" i="1"/>
  <c r="L312" i="1"/>
  <c r="L313" i="1"/>
  <c r="L314" i="1"/>
  <c r="L315" i="1"/>
  <c r="L316" i="1"/>
  <c r="L317" i="1"/>
  <c r="L318" i="1"/>
  <c r="F320" i="1"/>
  <c r="G320" i="1"/>
  <c r="I320" i="1"/>
  <c r="J320" i="1"/>
  <c r="K320" i="1"/>
  <c r="K330" i="1" s="1"/>
  <c r="K344" i="1" s="1"/>
  <c r="L324" i="1"/>
  <c r="L325" i="1"/>
  <c r="E106" i="2" s="1"/>
  <c r="L326" i="1"/>
  <c r="L327" i="1"/>
  <c r="L328" i="1"/>
  <c r="F329" i="1"/>
  <c r="L329" i="1" s="1"/>
  <c r="G329" i="1"/>
  <c r="H329" i="1"/>
  <c r="I329" i="1"/>
  <c r="J329" i="1"/>
  <c r="K329" i="1"/>
  <c r="G330" i="1"/>
  <c r="G344" i="1" s="1"/>
  <c r="L333" i="1"/>
  <c r="L334" i="1"/>
  <c r="L343" i="1" s="1"/>
  <c r="L336" i="1"/>
  <c r="E126" i="2" s="1"/>
  <c r="E136" i="2" s="1"/>
  <c r="L337" i="1"/>
  <c r="E127" i="2" s="1"/>
  <c r="L338" i="1"/>
  <c r="L339" i="1"/>
  <c r="L341" i="1"/>
  <c r="E134" i="2" s="1"/>
  <c r="L342" i="1"/>
  <c r="K343" i="1"/>
  <c r="H350" i="1"/>
  <c r="L350" i="1"/>
  <c r="H351" i="1"/>
  <c r="L351" i="1" s="1"/>
  <c r="H352" i="1"/>
  <c r="L352" i="1"/>
  <c r="H651" i="1" s="1"/>
  <c r="L353" i="1"/>
  <c r="F354" i="1"/>
  <c r="G354" i="1"/>
  <c r="H354" i="1"/>
  <c r="I354" i="1"/>
  <c r="G624" i="1" s="1"/>
  <c r="J624" i="1" s="1"/>
  <c r="J354" i="1"/>
  <c r="K354" i="1"/>
  <c r="I359" i="1"/>
  <c r="I361" i="1" s="1"/>
  <c r="H624" i="1" s="1"/>
  <c r="I360" i="1"/>
  <c r="F361" i="1"/>
  <c r="G361" i="1"/>
  <c r="H361" i="1"/>
  <c r="L366" i="1"/>
  <c r="L367" i="1"/>
  <c r="L368" i="1"/>
  <c r="F122" i="2" s="1"/>
  <c r="F136" i="2" s="1"/>
  <c r="L369" i="1"/>
  <c r="L370" i="1"/>
  <c r="L371" i="1"/>
  <c r="L372" i="1"/>
  <c r="L373" i="1"/>
  <c r="F374" i="1"/>
  <c r="G374" i="1"/>
  <c r="H374" i="1"/>
  <c r="I374" i="1"/>
  <c r="J374" i="1"/>
  <c r="K374" i="1"/>
  <c r="L374" i="1"/>
  <c r="G626" i="1" s="1"/>
  <c r="J626" i="1" s="1"/>
  <c r="L379" i="1"/>
  <c r="L380" i="1"/>
  <c r="L381" i="1"/>
  <c r="L382" i="1"/>
  <c r="L383" i="1"/>
  <c r="L384" i="1"/>
  <c r="F385" i="1"/>
  <c r="F400" i="1" s="1"/>
  <c r="H633" i="1" s="1"/>
  <c r="G385" i="1"/>
  <c r="H385" i="1"/>
  <c r="I385" i="1"/>
  <c r="L385" i="1"/>
  <c r="C130" i="2" s="1"/>
  <c r="L387" i="1"/>
  <c r="L393" i="1" s="1"/>
  <c r="L388" i="1"/>
  <c r="L389" i="1"/>
  <c r="L390" i="1"/>
  <c r="L391" i="1"/>
  <c r="L392" i="1"/>
  <c r="F393" i="1"/>
  <c r="G393" i="1"/>
  <c r="G400" i="1" s="1"/>
  <c r="H635" i="1" s="1"/>
  <c r="H393" i="1"/>
  <c r="I393" i="1"/>
  <c r="L395" i="1"/>
  <c r="L399" i="1" s="1"/>
  <c r="C132" i="2" s="1"/>
  <c r="L396" i="1"/>
  <c r="L397" i="1"/>
  <c r="L398" i="1"/>
  <c r="F399" i="1"/>
  <c r="G399" i="1"/>
  <c r="H399" i="1"/>
  <c r="H400" i="1" s="1"/>
  <c r="H634" i="1" s="1"/>
  <c r="I399" i="1"/>
  <c r="I400" i="1"/>
  <c r="L405" i="1"/>
  <c r="L406" i="1"/>
  <c r="L411" i="1" s="1"/>
  <c r="L407" i="1"/>
  <c r="L408" i="1"/>
  <c r="L409" i="1"/>
  <c r="L410" i="1"/>
  <c r="F411" i="1"/>
  <c r="F426" i="1" s="1"/>
  <c r="G411" i="1"/>
  <c r="H411" i="1"/>
  <c r="I411" i="1"/>
  <c r="J411" i="1"/>
  <c r="J426" i="1" s="1"/>
  <c r="K411" i="1"/>
  <c r="K426" i="1" s="1"/>
  <c r="G126" i="2" s="1"/>
  <c r="G136" i="2" s="1"/>
  <c r="L413" i="1"/>
  <c r="L414" i="1"/>
  <c r="L419" i="1" s="1"/>
  <c r="L415" i="1"/>
  <c r="L416" i="1"/>
  <c r="L417" i="1"/>
  <c r="L418" i="1"/>
  <c r="F419" i="1"/>
  <c r="G419" i="1"/>
  <c r="H419" i="1"/>
  <c r="I419" i="1"/>
  <c r="I426" i="1" s="1"/>
  <c r="J419" i="1"/>
  <c r="K419" i="1"/>
  <c r="L421" i="1"/>
  <c r="L425" i="1" s="1"/>
  <c r="L422" i="1"/>
  <c r="L423" i="1"/>
  <c r="L424" i="1"/>
  <c r="F425" i="1"/>
  <c r="G425" i="1"/>
  <c r="H425" i="1"/>
  <c r="I425" i="1"/>
  <c r="J425" i="1"/>
  <c r="K425" i="1"/>
  <c r="G426" i="1"/>
  <c r="H426" i="1"/>
  <c r="F438" i="1"/>
  <c r="G438" i="1"/>
  <c r="H438" i="1"/>
  <c r="G631" i="1" s="1"/>
  <c r="J631" i="1" s="1"/>
  <c r="I438" i="1"/>
  <c r="G632" i="1" s="1"/>
  <c r="F444" i="1"/>
  <c r="G444" i="1"/>
  <c r="G451" i="1" s="1"/>
  <c r="H630" i="1" s="1"/>
  <c r="H444" i="1"/>
  <c r="I444" i="1"/>
  <c r="F450" i="1"/>
  <c r="F451" i="1" s="1"/>
  <c r="H629" i="1" s="1"/>
  <c r="G450" i="1"/>
  <c r="H450" i="1"/>
  <c r="H451" i="1"/>
  <c r="H631" i="1" s="1"/>
  <c r="I460" i="1"/>
  <c r="I464" i="1"/>
  <c r="I466" i="1" s="1"/>
  <c r="H615" i="1" s="1"/>
  <c r="J464" i="1"/>
  <c r="K485" i="1"/>
  <c r="K486" i="1"/>
  <c r="G487" i="1"/>
  <c r="K487" i="1"/>
  <c r="G488" i="1"/>
  <c r="K488" i="1" s="1"/>
  <c r="G489" i="1"/>
  <c r="K489" i="1"/>
  <c r="F490" i="1"/>
  <c r="B153" i="2" s="1"/>
  <c r="H490" i="1"/>
  <c r="I490" i="1"/>
  <c r="J490" i="1"/>
  <c r="F153" i="2" s="1"/>
  <c r="K491" i="1"/>
  <c r="K492" i="1"/>
  <c r="F493" i="1"/>
  <c r="K493" i="1" s="1"/>
  <c r="G493" i="1"/>
  <c r="C156" i="2" s="1"/>
  <c r="H493" i="1"/>
  <c r="I493" i="1"/>
  <c r="J493" i="1"/>
  <c r="F507" i="1"/>
  <c r="G507" i="1"/>
  <c r="H507" i="1"/>
  <c r="I507" i="1"/>
  <c r="F511" i="1"/>
  <c r="G511" i="1"/>
  <c r="L511" i="1" s="1"/>
  <c r="H511" i="1"/>
  <c r="H514" i="1" s="1"/>
  <c r="I511" i="1"/>
  <c r="I514" i="1" s="1"/>
  <c r="I535" i="1" s="1"/>
  <c r="J511" i="1"/>
  <c r="F512" i="1"/>
  <c r="G512" i="1"/>
  <c r="H512" i="1"/>
  <c r="I512" i="1"/>
  <c r="J512" i="1"/>
  <c r="L512" i="1"/>
  <c r="F540" i="1" s="1"/>
  <c r="F513" i="1"/>
  <c r="G513" i="1"/>
  <c r="L513" i="1" s="1"/>
  <c r="F541" i="1" s="1"/>
  <c r="H513" i="1"/>
  <c r="I513" i="1"/>
  <c r="J513" i="1"/>
  <c r="F514" i="1"/>
  <c r="J514" i="1"/>
  <c r="J535" i="1" s="1"/>
  <c r="K514" i="1"/>
  <c r="K535" i="1" s="1"/>
  <c r="F516" i="1"/>
  <c r="F519" i="1" s="1"/>
  <c r="G516" i="1"/>
  <c r="L516" i="1" s="1"/>
  <c r="H516" i="1"/>
  <c r="H519" i="1" s="1"/>
  <c r="I516" i="1"/>
  <c r="J516" i="1"/>
  <c r="F517" i="1"/>
  <c r="L517" i="1" s="1"/>
  <c r="G540" i="1" s="1"/>
  <c r="G517" i="1"/>
  <c r="H517" i="1"/>
  <c r="I517" i="1"/>
  <c r="J517" i="1"/>
  <c r="F518" i="1"/>
  <c r="G518" i="1"/>
  <c r="L518" i="1" s="1"/>
  <c r="G541" i="1" s="1"/>
  <c r="H518" i="1"/>
  <c r="I518" i="1"/>
  <c r="J518" i="1"/>
  <c r="I519" i="1"/>
  <c r="J519" i="1"/>
  <c r="K519" i="1"/>
  <c r="L521" i="1"/>
  <c r="H539" i="1" s="1"/>
  <c r="L522" i="1"/>
  <c r="H540" i="1" s="1"/>
  <c r="L523" i="1"/>
  <c r="F524" i="1"/>
  <c r="G524" i="1"/>
  <c r="H524" i="1"/>
  <c r="I524" i="1"/>
  <c r="J524" i="1"/>
  <c r="K524" i="1"/>
  <c r="L524" i="1"/>
  <c r="L526" i="1"/>
  <c r="L527" i="1"/>
  <c r="H528" i="1"/>
  <c r="L528" i="1" s="1"/>
  <c r="F529" i="1"/>
  <c r="G529" i="1"/>
  <c r="I529" i="1"/>
  <c r="J529" i="1"/>
  <c r="K529" i="1"/>
  <c r="L531" i="1"/>
  <c r="L534" i="1" s="1"/>
  <c r="L532" i="1"/>
  <c r="L533" i="1"/>
  <c r="J541" i="1" s="1"/>
  <c r="F534" i="1"/>
  <c r="G534" i="1"/>
  <c r="H534" i="1"/>
  <c r="I534" i="1"/>
  <c r="J534" i="1"/>
  <c r="K534" i="1"/>
  <c r="I539" i="1"/>
  <c r="I540" i="1"/>
  <c r="J540" i="1"/>
  <c r="H541" i="1"/>
  <c r="L547" i="1"/>
  <c r="L548" i="1"/>
  <c r="L549" i="1"/>
  <c r="L550" i="1" s="1"/>
  <c r="F550" i="1"/>
  <c r="G550" i="1"/>
  <c r="H550" i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60" i="1" s="1"/>
  <c r="L559" i="1"/>
  <c r="F560" i="1"/>
  <c r="G560" i="1"/>
  <c r="H560" i="1"/>
  <c r="H561" i="1" s="1"/>
  <c r="I560" i="1"/>
  <c r="J560" i="1"/>
  <c r="K560" i="1"/>
  <c r="F561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H581" i="1"/>
  <c r="K581" i="1" s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5" i="1" s="1"/>
  <c r="G638" i="1" s="1"/>
  <c r="K593" i="1"/>
  <c r="K594" i="1"/>
  <c r="H595" i="1"/>
  <c r="I595" i="1"/>
  <c r="J595" i="1"/>
  <c r="F601" i="1"/>
  <c r="G601" i="1"/>
  <c r="L601" i="1"/>
  <c r="F602" i="1"/>
  <c r="G602" i="1"/>
  <c r="L602" i="1"/>
  <c r="G653" i="1" s="1"/>
  <c r="F603" i="1"/>
  <c r="L603" i="1" s="1"/>
  <c r="H653" i="1" s="1"/>
  <c r="G603" i="1"/>
  <c r="F604" i="1"/>
  <c r="G604" i="1"/>
  <c r="H604" i="1"/>
  <c r="I604" i="1"/>
  <c r="J604" i="1"/>
  <c r="K604" i="1"/>
  <c r="G607" i="1"/>
  <c r="G609" i="1"/>
  <c r="G610" i="1"/>
  <c r="J610" i="1" s="1"/>
  <c r="G613" i="1"/>
  <c r="G614" i="1"/>
  <c r="G615" i="1"/>
  <c r="J615" i="1" s="1"/>
  <c r="H620" i="1"/>
  <c r="H626" i="1"/>
  <c r="H628" i="1"/>
  <c r="G629" i="1"/>
  <c r="G630" i="1"/>
  <c r="J630" i="1" s="1"/>
  <c r="G633" i="1"/>
  <c r="J633" i="1" s="1"/>
  <c r="G634" i="1"/>
  <c r="G635" i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F653" i="1"/>
  <c r="I655" i="1"/>
  <c r="I659" i="1"/>
  <c r="I660" i="1"/>
  <c r="B1" i="12"/>
  <c r="B4" i="12"/>
  <c r="C9" i="12"/>
  <c r="B11" i="12"/>
  <c r="B13" i="12" s="1"/>
  <c r="C11" i="12"/>
  <c r="C13" i="12" s="1"/>
  <c r="B12" i="12"/>
  <c r="C12" i="12"/>
  <c r="C18" i="12"/>
  <c r="B20" i="12"/>
  <c r="B22" i="12" s="1"/>
  <c r="C20" i="12"/>
  <c r="B21" i="12"/>
  <c r="C22" i="12"/>
  <c r="B27" i="12"/>
  <c r="A31" i="12" s="1"/>
  <c r="C27" i="12"/>
  <c r="B31" i="12"/>
  <c r="C31" i="12"/>
  <c r="B36" i="12"/>
  <c r="A40" i="12" s="1"/>
  <c r="C36" i="12"/>
  <c r="B40" i="12"/>
  <c r="C40" i="12"/>
  <c r="B2" i="13"/>
  <c r="G5" i="13"/>
  <c r="G6" i="13"/>
  <c r="F7" i="13"/>
  <c r="F8" i="13"/>
  <c r="G8" i="13"/>
  <c r="C9" i="13"/>
  <c r="C10" i="13"/>
  <c r="C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D19" i="13" s="1"/>
  <c r="C19" i="13" s="1"/>
  <c r="G19" i="13"/>
  <c r="F29" i="13"/>
  <c r="G29" i="13"/>
  <c r="D39" i="13"/>
  <c r="A1" i="2"/>
  <c r="A2" i="2"/>
  <c r="C9" i="2"/>
  <c r="D9" i="2"/>
  <c r="E9" i="2"/>
  <c r="F9" i="2"/>
  <c r="C10" i="2"/>
  <c r="D10" i="2"/>
  <c r="D19" i="2" s="1"/>
  <c r="E10" i="2"/>
  <c r="F10" i="2"/>
  <c r="G10" i="2"/>
  <c r="C11" i="2"/>
  <c r="C12" i="2"/>
  <c r="D12" i="2"/>
  <c r="E12" i="2"/>
  <c r="E19" i="2" s="1"/>
  <c r="F12" i="2"/>
  <c r="C13" i="2"/>
  <c r="D13" i="2"/>
  <c r="E13" i="2"/>
  <c r="F13" i="2"/>
  <c r="G13" i="2"/>
  <c r="C14" i="2"/>
  <c r="D14" i="2"/>
  <c r="E14" i="2"/>
  <c r="F14" i="2"/>
  <c r="F15" i="2"/>
  <c r="C16" i="2"/>
  <c r="D16" i="2"/>
  <c r="E16" i="2"/>
  <c r="F16" i="2"/>
  <c r="F19" i="2" s="1"/>
  <c r="C17" i="2"/>
  <c r="D17" i="2"/>
  <c r="E17" i="2"/>
  <c r="F17" i="2"/>
  <c r="C18" i="2"/>
  <c r="D18" i="2"/>
  <c r="E18" i="2"/>
  <c r="F18" i="2"/>
  <c r="C19" i="2"/>
  <c r="C22" i="2"/>
  <c r="C32" i="2" s="1"/>
  <c r="D22" i="2"/>
  <c r="D32" i="2" s="1"/>
  <c r="F22" i="2"/>
  <c r="C23" i="2"/>
  <c r="D23" i="2"/>
  <c r="E23" i="2"/>
  <c r="F23" i="2"/>
  <c r="F32" i="2" s="1"/>
  <c r="C24" i="2"/>
  <c r="D24" i="2"/>
  <c r="E24" i="2"/>
  <c r="F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F30" i="2"/>
  <c r="C31" i="2"/>
  <c r="D31" i="2"/>
  <c r="E31" i="2"/>
  <c r="F31" i="2"/>
  <c r="G31" i="2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G40" i="2"/>
  <c r="D41" i="2"/>
  <c r="E41" i="2"/>
  <c r="F41" i="2"/>
  <c r="E42" i="2"/>
  <c r="F42" i="2"/>
  <c r="F43" i="2" s="1"/>
  <c r="C48" i="2"/>
  <c r="E48" i="2"/>
  <c r="F48" i="2"/>
  <c r="G48" i="2"/>
  <c r="C49" i="2"/>
  <c r="C54" i="2" s="1"/>
  <c r="E49" i="2"/>
  <c r="C50" i="2"/>
  <c r="E50" i="2"/>
  <c r="E54" i="2" s="1"/>
  <c r="C51" i="2"/>
  <c r="D51" i="2"/>
  <c r="E51" i="2"/>
  <c r="F51" i="2"/>
  <c r="F54" i="2" s="1"/>
  <c r="F55" i="2" s="1"/>
  <c r="G51" i="2"/>
  <c r="C53" i="2"/>
  <c r="D53" i="2"/>
  <c r="E53" i="2"/>
  <c r="F53" i="2"/>
  <c r="G53" i="2"/>
  <c r="G54" i="2"/>
  <c r="G55" i="2"/>
  <c r="C58" i="2"/>
  <c r="C62" i="2" s="1"/>
  <c r="C59" i="2"/>
  <c r="C60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D70" i="2" s="1"/>
  <c r="D73" i="2" s="1"/>
  <c r="F69" i="2"/>
  <c r="G69" i="2"/>
  <c r="G70" i="2" s="1"/>
  <c r="G73" i="2" s="1"/>
  <c r="C71" i="2"/>
  <c r="D71" i="2"/>
  <c r="E71" i="2"/>
  <c r="C72" i="2"/>
  <c r="E72" i="2"/>
  <c r="C77" i="2"/>
  <c r="E77" i="2"/>
  <c r="F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3" i="2"/>
  <c r="F83" i="2"/>
  <c r="C85" i="2"/>
  <c r="F85" i="2"/>
  <c r="F95" i="2" s="1"/>
  <c r="C86" i="2"/>
  <c r="F86" i="2"/>
  <c r="D88" i="2"/>
  <c r="D95" i="2" s="1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95" i="2"/>
  <c r="G95" i="2"/>
  <c r="C103" i="2"/>
  <c r="E103" i="2"/>
  <c r="C104" i="2"/>
  <c r="C105" i="2"/>
  <c r="E105" i="2"/>
  <c r="D107" i="2"/>
  <c r="F107" i="2"/>
  <c r="G107" i="2"/>
  <c r="G137" i="2" s="1"/>
  <c r="E114" i="2"/>
  <c r="E115" i="2"/>
  <c r="E116" i="2"/>
  <c r="F120" i="2"/>
  <c r="F137" i="2" s="1"/>
  <c r="G120" i="2"/>
  <c r="E122" i="2"/>
  <c r="C123" i="2"/>
  <c r="E123" i="2"/>
  <c r="E124" i="2"/>
  <c r="D126" i="2"/>
  <c r="F126" i="2"/>
  <c r="C127" i="2"/>
  <c r="C128" i="2"/>
  <c r="C129" i="2"/>
  <c r="E129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D153" i="2"/>
  <c r="E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B156" i="2"/>
  <c r="D156" i="2"/>
  <c r="E156" i="2"/>
  <c r="F156" i="2"/>
  <c r="B2" i="10"/>
  <c r="C13" i="10"/>
  <c r="C23" i="10"/>
  <c r="C25" i="10"/>
  <c r="C32" i="10"/>
  <c r="C37" i="10"/>
  <c r="C40" i="10"/>
  <c r="C42" i="10"/>
  <c r="F2" i="11"/>
  <c r="J33" i="1" l="1"/>
  <c r="G22" i="2"/>
  <c r="G32" i="2" s="1"/>
  <c r="I541" i="1"/>
  <c r="I542" i="1" s="1"/>
  <c r="L529" i="1"/>
  <c r="H542" i="1"/>
  <c r="L514" i="1"/>
  <c r="F539" i="1"/>
  <c r="G36" i="2"/>
  <c r="G42" i="2" s="1"/>
  <c r="G43" i="2" s="1"/>
  <c r="J43" i="1"/>
  <c r="H637" i="1"/>
  <c r="D15" i="13"/>
  <c r="C15" i="13" s="1"/>
  <c r="C116" i="2"/>
  <c r="G639" i="1"/>
  <c r="J639" i="1" s="1"/>
  <c r="C21" i="10"/>
  <c r="F652" i="1"/>
  <c r="I652" i="1" s="1"/>
  <c r="L426" i="1"/>
  <c r="G628" i="1" s="1"/>
  <c r="J628" i="1" s="1"/>
  <c r="H535" i="1"/>
  <c r="D29" i="13"/>
  <c r="C29" i="13" s="1"/>
  <c r="L354" i="1"/>
  <c r="D119" i="2"/>
  <c r="D120" i="2" s="1"/>
  <c r="G651" i="1"/>
  <c r="E110" i="2"/>
  <c r="E120" i="2" s="1"/>
  <c r="D7" i="13"/>
  <c r="C7" i="13" s="1"/>
  <c r="C16" i="10"/>
  <c r="C111" i="2"/>
  <c r="C39" i="10"/>
  <c r="G156" i="2"/>
  <c r="E55" i="2"/>
  <c r="E96" i="2" s="1"/>
  <c r="J635" i="1"/>
  <c r="J609" i="1"/>
  <c r="L561" i="1"/>
  <c r="K540" i="1"/>
  <c r="F651" i="1"/>
  <c r="I651" i="1" s="1"/>
  <c r="J249" i="1"/>
  <c r="J608" i="1"/>
  <c r="C55" i="2"/>
  <c r="C96" i="2" s="1"/>
  <c r="I653" i="1"/>
  <c r="J634" i="1"/>
  <c r="L604" i="1"/>
  <c r="E8" i="13"/>
  <c r="C112" i="2"/>
  <c r="C115" i="2"/>
  <c r="C20" i="10"/>
  <c r="D14" i="13"/>
  <c r="C14" i="13" s="1"/>
  <c r="I249" i="1"/>
  <c r="I263" i="1" s="1"/>
  <c r="J19" i="1"/>
  <c r="G611" i="1" s="1"/>
  <c r="G9" i="2"/>
  <c r="G19" i="2" s="1"/>
  <c r="C10" i="10"/>
  <c r="D137" i="2"/>
  <c r="F96" i="2"/>
  <c r="L519" i="1"/>
  <c r="G539" i="1"/>
  <c r="G542" i="1" s="1"/>
  <c r="C15" i="10"/>
  <c r="D6" i="13"/>
  <c r="C6" i="13" s="1"/>
  <c r="F31" i="13"/>
  <c r="J330" i="1"/>
  <c r="J344" i="1" s="1"/>
  <c r="H652" i="1"/>
  <c r="G641" i="1"/>
  <c r="J641" i="1" s="1"/>
  <c r="G612" i="1"/>
  <c r="F44" i="1"/>
  <c r="H607" i="1" s="1"/>
  <c r="J607" i="1" s="1"/>
  <c r="J629" i="1"/>
  <c r="L221" i="1"/>
  <c r="G650" i="1" s="1"/>
  <c r="G654" i="1" s="1"/>
  <c r="G96" i="2"/>
  <c r="F535" i="1"/>
  <c r="C131" i="2"/>
  <c r="L400" i="1"/>
  <c r="C133" i="2"/>
  <c r="K249" i="1"/>
  <c r="K263" i="1" s="1"/>
  <c r="G621" i="1"/>
  <c r="G636" i="1"/>
  <c r="J637" i="1"/>
  <c r="L301" i="1"/>
  <c r="L203" i="1"/>
  <c r="I185" i="1"/>
  <c r="G620" i="1" s="1"/>
  <c r="J620" i="1" s="1"/>
  <c r="C24" i="10"/>
  <c r="C114" i="2"/>
  <c r="H301" i="1"/>
  <c r="C29" i="10"/>
  <c r="C101" i="2"/>
  <c r="H25" i="13"/>
  <c r="D17" i="13"/>
  <c r="C17" i="13" s="1"/>
  <c r="B18" i="12"/>
  <c r="A22" i="12" s="1"/>
  <c r="H128" i="1"/>
  <c r="H132" i="1" s="1"/>
  <c r="C38" i="10" s="1"/>
  <c r="C134" i="2"/>
  <c r="C136" i="2" s="1"/>
  <c r="C113" i="2"/>
  <c r="D52" i="2"/>
  <c r="D54" i="2" s="1"/>
  <c r="D55" i="2" s="1"/>
  <c r="D96" i="2" s="1"/>
  <c r="F6" i="13"/>
  <c r="G640" i="1"/>
  <c r="J640" i="1" s="1"/>
  <c r="J539" i="1"/>
  <c r="J542" i="1" s="1"/>
  <c r="G519" i="1"/>
  <c r="H320" i="1"/>
  <c r="L226" i="1"/>
  <c r="C102" i="2" s="1"/>
  <c r="G104" i="1"/>
  <c r="G185" i="1" s="1"/>
  <c r="F203" i="1"/>
  <c r="F249" i="1" s="1"/>
  <c r="F263" i="1" s="1"/>
  <c r="F22" i="13"/>
  <c r="C22" i="13" s="1"/>
  <c r="G514" i="1"/>
  <c r="G535" i="1" s="1"/>
  <c r="G490" i="1"/>
  <c r="I450" i="1"/>
  <c r="I451" i="1" s="1"/>
  <c r="H632" i="1" s="1"/>
  <c r="J632" i="1" s="1"/>
  <c r="K239" i="1"/>
  <c r="F104" i="1"/>
  <c r="F185" i="1" s="1"/>
  <c r="C19" i="10"/>
  <c r="H529" i="1"/>
  <c r="L268" i="1"/>
  <c r="C18" i="10"/>
  <c r="E22" i="2"/>
  <c r="E32" i="2" s="1"/>
  <c r="E43" i="2" s="1"/>
  <c r="E16" i="13"/>
  <c r="C16" i="13" s="1"/>
  <c r="C17" i="10"/>
  <c r="C41" i="2"/>
  <c r="C42" i="2" s="1"/>
  <c r="C43" i="2" s="1"/>
  <c r="F5" i="13"/>
  <c r="L230" i="1"/>
  <c r="C110" i="2" s="1"/>
  <c r="C120" i="2" s="1"/>
  <c r="H221" i="1"/>
  <c r="H249" i="1" s="1"/>
  <c r="H263" i="1" s="1"/>
  <c r="B9" i="12"/>
  <c r="A13" i="12" s="1"/>
  <c r="L282" i="1" l="1"/>
  <c r="F650" i="1" s="1"/>
  <c r="E101" i="2"/>
  <c r="E107" i="2" s="1"/>
  <c r="E137" i="2" s="1"/>
  <c r="C107" i="2"/>
  <c r="C137" i="2" s="1"/>
  <c r="J263" i="1"/>
  <c r="H638" i="1"/>
  <c r="J638" i="1" s="1"/>
  <c r="C36" i="10"/>
  <c r="G458" i="1"/>
  <c r="G618" i="1"/>
  <c r="K539" i="1"/>
  <c r="K542" i="1" s="1"/>
  <c r="F542" i="1"/>
  <c r="J44" i="1"/>
  <c r="H611" i="1" s="1"/>
  <c r="J611" i="1" s="1"/>
  <c r="G616" i="1"/>
  <c r="H33" i="13"/>
  <c r="C25" i="13"/>
  <c r="H330" i="1"/>
  <c r="H344" i="1" s="1"/>
  <c r="J458" i="1"/>
  <c r="G627" i="1"/>
  <c r="H636" i="1"/>
  <c r="K541" i="1"/>
  <c r="L535" i="1"/>
  <c r="F458" i="1"/>
  <c r="G617" i="1"/>
  <c r="C8" i="13"/>
  <c r="E33" i="13"/>
  <c r="D35" i="13" s="1"/>
  <c r="C27" i="10"/>
  <c r="G625" i="1"/>
  <c r="G462" i="1"/>
  <c r="D5" i="13"/>
  <c r="F33" i="13"/>
  <c r="C153" i="2"/>
  <c r="G153" i="2" s="1"/>
  <c r="K490" i="1"/>
  <c r="G657" i="1"/>
  <c r="G662" i="1"/>
  <c r="C5" i="10" s="1"/>
  <c r="C11" i="10"/>
  <c r="L239" i="1"/>
  <c r="H650" i="1" s="1"/>
  <c r="H654" i="1" s="1"/>
  <c r="J636" i="1"/>
  <c r="H185" i="1"/>
  <c r="I650" i="1" l="1"/>
  <c r="I654" i="1" s="1"/>
  <c r="F654" i="1"/>
  <c r="D11" i="10"/>
  <c r="J627" i="1"/>
  <c r="H625" i="1"/>
  <c r="G464" i="1"/>
  <c r="H621" i="1"/>
  <c r="J621" i="1" s="1"/>
  <c r="H627" i="1"/>
  <c r="J460" i="1"/>
  <c r="J466" i="1" s="1"/>
  <c r="H616" i="1" s="1"/>
  <c r="H618" i="1"/>
  <c r="J618" i="1" s="1"/>
  <c r="G460" i="1"/>
  <c r="G466" i="1" s="1"/>
  <c r="H613" i="1" s="1"/>
  <c r="J613" i="1" s="1"/>
  <c r="C28" i="10"/>
  <c r="J625" i="1"/>
  <c r="C41" i="10"/>
  <c r="H657" i="1"/>
  <c r="H662" i="1"/>
  <c r="C6" i="10" s="1"/>
  <c r="H458" i="1"/>
  <c r="G619" i="1"/>
  <c r="L249" i="1"/>
  <c r="L263" i="1" s="1"/>
  <c r="H617" i="1"/>
  <c r="J617" i="1" s="1"/>
  <c r="F460" i="1"/>
  <c r="J616" i="1"/>
  <c r="D31" i="13"/>
  <c r="C31" i="13" s="1"/>
  <c r="L330" i="1"/>
  <c r="L344" i="1" s="1"/>
  <c r="C5" i="13"/>
  <c r="D37" i="10" l="1"/>
  <c r="D40" i="10"/>
  <c r="D35" i="10"/>
  <c r="D38" i="10"/>
  <c r="D39" i="10"/>
  <c r="I657" i="1"/>
  <c r="I662" i="1"/>
  <c r="C7" i="10" s="1"/>
  <c r="D22" i="10"/>
  <c r="D23" i="10"/>
  <c r="D13" i="10"/>
  <c r="C30" i="10"/>
  <c r="D25" i="10"/>
  <c r="D26" i="10"/>
  <c r="D12" i="10"/>
  <c r="D16" i="10"/>
  <c r="D17" i="10"/>
  <c r="D18" i="10"/>
  <c r="D20" i="10"/>
  <c r="D15" i="10"/>
  <c r="D24" i="10"/>
  <c r="D19" i="10"/>
  <c r="D10" i="10"/>
  <c r="D21" i="10"/>
  <c r="G622" i="1"/>
  <c r="F462" i="1"/>
  <c r="H460" i="1"/>
  <c r="H619" i="1"/>
  <c r="J619" i="1" s="1"/>
  <c r="D33" i="13"/>
  <c r="D36" i="13" s="1"/>
  <c r="D27" i="10"/>
  <c r="G623" i="1"/>
  <c r="H462" i="1"/>
  <c r="D36" i="10"/>
  <c r="F657" i="1"/>
  <c r="F662" i="1"/>
  <c r="C4" i="10" s="1"/>
  <c r="H466" i="1" l="1"/>
  <c r="H614" i="1" s="1"/>
  <c r="J614" i="1" s="1"/>
  <c r="F464" i="1"/>
  <c r="F466" i="1" s="1"/>
  <c r="H612" i="1" s="1"/>
  <c r="J612" i="1" s="1"/>
  <c r="H622" i="1"/>
  <c r="D28" i="10"/>
  <c r="H464" i="1"/>
  <c r="H623" i="1"/>
  <c r="J623" i="1" s="1"/>
  <c r="D41" i="10"/>
  <c r="J622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ED017B2-9B46-4E63-894C-0839D4CF98E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BDCD28F-0D7A-4EED-A755-9966939A31A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DDA6266-5179-4725-8203-D98DF0FB698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B470E57-2A05-43A6-A7D0-FE0FE2B310C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5D98761-6293-4CB7-A6E8-E62D322285F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0E1AB1E-E20E-4EC8-9C2D-FAA6F4C9049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C5F9F70-7718-4847-804D-39FDC966CF2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4898474-8D4F-40C1-A47A-E62BBD77E63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8922551-5538-4156-A47D-2FBEB45026B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9D1BF7B-0654-4777-8AC2-24B8CEF6062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D91C5DA-400C-4BEA-9182-7FFD7078A4E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57B84BE-618C-42B2-84EF-459EC4F1142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<sst xmlns="http://schemas.openxmlformats.org/spreadsheetml/2006/main" count="3863" uniqueCount="900">
  <si>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</si>
  <si>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</si>
  <si>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</si>
  <si>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</si>
  <si>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</si>
  <si>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</si>
  <si>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</si>
  <si>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</si>
  <si>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</si>
  <si>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</si>
  <si>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</si>
  <si>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</si>
  <si>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</si>
  <si>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</si>
  <si>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</si>
  <si>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</si>
  <si>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</si>
  <si>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</si>
  <si>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</si>
  <si>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</si>
  <si>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</si>
  <si>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</si>
  <si>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</si>
  <si>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</si>
  <si>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</si>
  <si>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</si>
  <si>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</si>
  <si>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</si>
  <si>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</si>
  <si>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</si>
  <si>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</si>
  <si>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</si>
  <si>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</si>
  <si>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</si>
  <si>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</si>
  <si>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</si>
  <si>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</si>
  <si>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</si>
  <si>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</si>
  <si>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</si>
  <si>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</si>
  <si>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</si>
  <si>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</si>
  <si>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</si>
  <si>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</si>
  <si>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</si>
  <si>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</si>
  <si>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</si>
  <si>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</si>
  <si>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</si>
  <si>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</si>
  <si>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</si>
  <si>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</si>
  <si>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</si>
  <si>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</si>
  <si>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</si>
  <si>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</si>
  <si>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</si>
  <si>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</si>
  <si>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</si>
  <si>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</si>
  <si>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</si>
  <si>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</si>
  <si>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</si>
  <si>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</si>
  <si>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</si>
  <si>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</si>
  <si>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</si>
  <si>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</si>
  <si>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</si>
  <si>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</si>
  <si>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</si>
  <si>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</si>
  <si>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</si>
  <si>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</si>
  <si>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</si>
  <si>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</si>
  <si>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</si>
  <si>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</si>
  <si>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</si>
  <si>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</si>
  <si>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</si>
  <si>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7/04</t>
    <phoneticPr fontId="0" type="noConversion"/>
  </si>
  <si>
    <t>8/09</t>
    <phoneticPr fontId="0" type="noConversion"/>
  </si>
  <si>
    <t>5/07</t>
    <phoneticPr fontId="0" type="noConversion"/>
  </si>
  <si>
    <t>8/17</t>
    <phoneticPr fontId="0" type="noConversion"/>
  </si>
  <si>
    <t>3.5 - 5.0</t>
    <phoneticPr fontId="0" type="noConversion"/>
  </si>
  <si>
    <t>BALANCE CHECK</t>
  </si>
  <si>
    <t xml:space="preserve">    PER PUPIL COST</t>
  </si>
  <si>
    <t>ELEM</t>
  </si>
  <si>
    <t>MID/JH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</si>
  <si>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</si>
  <si>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</si>
  <si>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</si>
  <si>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</si>
  <si>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</si>
  <si>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</si>
  <si>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</si>
  <si>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</si>
  <si>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</si>
  <si>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</si>
  <si>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</si>
  <si>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</si>
  <si>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</si>
  <si>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</si>
  <si>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</si>
  <si>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</si>
  <si>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</si>
  <si>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</si>
  <si>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</si>
  <si>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</si>
  <si>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</si>
  <si>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</si>
  <si>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</si>
  <si>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</si>
  <si>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</si>
  <si>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</si>
  <si>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</si>
  <si>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</si>
  <si>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</si>
  <si>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</si>
  <si>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</si>
  <si>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</si>
  <si>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</si>
  <si>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</si>
  <si>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</si>
  <si>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</si>
  <si>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</si>
  <si>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</si>
  <si>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</si>
  <si>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</si>
  <si>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</si>
  <si>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</si>
  <si>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</si>
  <si>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</si>
  <si>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</si>
  <si>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</si>
  <si>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</si>
  <si>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</si>
  <si>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</si>
  <si>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</si>
  <si>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</si>
  <si>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</si>
  <si>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</si>
  <si>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STATEMENT OF ANALYSIS OF CHANGE IN FUND EQUITY</t>
  </si>
  <si>
    <t>General</t>
  </si>
  <si>
    <t>Food Service</t>
  </si>
  <si>
    <t>All Other</t>
  </si>
  <si>
    <t>Capital Projects</t>
  </si>
  <si>
    <t>6. Other Revenue from Local Sources</t>
  </si>
  <si>
    <t>1700-1999</t>
  </si>
  <si>
    <t>7. Total Local Non-Tax Revenue Lines  2-6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</si>
  <si>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</si>
  <si>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</si>
  <si>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</si>
  <si>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</si>
  <si>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</si>
  <si>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</si>
  <si>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</si>
  <si>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</si>
  <si>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</si>
  <si>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</si>
  <si>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</si>
  <si>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</si>
  <si>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</si>
  <si>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</si>
  <si>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</si>
  <si>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</si>
  <si>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</si>
  <si>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</si>
  <si>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</si>
  <si>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</si>
  <si>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</si>
  <si>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</si>
  <si>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</si>
  <si>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</si>
  <si>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</si>
  <si>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</si>
  <si>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</si>
  <si>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</si>
  <si>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</si>
  <si>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</si>
  <si>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</si>
  <si>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</si>
  <si>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</si>
  <si>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</si>
  <si>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</si>
  <si>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</si>
  <si>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</si>
  <si>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</si>
  <si>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</si>
  <si>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</si>
  <si>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</si>
  <si>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</si>
  <si>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</si>
  <si>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</si>
  <si>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</si>
  <si>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</si>
  <si>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</si>
  <si>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</si>
  <si>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</si>
  <si>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</si>
  <si>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</si>
  <si>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</si>
  <si>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</si>
  <si>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</si>
  <si>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</si>
  <si>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</si>
  <si>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</si>
  <si>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</si>
  <si>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</si>
  <si>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</si>
  <si>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</si>
  <si>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</si>
  <si>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</si>
  <si>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</si>
  <si>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</si>
  <si>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</si>
  <si>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</si>
  <si>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</si>
  <si>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</si>
  <si>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</si>
  <si>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</si>
  <si>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</si>
  <si>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</si>
  <si>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</si>
  <si>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33.  Total Expenditures for All Purposes (Lines, 7,18 &amp; 32)</t>
  </si>
  <si>
    <t xml:space="preserve">AMORTIZATION  OF LONG TERM DEBT 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</si>
  <si>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</si>
  <si>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</si>
  <si>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</si>
  <si>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</si>
  <si>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</si>
  <si>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</si>
  <si>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</si>
  <si>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</si>
  <si>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</si>
  <si>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</si>
  <si>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</si>
  <si>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</si>
  <si>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</si>
  <si>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</si>
  <si>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</si>
  <si>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15. Kindergarten Building Aid</t>
  </si>
  <si>
    <t>16.  Kindergarten Aid</t>
  </si>
  <si>
    <t>17. Catastrophic Aid</t>
  </si>
  <si>
    <t>18. Vocational Education</t>
  </si>
  <si>
    <t>LESS: FOOD SERVICE REVENUE</t>
  </si>
  <si>
    <t>CURRENT EXPENDITURES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</si>
  <si>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</si>
  <si>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</si>
  <si>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</si>
  <si>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</si>
  <si>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</si>
  <si>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</si>
  <si>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</si>
  <si>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</si>
  <si>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</si>
  <si>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</si>
  <si>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</si>
  <si>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</si>
  <si>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</si>
  <si>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</si>
  <si>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</si>
  <si>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</si>
  <si>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</si>
  <si>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</si>
  <si>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</si>
  <si>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</si>
  <si>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</si>
  <si>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</si>
  <si>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</si>
  <si>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</si>
  <si>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</si>
  <si>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</si>
  <si>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</si>
  <si>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</si>
  <si>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</si>
  <si>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</si>
  <si>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</si>
  <si>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</si>
  <si>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</si>
  <si>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</si>
  <si>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</si>
  <si>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</si>
  <si>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</si>
  <si>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</si>
  <si>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</si>
  <si>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</si>
  <si>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</si>
  <si>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</si>
  <si>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</si>
  <si>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</si>
  <si>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</si>
  <si>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</si>
  <si>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</si>
  <si>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</si>
  <si>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</si>
  <si>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</si>
  <si>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</si>
  <si>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</si>
  <si>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</si>
  <si>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</si>
  <si>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</si>
  <si>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</si>
  <si>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</si>
  <si>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</si>
  <si>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</si>
  <si>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</si>
  <si>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</si>
  <si>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</si>
  <si>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</si>
  <si>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</si>
  <si>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</si>
  <si>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</si>
  <si>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</si>
  <si>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</si>
  <si>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</si>
  <si>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</si>
  <si>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</si>
  <si>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</si>
  <si>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4. Earnings on Investments</t>
  </si>
  <si>
    <t>1500-1599</t>
  </si>
  <si>
    <t>5. Food Services Sales</t>
  </si>
  <si>
    <t>1600-1699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</si>
  <si>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</si>
  <si>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</si>
  <si>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</si>
  <si>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</si>
  <si>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</si>
  <si>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</si>
  <si>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</si>
  <si>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</si>
  <si>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</si>
  <si>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</si>
  <si>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</si>
  <si>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</si>
  <si>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</si>
  <si>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</si>
  <si>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</si>
  <si>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</si>
  <si>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</si>
  <si>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</si>
  <si>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</si>
  <si>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</si>
  <si>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</si>
  <si>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</si>
  <si>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</si>
  <si>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</si>
  <si>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For the Fiscal Year Ending on June 30th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</si>
  <si>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</si>
  <si>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</si>
  <si>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</si>
  <si>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</si>
  <si>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</si>
  <si>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</si>
  <si>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</si>
  <si>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</si>
  <si>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</si>
  <si>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</si>
  <si>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</si>
  <si>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</si>
  <si>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</si>
  <si>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</si>
  <si>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</si>
  <si>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</si>
  <si>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</si>
  <si>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</si>
  <si>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</si>
  <si>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</si>
  <si>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</si>
  <si>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</si>
  <si>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</si>
  <si>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</si>
  <si>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</si>
  <si>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</si>
  <si>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</si>
  <si>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</si>
  <si>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</si>
  <si>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</si>
  <si>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</si>
  <si>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</si>
  <si>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</si>
  <si>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</si>
  <si>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</si>
  <si>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</si>
  <si>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</si>
  <si>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</si>
  <si>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</si>
  <si>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</si>
  <si>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</si>
  <si>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</si>
  <si>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</si>
  <si>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</si>
  <si>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</si>
  <si>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</si>
  <si>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</si>
  <si>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</si>
  <si>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</si>
  <si>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</si>
  <si>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</si>
  <si>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</si>
  <si>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</si>
  <si>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</si>
  <si>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</si>
  <si>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</si>
  <si>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31.  Allocation to Other Agencies</t>
  </si>
  <si>
    <t>32.  Total Other Outlays and Financing Uses (Lines 19-31)</t>
  </si>
  <si>
    <t>Total Restricted Grants-In-Aid</t>
  </si>
  <si>
    <t>Total Unrestricted Grants-In-Aid</t>
  </si>
  <si>
    <t xml:space="preserve">Total Restricted Grants-In-Aid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</si>
  <si>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</si>
  <si>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</si>
  <si>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</si>
  <si>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</si>
  <si>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</si>
  <si>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</si>
  <si>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</si>
  <si>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</si>
  <si>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</si>
  <si>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</si>
  <si>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</si>
  <si>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</si>
  <si>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>LESS: TRANSPORTATION EXPENDITURES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</si>
  <si>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</si>
  <si>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</si>
  <si>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</si>
  <si>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</si>
  <si>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</si>
  <si>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</si>
  <si>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</si>
  <si>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</si>
  <si>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</si>
  <si>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</si>
  <si>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</si>
  <si>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</si>
  <si>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</si>
  <si>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</si>
  <si>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</si>
  <si>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</si>
  <si>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</si>
  <si>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</si>
  <si>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</si>
  <si>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</si>
  <si>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</si>
  <si>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</si>
  <si>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</si>
  <si>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</si>
  <si>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</si>
  <si>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</si>
  <si>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</si>
  <si>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</si>
  <si>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</si>
  <si>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</si>
  <si>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</si>
  <si>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</si>
  <si>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</si>
  <si>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</si>
  <si>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</si>
  <si>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</si>
  <si>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</si>
  <si>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</si>
  <si>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</si>
  <si>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</si>
  <si>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</si>
  <si>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</si>
  <si>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</si>
  <si>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</si>
  <si>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</si>
  <si>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</si>
  <si>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</si>
  <si>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</si>
  <si>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 OTHER REVENUE IN LIEU OF TAXES</t>
  </si>
  <si>
    <t xml:space="preserve"> REVENUE FOR/ON BEHALF OF LEA</t>
  </si>
  <si>
    <t xml:space="preserve">  SCHOOL BUILDING AID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</si>
  <si>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</si>
  <si>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</si>
  <si>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</si>
  <si>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</si>
  <si>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</si>
  <si>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</si>
  <si>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</si>
  <si>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</si>
  <si>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</si>
  <si>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</si>
  <si>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</si>
  <si>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</si>
  <si>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</si>
  <si>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</si>
  <si>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</si>
  <si>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>HIGH</t>
  </si>
  <si>
    <t>5252-5253</t>
  </si>
  <si>
    <t>5300-5399</t>
  </si>
  <si>
    <t>5500-5600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</si>
  <si>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</si>
  <si>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</si>
  <si>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</si>
  <si>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</si>
  <si>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</si>
  <si>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</si>
  <si>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</si>
  <si>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</si>
  <si>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</si>
  <si>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</si>
  <si>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</si>
  <si>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</si>
  <si>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</si>
  <si>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</si>
  <si>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</si>
  <si>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</si>
  <si>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</si>
  <si>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</si>
  <si>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</si>
  <si>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</si>
  <si>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</si>
  <si>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</si>
  <si>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</si>
  <si>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</si>
  <si>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</si>
  <si>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</si>
  <si>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</si>
  <si>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</si>
  <si>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</si>
  <si>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</si>
  <si>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</si>
  <si>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</si>
  <si>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</si>
  <si>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</si>
  <si>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</si>
  <si>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</si>
  <si>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</si>
  <si>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</si>
  <si>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</si>
  <si>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</si>
  <si>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</si>
  <si>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</si>
  <si>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</si>
  <si>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</si>
  <si>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</si>
  <si>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</si>
  <si>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</si>
  <si>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</si>
  <si>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</si>
  <si>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</si>
  <si>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</si>
  <si>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</si>
  <si>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</si>
  <si>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</si>
  <si>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</si>
  <si>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</si>
  <si>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</si>
  <si>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</si>
  <si>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</si>
  <si>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</si>
  <si>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</si>
  <si>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</si>
  <si>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</si>
  <si>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</si>
  <si>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</si>
  <si>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</si>
  <si>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</si>
  <si>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</si>
  <si>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</si>
  <si>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</si>
  <si>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</si>
  <si>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</si>
  <si>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>19.  All Other Restricted Grants-in Aid</t>
  </si>
  <si>
    <t xml:space="preserve">    STUDENT TRANSPORTATION</t>
  </si>
  <si>
    <t xml:space="preserve">    CENTRAL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</si>
  <si>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</si>
  <si>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</si>
  <si>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</si>
  <si>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</si>
  <si>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</si>
  <si>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</si>
  <si>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</si>
  <si>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</si>
  <si>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</si>
  <si>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</si>
  <si>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</si>
  <si>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</si>
  <si>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</si>
  <si>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</si>
  <si>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</si>
  <si>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</si>
  <si>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</si>
  <si>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</si>
  <si>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</si>
  <si>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</si>
  <si>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</si>
  <si>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</si>
  <si>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</si>
  <si>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</si>
  <si>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</si>
  <si>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</si>
  <si>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</si>
  <si>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</si>
  <si>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</si>
  <si>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</si>
  <si>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</si>
  <si>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</si>
  <si>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</si>
  <si>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</si>
  <si>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</si>
  <si>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</si>
  <si>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</si>
  <si>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</si>
  <si>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</si>
  <si>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</si>
  <si>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</si>
  <si>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</si>
  <si>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</si>
  <si>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</si>
  <si>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</si>
  <si>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</si>
  <si>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</si>
  <si>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</si>
  <si>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</si>
  <si>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</si>
  <si>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</si>
  <si>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</si>
  <si>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</si>
  <si>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</si>
  <si>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Remaining Principal Balance Due</t>
  </si>
  <si>
    <t xml:space="preserve">  Remaining Interest Balance Due</t>
  </si>
  <si>
    <t>TRANSFER TO OTHER FUNDS</t>
  </si>
  <si>
    <t xml:space="preserve">  Remaining Debt(P&amp;I) (Lines 9 plus 10)</t>
  </si>
  <si>
    <t xml:space="preserve">  SERVICES PROVIDED SAUs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</si>
  <si>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</si>
  <si>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</si>
  <si>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</si>
  <si>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</si>
  <si>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</si>
  <si>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</si>
  <si>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</si>
  <si>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</si>
  <si>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</si>
  <si>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</si>
  <si>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</si>
  <si>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</si>
  <si>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</si>
  <si>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</si>
  <si>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</si>
  <si>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</si>
  <si>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</si>
  <si>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</si>
  <si>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</si>
  <si>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</si>
  <si>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</si>
  <si>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</si>
  <si>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</si>
  <si>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</si>
  <si>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</si>
  <si>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</si>
  <si>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</si>
  <si>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</si>
  <si>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</si>
  <si>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</si>
  <si>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</si>
  <si>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</si>
  <si>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</si>
  <si>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</si>
  <si>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</si>
  <si>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</si>
  <si>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</si>
  <si>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</si>
  <si>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</si>
  <si>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</si>
  <si>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</si>
  <si>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</si>
  <si>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</si>
  <si>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</si>
  <si>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</si>
  <si>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</si>
  <si>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</si>
  <si>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</si>
  <si>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</si>
  <si>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</si>
  <si>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</si>
  <si>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</si>
  <si>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</si>
  <si>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</si>
  <si>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</si>
  <si>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</si>
  <si>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</si>
  <si>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</si>
  <si>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</si>
  <si>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</si>
  <si>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</si>
  <si>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</si>
  <si>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>OTHER FINANCING SOURCES</t>
  </si>
  <si>
    <t>Total High School Expenditures</t>
  </si>
  <si>
    <t>Revenue For/On Behalf of LEA</t>
  </si>
  <si>
    <t>1/11/1</t>
  </si>
  <si>
    <t>1/11/2</t>
  </si>
  <si>
    <t xml:space="preserve">  RESERVE FOR AMTS VOTED </t>
  </si>
  <si>
    <t>100</t>
  </si>
  <si>
    <t>200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</si>
  <si>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</si>
  <si>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</si>
  <si>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</si>
  <si>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</si>
  <si>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</si>
  <si>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</si>
  <si>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</si>
  <si>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</si>
  <si>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</si>
  <si>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</si>
  <si>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</si>
  <si>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</si>
  <si>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</si>
  <si>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</si>
  <si>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</si>
  <si>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</si>
  <si>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</si>
  <si>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</si>
  <si>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</si>
  <si>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</si>
  <si>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</si>
  <si>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</si>
  <si>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</si>
  <si>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</si>
  <si>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</si>
  <si>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</si>
  <si>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</si>
  <si>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</si>
  <si>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</si>
  <si>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</si>
  <si>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</si>
  <si>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</si>
  <si>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</si>
  <si>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</si>
  <si>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</si>
  <si>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</si>
  <si>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</si>
  <si>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</si>
  <si>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</si>
  <si>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</si>
  <si>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</si>
  <si>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</si>
  <si>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</si>
  <si>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</si>
  <si>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</si>
  <si>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</si>
  <si>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</si>
  <si>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</si>
  <si>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</si>
  <si>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*Coe-Brown, Pinkerton and Prospect Mtn only</t>
  </si>
  <si>
    <t>23. Total Revenue from State Sources Lines 13, and 20-22</t>
  </si>
  <si>
    <t>24. Unrestricted Grants-In-Aid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</si>
  <si>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</si>
  <si>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</si>
  <si>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</si>
  <si>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</si>
  <si>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</si>
  <si>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</si>
  <si>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</si>
  <si>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>29. Total Revenue from Federal Gov't (Lines 24-28)</t>
  </si>
  <si>
    <t>30. Sale of Bonds and Notes</t>
  </si>
  <si>
    <t>31.  Reimbursement Anticipation Notes</t>
  </si>
  <si>
    <t xml:space="preserve">  Amount of Interest to be Paid Next Fiscal Year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</si>
  <si>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</si>
  <si>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</si>
  <si>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</si>
  <si>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</si>
  <si>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</si>
  <si>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</si>
  <si>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</si>
  <si>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</si>
  <si>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</si>
  <si>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</si>
  <si>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</si>
  <si>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</si>
  <si>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</si>
  <si>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</si>
  <si>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</si>
  <si>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</si>
  <si>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</si>
  <si>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</si>
  <si>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</si>
  <si>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</si>
  <si>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</si>
  <si>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</si>
  <si>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</si>
  <si>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</si>
  <si>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</si>
  <si>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</si>
  <si>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</si>
  <si>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</si>
  <si>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</si>
  <si>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</si>
  <si>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</si>
  <si>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</si>
  <si>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</si>
  <si>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</si>
  <si>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</si>
  <si>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</si>
  <si>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</si>
  <si>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</si>
  <si>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</si>
  <si>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</si>
  <si>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</si>
  <si>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</si>
  <si>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</si>
  <si>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</si>
  <si>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</si>
  <si>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</si>
  <si>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</si>
  <si>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</si>
  <si>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</si>
  <si>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</si>
  <si>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</si>
  <si>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</si>
  <si>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</si>
  <si>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</si>
  <si>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</si>
  <si>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</si>
  <si>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</si>
  <si>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</si>
  <si>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</si>
  <si>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</si>
  <si>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t>1/11/3</t>
  </si>
  <si>
    <t>1/11/4</t>
  </si>
  <si>
    <t>1/11/5</t>
  </si>
  <si>
    <t>1/31/1</t>
  </si>
  <si>
    <t>(7)</t>
  </si>
  <si>
    <t>Object 800-900</t>
  </si>
  <si>
    <t>Special Revenue Funds</t>
  </si>
  <si>
    <t>300,400,500</t>
  </si>
  <si>
    <t>600</t>
  </si>
  <si>
    <t>700</t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</si>
  <si>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</si>
  <si>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</si>
  <si>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</si>
  <si>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</si>
  <si>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</si>
  <si>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</si>
  <si>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</si>
  <si>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</si>
  <si>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</si>
  <si>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</si>
  <si>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</si>
  <si>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</si>
  <si>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</si>
  <si>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</si>
  <si>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</si>
  <si>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</si>
  <si>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</si>
  <si>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</si>
  <si>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</si>
  <si>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>Facilities Acquisition And Construction</t>
  </si>
  <si>
    <t>Support Services - Instructional Staff</t>
  </si>
  <si>
    <t>Capital Outlay/Property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</si>
  <si>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</si>
  <si>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</si>
  <si>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</si>
  <si>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       The activities of the Assistant Superintendent's office should be charge  here, unless the activities can be placed properly into a service area such as;  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</si>
  <si>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</si>
  <si>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</si>
  <si>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</si>
  <si>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</si>
  <si>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</si>
  <si>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</si>
  <si>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</si>
  <si>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>32. Transfer from General Fund</t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</si>
  <si>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</si>
  <si>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</si>
  <si>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</si>
  <si>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</si>
  <si>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</si>
  <si>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</si>
  <si>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</si>
  <si>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</si>
  <si>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</si>
  <si>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</si>
  <si>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</si>
  <si>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</si>
  <si>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</si>
  <si>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</si>
  <si>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</si>
  <si>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</si>
  <si>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</si>
  <si>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</si>
  <si>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</si>
  <si>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</si>
  <si>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</si>
  <si>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</si>
  <si>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General and Special Revenue Fund Personnel Expenditures for Instruction</t>
  </si>
  <si>
    <t xml:space="preserve">District Name:  </t>
  </si>
  <si>
    <t>Account Code - 1100</t>
  </si>
  <si>
    <t>Capital Outlay</t>
  </si>
  <si>
    <t>Object 700</t>
  </si>
  <si>
    <t>Debt Services</t>
  </si>
  <si>
    <t>Function 5100</t>
  </si>
  <si>
    <t>Code</t>
  </si>
  <si>
    <t>Support Services - Student</t>
  </si>
  <si>
    <t>Community Service Programs</t>
  </si>
  <si>
    <t>5110-5120</t>
  </si>
  <si>
    <t>Principal &amp; Interest</t>
  </si>
  <si>
    <t>HOPKINTON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</si>
</sst>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448D-F181-41B0-9068-C84D29FEE5B9}">
  <sheetPr transitionEvaluation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252</v>
      </c>
      <c r="B1" s="2" t="s">
        <v>253</v>
      </c>
      <c r="C1" s="2" t="s">
        <v>254</v>
      </c>
      <c r="D1" s="2"/>
      <c r="E1" s="2"/>
      <c r="F1" s="13"/>
      <c r="G1" s="13"/>
      <c r="H1" s="15" t="s">
        <v>875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263</v>
      </c>
      <c r="C2" s="21">
        <v>263</v>
      </c>
      <c r="D2" s="21"/>
      <c r="E2" s="6" t="s">
        <v>814</v>
      </c>
      <c r="F2" s="15" t="s">
        <v>255</v>
      </c>
      <c r="G2" s="15" t="s">
        <v>256</v>
      </c>
      <c r="H2" s="15" t="s">
        <v>257</v>
      </c>
      <c r="I2" s="15" t="s">
        <v>258</v>
      </c>
      <c r="J2" s="15" t="s">
        <v>259</v>
      </c>
      <c r="K2" s="15" t="s">
        <v>260</v>
      </c>
      <c r="L2" s="15" t="s">
        <v>825</v>
      </c>
    </row>
    <row r="3" spans="1:13" s="3" customFormat="1" ht="12" customHeight="1" x14ac:dyDescent="0.15">
      <c r="A3" s="5" t="s">
        <v>261</v>
      </c>
      <c r="B3" s="6" t="s">
        <v>262</v>
      </c>
      <c r="C3" s="6" t="s">
        <v>263</v>
      </c>
      <c r="D3" s="6"/>
      <c r="E3" s="23" t="s">
        <v>383</v>
      </c>
    </row>
    <row r="4" spans="1:13" s="3" customFormat="1" ht="12" customHeight="1" x14ac:dyDescent="0.15">
      <c r="A4" s="1" t="s">
        <v>269</v>
      </c>
      <c r="K4" s="13"/>
      <c r="L4" s="13"/>
    </row>
    <row r="5" spans="1:13" s="3" customFormat="1" ht="12" customHeight="1" x14ac:dyDescent="0.15">
      <c r="A5" s="1" t="s">
        <v>270</v>
      </c>
      <c r="F5" s="23" t="s">
        <v>264</v>
      </c>
      <c r="G5" s="23" t="s">
        <v>265</v>
      </c>
      <c r="H5" s="23" t="s">
        <v>266</v>
      </c>
      <c r="I5" s="23" t="s">
        <v>267</v>
      </c>
      <c r="J5" s="23" t="s">
        <v>268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271</v>
      </c>
      <c r="G6" s="226" t="s">
        <v>272</v>
      </c>
      <c r="H6" s="226" t="s">
        <v>273</v>
      </c>
      <c r="I6" s="226" t="s">
        <v>274</v>
      </c>
      <c r="J6" s="226" t="s">
        <v>275</v>
      </c>
      <c r="K6" s="13"/>
      <c r="L6" s="13"/>
      <c r="M6" s="8"/>
    </row>
    <row r="7" spans="1:13" s="3" customFormat="1" ht="12" customHeight="1" x14ac:dyDescent="0.15">
      <c r="A7" s="1" t="s">
        <v>276</v>
      </c>
      <c r="B7" s="7"/>
      <c r="C7" s="7"/>
      <c r="D7" s="7"/>
      <c r="E7" s="7"/>
      <c r="F7" s="226"/>
      <c r="G7" s="227"/>
      <c r="H7" s="226" t="s">
        <v>775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384</v>
      </c>
      <c r="B8" s="7"/>
      <c r="C8" s="7"/>
      <c r="D8" s="7"/>
      <c r="E8" s="7"/>
      <c r="F8" s="24" t="s">
        <v>279</v>
      </c>
      <c r="G8" s="24" t="s">
        <v>279</v>
      </c>
      <c r="H8" s="24" t="s">
        <v>279</v>
      </c>
      <c r="I8" s="24" t="s">
        <v>279</v>
      </c>
      <c r="J8" s="24" t="s">
        <v>279</v>
      </c>
      <c r="K8" s="24" t="s">
        <v>279</v>
      </c>
      <c r="L8" s="24" t="s">
        <v>279</v>
      </c>
      <c r="M8" s="8"/>
    </row>
    <row r="9" spans="1:13" s="3" customFormat="1" ht="12" customHeight="1" x14ac:dyDescent="0.15">
      <c r="A9" s="1" t="s">
        <v>677</v>
      </c>
      <c r="B9" s="2" t="s">
        <v>280</v>
      </c>
      <c r="C9" s="6">
        <v>1</v>
      </c>
      <c r="D9" s="2" t="s">
        <v>544</v>
      </c>
      <c r="E9" s="6">
        <v>100</v>
      </c>
      <c r="F9" s="18">
        <f>-185279+701297</f>
        <v>516018</v>
      </c>
      <c r="G9" s="18">
        <v>100</v>
      </c>
      <c r="H9" s="18"/>
      <c r="I9" s="18"/>
      <c r="J9" s="67">
        <f>SUM(I431)</f>
        <v>344201</v>
      </c>
      <c r="K9" s="24" t="s">
        <v>279</v>
      </c>
      <c r="L9" s="24" t="s">
        <v>279</v>
      </c>
      <c r="M9" s="8"/>
    </row>
    <row r="10" spans="1:13" s="3" customFormat="1" ht="12" customHeight="1" x14ac:dyDescent="0.15">
      <c r="A10" s="1" t="s">
        <v>678</v>
      </c>
      <c r="B10" s="2" t="s">
        <v>280</v>
      </c>
      <c r="C10" s="6">
        <v>2</v>
      </c>
      <c r="D10" s="2" t="s">
        <v>544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279</v>
      </c>
      <c r="L10" s="24" t="s">
        <v>279</v>
      </c>
      <c r="M10" s="8"/>
    </row>
    <row r="11" spans="1:13" s="3" customFormat="1" ht="12" customHeight="1" x14ac:dyDescent="0.15">
      <c r="A11" s="1" t="s">
        <v>550</v>
      </c>
      <c r="B11" s="2" t="s">
        <v>280</v>
      </c>
      <c r="C11" s="6">
        <v>3</v>
      </c>
      <c r="D11" s="2" t="s">
        <v>544</v>
      </c>
      <c r="E11" s="6">
        <v>120</v>
      </c>
      <c r="F11" s="18"/>
      <c r="G11" s="24" t="s">
        <v>279</v>
      </c>
      <c r="H11" s="24" t="s">
        <v>279</v>
      </c>
      <c r="I11" s="24" t="s">
        <v>279</v>
      </c>
      <c r="J11" s="24" t="s">
        <v>279</v>
      </c>
      <c r="K11" s="24" t="s">
        <v>279</v>
      </c>
      <c r="L11" s="24" t="s">
        <v>279</v>
      </c>
      <c r="M11" s="8"/>
    </row>
    <row r="12" spans="1:13" s="3" customFormat="1" ht="12" customHeight="1" x14ac:dyDescent="0.15">
      <c r="A12" s="1" t="s">
        <v>551</v>
      </c>
      <c r="B12" s="2" t="s">
        <v>280</v>
      </c>
      <c r="C12" s="6">
        <v>4</v>
      </c>
      <c r="D12" s="2" t="s">
        <v>544</v>
      </c>
      <c r="E12" s="6">
        <v>130</v>
      </c>
      <c r="F12" s="18">
        <v>109902</v>
      </c>
      <c r="G12" s="18">
        <v>988</v>
      </c>
      <c r="H12" s="18">
        <v>11466</v>
      </c>
      <c r="I12" s="18"/>
      <c r="J12" s="67">
        <f>SUM(I433)</f>
        <v>0</v>
      </c>
      <c r="K12" s="24" t="s">
        <v>279</v>
      </c>
      <c r="L12" s="24" t="s">
        <v>279</v>
      </c>
      <c r="M12" s="8"/>
    </row>
    <row r="13" spans="1:13" s="3" customFormat="1" ht="12" customHeight="1" x14ac:dyDescent="0.15">
      <c r="A13" s="1" t="s">
        <v>602</v>
      </c>
      <c r="B13" s="2" t="s">
        <v>280</v>
      </c>
      <c r="C13" s="6">
        <v>5</v>
      </c>
      <c r="D13" s="2" t="s">
        <v>544</v>
      </c>
      <c r="E13" s="6">
        <v>140</v>
      </c>
      <c r="F13" s="18">
        <v>57371</v>
      </c>
      <c r="G13" s="18">
        <v>5025</v>
      </c>
      <c r="H13" s="18">
        <f>104861+22551</f>
        <v>127412</v>
      </c>
      <c r="I13" s="18"/>
      <c r="J13" s="67">
        <f>SUM(I434)</f>
        <v>0</v>
      </c>
      <c r="K13" s="24" t="s">
        <v>279</v>
      </c>
      <c r="L13" s="24" t="s">
        <v>279</v>
      </c>
      <c r="M13" s="8"/>
    </row>
    <row r="14" spans="1:13" s="3" customFormat="1" ht="12" customHeight="1" x14ac:dyDescent="0.15">
      <c r="A14" s="1" t="s">
        <v>552</v>
      </c>
      <c r="B14" s="2" t="s">
        <v>280</v>
      </c>
      <c r="C14" s="6">
        <v>6</v>
      </c>
      <c r="D14" s="2" t="s">
        <v>544</v>
      </c>
      <c r="E14" s="6">
        <v>150</v>
      </c>
      <c r="F14" s="18">
        <v>4723</v>
      </c>
      <c r="G14" s="18"/>
      <c r="H14" s="18"/>
      <c r="I14" s="18"/>
      <c r="J14" s="67">
        <f>SUM(I435)</f>
        <v>0</v>
      </c>
      <c r="K14" s="24" t="s">
        <v>279</v>
      </c>
      <c r="L14" s="24" t="s">
        <v>279</v>
      </c>
      <c r="M14" s="8"/>
    </row>
    <row r="15" spans="1:13" s="3" customFormat="1" ht="12" customHeight="1" x14ac:dyDescent="0.15">
      <c r="A15" s="1" t="s">
        <v>578</v>
      </c>
      <c r="B15" s="2" t="s">
        <v>280</v>
      </c>
      <c r="C15" s="6">
        <v>7</v>
      </c>
      <c r="D15" s="2" t="s">
        <v>544</v>
      </c>
      <c r="E15" s="6">
        <v>160</v>
      </c>
      <c r="F15" s="24" t="s">
        <v>279</v>
      </c>
      <c r="G15" s="24" t="s">
        <v>279</v>
      </c>
      <c r="H15" s="24" t="s">
        <v>279</v>
      </c>
      <c r="I15" s="18"/>
      <c r="J15" s="24" t="s">
        <v>279</v>
      </c>
      <c r="K15" s="24" t="s">
        <v>279</v>
      </c>
      <c r="L15" s="24" t="s">
        <v>279</v>
      </c>
      <c r="M15" s="8"/>
    </row>
    <row r="16" spans="1:13" s="3" customFormat="1" ht="12" customHeight="1" x14ac:dyDescent="0.15">
      <c r="A16" s="1" t="s">
        <v>553</v>
      </c>
      <c r="B16" s="2" t="s">
        <v>280</v>
      </c>
      <c r="C16" s="6">
        <v>8</v>
      </c>
      <c r="D16" s="2" t="s">
        <v>544</v>
      </c>
      <c r="E16" s="6">
        <v>170</v>
      </c>
      <c r="F16" s="18"/>
      <c r="G16" s="18"/>
      <c r="H16" s="18"/>
      <c r="I16" s="18"/>
      <c r="J16" s="24" t="s">
        <v>279</v>
      </c>
      <c r="K16" s="24" t="s">
        <v>279</v>
      </c>
      <c r="L16" s="24" t="s">
        <v>279</v>
      </c>
      <c r="M16" s="8"/>
    </row>
    <row r="17" spans="1:13" s="3" customFormat="1" ht="12" customHeight="1" x14ac:dyDescent="0.15">
      <c r="A17" s="1" t="s">
        <v>554</v>
      </c>
      <c r="B17" s="2" t="s">
        <v>280</v>
      </c>
      <c r="C17" s="6">
        <v>9</v>
      </c>
      <c r="D17" s="2" t="s">
        <v>544</v>
      </c>
      <c r="E17" s="6">
        <v>180</v>
      </c>
      <c r="F17" s="18">
        <v>19028</v>
      </c>
      <c r="G17" s="18"/>
      <c r="H17" s="18"/>
      <c r="I17" s="18"/>
      <c r="J17" s="67">
        <f>SUM(I436)</f>
        <v>0</v>
      </c>
      <c r="K17" s="24" t="s">
        <v>279</v>
      </c>
      <c r="L17" s="24" t="s">
        <v>279</v>
      </c>
      <c r="M17" s="8"/>
    </row>
    <row r="18" spans="1:13" s="3" customFormat="1" ht="12" customHeight="1" thickBot="1" x14ac:dyDescent="0.2">
      <c r="A18" s="1" t="s">
        <v>682</v>
      </c>
      <c r="B18" s="2" t="s">
        <v>280</v>
      </c>
      <c r="C18" s="6">
        <v>10</v>
      </c>
      <c r="D18" s="2" t="s">
        <v>544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279</v>
      </c>
      <c r="L18" s="24" t="s">
        <v>279</v>
      </c>
      <c r="M18" s="8"/>
    </row>
    <row r="19" spans="1:13" s="3" customFormat="1" ht="12" customHeight="1" thickTop="1" x14ac:dyDescent="0.15">
      <c r="A19" s="38" t="s">
        <v>385</v>
      </c>
      <c r="B19" s="39" t="s">
        <v>280</v>
      </c>
      <c r="C19" s="40">
        <v>11</v>
      </c>
      <c r="D19" s="39" t="s">
        <v>544</v>
      </c>
      <c r="E19" s="39"/>
      <c r="F19" s="41">
        <f>SUM(F9:F18)</f>
        <v>707042</v>
      </c>
      <c r="G19" s="41">
        <f>SUM(G9:G18)</f>
        <v>6113</v>
      </c>
      <c r="H19" s="41">
        <f>SUM(H9:H18)</f>
        <v>138878</v>
      </c>
      <c r="I19" s="41">
        <f>SUM(I9:I18)</f>
        <v>0</v>
      </c>
      <c r="J19" s="41">
        <f>SUM(J9:J18)</f>
        <v>344201</v>
      </c>
      <c r="K19" s="45" t="s">
        <v>279</v>
      </c>
      <c r="L19" s="45" t="s">
        <v>279</v>
      </c>
      <c r="M19" s="8"/>
    </row>
    <row r="20" spans="1:13" s="3" customFormat="1" ht="12" customHeight="1" x14ac:dyDescent="0.15">
      <c r="B20" s="1" t="s">
        <v>292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428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386</v>
      </c>
      <c r="B22" s="7"/>
      <c r="C22" s="2"/>
      <c r="D22" s="7"/>
      <c r="E22" s="7"/>
      <c r="F22" s="24" t="s">
        <v>279</v>
      </c>
      <c r="G22" s="24" t="s">
        <v>279</v>
      </c>
      <c r="H22" s="24" t="s">
        <v>279</v>
      </c>
      <c r="I22" s="24" t="s">
        <v>279</v>
      </c>
      <c r="J22" s="24" t="s">
        <v>279</v>
      </c>
      <c r="K22" s="24" t="s">
        <v>279</v>
      </c>
      <c r="L22" s="24" t="s">
        <v>279</v>
      </c>
      <c r="M22" s="8"/>
    </row>
    <row r="23" spans="1:13" s="3" customFormat="1" ht="12" customHeight="1" x14ac:dyDescent="0.15">
      <c r="A23" s="1" t="s">
        <v>683</v>
      </c>
      <c r="B23" s="2" t="s">
        <v>280</v>
      </c>
      <c r="C23" s="6">
        <v>12</v>
      </c>
      <c r="D23" s="2" t="s">
        <v>545</v>
      </c>
      <c r="E23" s="6">
        <v>400</v>
      </c>
      <c r="F23" s="18">
        <v>1732</v>
      </c>
      <c r="G23" s="18">
        <v>2582</v>
      </c>
      <c r="H23" s="18">
        <f>103209-1732</f>
        <v>101477</v>
      </c>
      <c r="I23" s="18"/>
      <c r="J23" s="67">
        <f>SUM(I440)</f>
        <v>0</v>
      </c>
      <c r="K23" s="24" t="s">
        <v>279</v>
      </c>
      <c r="L23" s="24" t="s">
        <v>279</v>
      </c>
      <c r="M23" s="8"/>
    </row>
    <row r="24" spans="1:13" s="3" customFormat="1" ht="12" customHeight="1" x14ac:dyDescent="0.15">
      <c r="A24" s="1" t="s">
        <v>743</v>
      </c>
      <c r="B24" s="2" t="s">
        <v>280</v>
      </c>
      <c r="C24" s="6">
        <v>13</v>
      </c>
      <c r="D24" s="2" t="s">
        <v>545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279</v>
      </c>
      <c r="L24" s="24" t="s">
        <v>279</v>
      </c>
      <c r="M24" s="8"/>
    </row>
    <row r="25" spans="1:13" s="3" customFormat="1" ht="12" customHeight="1" x14ac:dyDescent="0.15">
      <c r="A25" s="1" t="s">
        <v>684</v>
      </c>
      <c r="B25" s="2" t="s">
        <v>280</v>
      </c>
      <c r="C25" s="6">
        <v>14</v>
      </c>
      <c r="D25" s="2" t="s">
        <v>545</v>
      </c>
      <c r="E25" s="6">
        <v>420</v>
      </c>
      <c r="F25" s="18">
        <v>92495</v>
      </c>
      <c r="G25" s="18">
        <v>600</v>
      </c>
      <c r="H25" s="18">
        <v>3499</v>
      </c>
      <c r="I25" s="18"/>
      <c r="J25" s="67">
        <f>SUM(I442)</f>
        <v>0</v>
      </c>
      <c r="K25" s="24" t="s">
        <v>279</v>
      </c>
      <c r="L25" s="24" t="s">
        <v>279</v>
      </c>
      <c r="M25" s="8"/>
    </row>
    <row r="26" spans="1:13" s="3" customFormat="1" ht="12" customHeight="1" x14ac:dyDescent="0.15">
      <c r="A26" s="1" t="s">
        <v>688</v>
      </c>
      <c r="B26" s="2" t="s">
        <v>280</v>
      </c>
      <c r="C26" s="6">
        <v>15</v>
      </c>
      <c r="D26" s="2" t="s">
        <v>545</v>
      </c>
      <c r="E26" s="6">
        <v>430</v>
      </c>
      <c r="F26" s="18"/>
      <c r="G26" s="145"/>
      <c r="H26" s="18"/>
      <c r="I26" s="18"/>
      <c r="J26" s="24" t="s">
        <v>279</v>
      </c>
      <c r="K26" s="24" t="s">
        <v>279</v>
      </c>
      <c r="L26" s="24" t="s">
        <v>279</v>
      </c>
      <c r="M26" s="8"/>
    </row>
    <row r="27" spans="1:13" s="3" customFormat="1" ht="12" customHeight="1" x14ac:dyDescent="0.15">
      <c r="A27" s="1" t="s">
        <v>685</v>
      </c>
      <c r="B27" s="2" t="s">
        <v>280</v>
      </c>
      <c r="C27" s="6">
        <v>16</v>
      </c>
      <c r="D27" s="2" t="s">
        <v>545</v>
      </c>
      <c r="E27" s="6">
        <v>440</v>
      </c>
      <c r="F27" s="18"/>
      <c r="G27" s="24" t="s">
        <v>279</v>
      </c>
      <c r="H27" s="24" t="s">
        <v>279</v>
      </c>
      <c r="I27" s="18"/>
      <c r="J27" s="24" t="s">
        <v>279</v>
      </c>
      <c r="K27" s="24" t="s">
        <v>279</v>
      </c>
      <c r="L27" s="24" t="s">
        <v>279</v>
      </c>
      <c r="M27" s="8"/>
    </row>
    <row r="28" spans="1:13" s="3" customFormat="1" ht="12" customHeight="1" x14ac:dyDescent="0.15">
      <c r="A28" s="1" t="s">
        <v>686</v>
      </c>
      <c r="B28" s="2" t="s">
        <v>280</v>
      </c>
      <c r="C28" s="6">
        <v>17</v>
      </c>
      <c r="D28" s="2" t="s">
        <v>545</v>
      </c>
      <c r="E28" s="6">
        <v>450</v>
      </c>
      <c r="F28" s="18"/>
      <c r="G28" s="24" t="s">
        <v>279</v>
      </c>
      <c r="H28" s="24" t="s">
        <v>279</v>
      </c>
      <c r="I28" s="18"/>
      <c r="J28" s="24" t="s">
        <v>279</v>
      </c>
      <c r="K28" s="24" t="s">
        <v>279</v>
      </c>
      <c r="L28" s="24" t="s">
        <v>279</v>
      </c>
      <c r="M28" s="8"/>
    </row>
    <row r="29" spans="1:13" s="3" customFormat="1" ht="12" customHeight="1" x14ac:dyDescent="0.15">
      <c r="A29" s="1" t="s">
        <v>687</v>
      </c>
      <c r="B29" s="2" t="s">
        <v>280</v>
      </c>
      <c r="C29" s="6">
        <v>18</v>
      </c>
      <c r="D29" s="2" t="s">
        <v>545</v>
      </c>
      <c r="E29" s="6">
        <v>460</v>
      </c>
      <c r="F29" s="18">
        <f>30777-1732</f>
        <v>29045</v>
      </c>
      <c r="G29" s="18"/>
      <c r="H29" s="18">
        <v>1732</v>
      </c>
      <c r="I29" s="18"/>
      <c r="J29" s="24" t="s">
        <v>279</v>
      </c>
      <c r="K29" s="24" t="s">
        <v>279</v>
      </c>
      <c r="L29" s="24" t="s">
        <v>279</v>
      </c>
      <c r="M29" s="8"/>
    </row>
    <row r="30" spans="1:13" s="3" customFormat="1" ht="12" customHeight="1" x14ac:dyDescent="0.15">
      <c r="A30" s="1" t="s">
        <v>689</v>
      </c>
      <c r="B30" s="2" t="s">
        <v>280</v>
      </c>
      <c r="C30" s="6">
        <v>19</v>
      </c>
      <c r="D30" s="2" t="s">
        <v>545</v>
      </c>
      <c r="E30" s="6">
        <v>470</v>
      </c>
      <c r="F30" s="18">
        <f>797+10600</f>
        <v>11397</v>
      </c>
      <c r="G30" s="18"/>
      <c r="H30" s="18"/>
      <c r="I30" s="18"/>
      <c r="J30" s="24" t="s">
        <v>279</v>
      </c>
      <c r="K30" s="24" t="s">
        <v>279</v>
      </c>
      <c r="L30" s="24" t="s">
        <v>279</v>
      </c>
      <c r="M30" s="8"/>
    </row>
    <row r="31" spans="1:13" s="3" customFormat="1" ht="12" customHeight="1" x14ac:dyDescent="0.15">
      <c r="A31" s="1" t="s">
        <v>562</v>
      </c>
      <c r="B31" s="2" t="s">
        <v>280</v>
      </c>
      <c r="C31" s="6">
        <v>20</v>
      </c>
      <c r="D31" s="2" t="s">
        <v>545</v>
      </c>
      <c r="E31" s="6">
        <v>480</v>
      </c>
      <c r="F31" s="18">
        <v>7508</v>
      </c>
      <c r="G31" s="18">
        <v>2931</v>
      </c>
      <c r="H31" s="18">
        <f>31471-1</f>
        <v>31470</v>
      </c>
      <c r="I31" s="18"/>
      <c r="J31" s="24" t="s">
        <v>279</v>
      </c>
      <c r="K31" s="24" t="s">
        <v>279</v>
      </c>
      <c r="L31" s="24" t="s">
        <v>279</v>
      </c>
      <c r="M31" s="8"/>
    </row>
    <row r="32" spans="1:13" s="3" customFormat="1" ht="12" customHeight="1" thickBot="1" x14ac:dyDescent="0.2">
      <c r="A32" s="1" t="s">
        <v>577</v>
      </c>
      <c r="B32" s="2" t="s">
        <v>280</v>
      </c>
      <c r="C32" s="6">
        <v>21</v>
      </c>
      <c r="D32" s="2" t="s">
        <v>545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279</v>
      </c>
      <c r="L32" s="24" t="s">
        <v>279</v>
      </c>
      <c r="M32" s="8"/>
    </row>
    <row r="33" spans="1:13" s="3" customFormat="1" ht="12" customHeight="1" thickTop="1" x14ac:dyDescent="0.15">
      <c r="A33" s="38" t="s">
        <v>387</v>
      </c>
      <c r="B33" s="39" t="s">
        <v>280</v>
      </c>
      <c r="C33" s="40">
        <v>22</v>
      </c>
      <c r="D33" s="39" t="s">
        <v>545</v>
      </c>
      <c r="E33" s="39"/>
      <c r="F33" s="41">
        <f>SUM(F23:F32)</f>
        <v>142177</v>
      </c>
      <c r="G33" s="41">
        <f>SUM(G23:G32)</f>
        <v>6113</v>
      </c>
      <c r="H33" s="41">
        <f>SUM(H23:H32)</f>
        <v>138178</v>
      </c>
      <c r="I33" s="41">
        <f>SUM(I23:I32)</f>
        <v>0</v>
      </c>
      <c r="J33" s="41">
        <f>SUM(J23:J32)</f>
        <v>0</v>
      </c>
      <c r="K33" s="45" t="s">
        <v>279</v>
      </c>
      <c r="L33" s="45" t="s">
        <v>279</v>
      </c>
      <c r="M33" s="8"/>
    </row>
    <row r="34" spans="1:13" s="3" customFormat="1" ht="12" customHeight="1" x14ac:dyDescent="0.15">
      <c r="A34" s="29" t="s">
        <v>295</v>
      </c>
      <c r="B34" s="1" t="s">
        <v>292</v>
      </c>
      <c r="C34" s="2" t="s">
        <v>277</v>
      </c>
      <c r="D34" s="2"/>
      <c r="E34" s="2"/>
      <c r="F34" s="24" t="s">
        <v>279</v>
      </c>
      <c r="G34" s="24" t="s">
        <v>279</v>
      </c>
      <c r="H34" s="24" t="s">
        <v>279</v>
      </c>
      <c r="I34" s="24" t="s">
        <v>279</v>
      </c>
      <c r="J34" s="24" t="s">
        <v>279</v>
      </c>
      <c r="K34" s="24" t="s">
        <v>279</v>
      </c>
      <c r="L34" s="24" t="s">
        <v>279</v>
      </c>
      <c r="M34" s="8"/>
    </row>
    <row r="35" spans="1:13" s="3" customFormat="1" ht="12" customHeight="1" x14ac:dyDescent="0.15">
      <c r="A35" s="1" t="s">
        <v>563</v>
      </c>
      <c r="B35" s="6">
        <v>1</v>
      </c>
      <c r="C35" s="6">
        <v>23</v>
      </c>
      <c r="D35" s="2" t="s">
        <v>790</v>
      </c>
      <c r="E35" s="6">
        <v>751</v>
      </c>
      <c r="F35" s="18"/>
      <c r="G35" s="18"/>
      <c r="H35" s="18"/>
      <c r="I35" s="18"/>
      <c r="J35" s="24" t="s">
        <v>279</v>
      </c>
      <c r="K35" s="24" t="s">
        <v>279</v>
      </c>
      <c r="L35" s="24" t="s">
        <v>279</v>
      </c>
      <c r="M35" s="8"/>
    </row>
    <row r="36" spans="1:13" s="3" customFormat="1" ht="12" customHeight="1" x14ac:dyDescent="0.15">
      <c r="A36" s="1" t="s">
        <v>564</v>
      </c>
      <c r="B36" s="6">
        <v>1</v>
      </c>
      <c r="C36" s="6">
        <v>24</v>
      </c>
      <c r="D36" s="2" t="s">
        <v>790</v>
      </c>
      <c r="E36" s="6">
        <v>752</v>
      </c>
      <c r="F36" s="18">
        <v>0</v>
      </c>
      <c r="G36" s="18"/>
      <c r="H36" s="18"/>
      <c r="I36" s="18"/>
      <c r="J36" s="24" t="s">
        <v>279</v>
      </c>
      <c r="K36" s="24" t="s">
        <v>279</v>
      </c>
      <c r="L36" s="24" t="s">
        <v>279</v>
      </c>
      <c r="M36" s="8"/>
    </row>
    <row r="37" spans="1:13" s="3" customFormat="1" ht="12" customHeight="1" x14ac:dyDescent="0.15">
      <c r="A37" s="1" t="s">
        <v>565</v>
      </c>
      <c r="B37" s="6">
        <v>1</v>
      </c>
      <c r="C37" s="6">
        <v>25</v>
      </c>
      <c r="D37" s="2" t="s">
        <v>790</v>
      </c>
      <c r="E37" s="6">
        <v>753</v>
      </c>
      <c r="F37" s="18">
        <v>59721</v>
      </c>
      <c r="G37" s="18"/>
      <c r="H37" s="18">
        <v>700</v>
      </c>
      <c r="I37" s="18"/>
      <c r="J37" s="13">
        <f>SUM(I446)</f>
        <v>0</v>
      </c>
      <c r="K37" s="24" t="s">
        <v>279</v>
      </c>
      <c r="L37" s="24" t="s">
        <v>279</v>
      </c>
      <c r="M37" s="8"/>
    </row>
    <row r="38" spans="1:13" s="3" customFormat="1" ht="12" customHeight="1" x14ac:dyDescent="0.15">
      <c r="A38" s="1" t="s">
        <v>579</v>
      </c>
      <c r="B38" s="6">
        <v>1</v>
      </c>
      <c r="C38" s="6">
        <v>26</v>
      </c>
      <c r="D38" s="2" t="s">
        <v>790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279</v>
      </c>
      <c r="L38" s="24" t="s">
        <v>279</v>
      </c>
      <c r="M38" s="8"/>
    </row>
    <row r="39" spans="1:13" s="3" customFormat="1" ht="12" customHeight="1" x14ac:dyDescent="0.15">
      <c r="A39" s="1" t="s">
        <v>695</v>
      </c>
      <c r="B39" s="6">
        <v>1</v>
      </c>
      <c r="C39" s="6">
        <v>27</v>
      </c>
      <c r="D39" s="2" t="s">
        <v>790</v>
      </c>
      <c r="E39" s="6">
        <v>755</v>
      </c>
      <c r="F39" s="18"/>
      <c r="G39" s="18"/>
      <c r="H39" s="18"/>
      <c r="I39" s="18"/>
      <c r="J39" s="24" t="s">
        <v>279</v>
      </c>
      <c r="K39" s="24"/>
      <c r="L39" s="24"/>
      <c r="M39" s="8"/>
    </row>
    <row r="40" spans="1:13" s="3" customFormat="1" ht="12" customHeight="1" x14ac:dyDescent="0.15">
      <c r="A40" s="1" t="s">
        <v>569</v>
      </c>
      <c r="B40" s="6">
        <v>1</v>
      </c>
      <c r="C40" s="6">
        <v>28</v>
      </c>
      <c r="D40" s="2" t="s">
        <v>790</v>
      </c>
      <c r="E40" s="6">
        <v>756</v>
      </c>
      <c r="F40" s="24" t="s">
        <v>279</v>
      </c>
      <c r="G40" s="24" t="s">
        <v>279</v>
      </c>
      <c r="H40" s="24" t="s">
        <v>279</v>
      </c>
      <c r="I40" s="24" t="s">
        <v>279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570</v>
      </c>
      <c r="B41" s="2" t="s">
        <v>280</v>
      </c>
      <c r="C41" s="6">
        <v>29</v>
      </c>
      <c r="D41" s="2" t="s">
        <v>790</v>
      </c>
      <c r="E41" s="6">
        <v>760</v>
      </c>
      <c r="F41" s="18">
        <v>100000</v>
      </c>
      <c r="G41" s="18"/>
      <c r="H41" s="18"/>
      <c r="I41" s="18"/>
      <c r="J41" s="13">
        <f>SUM(I449)</f>
        <v>344201</v>
      </c>
      <c r="K41" s="24" t="s">
        <v>279</v>
      </c>
      <c r="L41" s="24" t="s">
        <v>279</v>
      </c>
      <c r="M41" s="8"/>
    </row>
    <row r="42" spans="1:13" s="3" customFormat="1" ht="12" customHeight="1" thickBot="1" x14ac:dyDescent="0.2">
      <c r="A42" s="1" t="s">
        <v>571</v>
      </c>
      <c r="B42" s="2" t="s">
        <v>280</v>
      </c>
      <c r="C42" s="71">
        <v>30</v>
      </c>
      <c r="D42" s="2" t="s">
        <v>790</v>
      </c>
      <c r="E42" s="6">
        <v>770</v>
      </c>
      <c r="F42" s="18">
        <f>707043-142177-159721-1</f>
        <v>405144</v>
      </c>
      <c r="G42" s="24" t="s">
        <v>279</v>
      </c>
      <c r="H42" s="24" t="s">
        <v>279</v>
      </c>
      <c r="I42" s="24" t="s">
        <v>279</v>
      </c>
      <c r="J42" s="24" t="s">
        <v>279</v>
      </c>
      <c r="K42" s="24" t="s">
        <v>279</v>
      </c>
      <c r="L42" s="24" t="s">
        <v>279</v>
      </c>
      <c r="M42" s="8"/>
    </row>
    <row r="43" spans="1:13" s="3" customFormat="1" ht="12" customHeight="1" thickTop="1" thickBot="1" x14ac:dyDescent="0.2">
      <c r="A43" s="38" t="s">
        <v>388</v>
      </c>
      <c r="B43" s="39" t="s">
        <v>280</v>
      </c>
      <c r="C43" s="51">
        <v>31</v>
      </c>
      <c r="D43" s="39" t="s">
        <v>790</v>
      </c>
      <c r="E43" s="39"/>
      <c r="F43" s="41">
        <f>SUM(F35:F42)</f>
        <v>564865</v>
      </c>
      <c r="G43" s="41">
        <f>SUM(G35:G42)</f>
        <v>0</v>
      </c>
      <c r="H43" s="41">
        <f>SUM(H35:H42)</f>
        <v>700</v>
      </c>
      <c r="I43" s="41">
        <f>SUM(I35:I42)</f>
        <v>0</v>
      </c>
      <c r="J43" s="41">
        <f>SUM(J35:J42)</f>
        <v>344201</v>
      </c>
      <c r="K43" s="45" t="s">
        <v>279</v>
      </c>
      <c r="L43" s="45" t="s">
        <v>279</v>
      </c>
      <c r="M43" s="8"/>
    </row>
    <row r="44" spans="1:13" s="3" customFormat="1" ht="12" customHeight="1" thickTop="1" x14ac:dyDescent="0.15">
      <c r="A44" s="38" t="s">
        <v>429</v>
      </c>
      <c r="B44" s="39" t="s">
        <v>280</v>
      </c>
      <c r="C44" s="6">
        <v>32</v>
      </c>
      <c r="D44" s="39" t="s">
        <v>790</v>
      </c>
      <c r="E44" s="39"/>
      <c r="F44" s="41">
        <f>F43+F33</f>
        <v>707042</v>
      </c>
      <c r="G44" s="41">
        <f>G43+G33</f>
        <v>6113</v>
      </c>
      <c r="H44" s="41">
        <f>H43+H33</f>
        <v>138878</v>
      </c>
      <c r="I44" s="41">
        <f>I43+I33</f>
        <v>0</v>
      </c>
      <c r="J44" s="41">
        <f>J43+J33</f>
        <v>344201</v>
      </c>
      <c r="K44" s="45" t="s">
        <v>279</v>
      </c>
      <c r="L44" s="45" t="s">
        <v>279</v>
      </c>
      <c r="M44" s="8"/>
    </row>
    <row r="45" spans="1:13" ht="12" customHeight="1" x14ac:dyDescent="0.2">
      <c r="F45" s="23" t="s">
        <v>264</v>
      </c>
      <c r="G45" s="23" t="s">
        <v>265</v>
      </c>
      <c r="H45" s="23" t="s">
        <v>266</v>
      </c>
      <c r="I45" s="23" t="s">
        <v>267</v>
      </c>
      <c r="J45" s="23" t="s">
        <v>268</v>
      </c>
    </row>
    <row r="46" spans="1:13" s="3" customFormat="1" ht="12" customHeight="1" x14ac:dyDescent="0.2">
      <c r="A46" s="1" t="s">
        <v>296</v>
      </c>
      <c r="F46" s="23"/>
      <c r="G46" s="23"/>
      <c r="H46" s="23" t="s">
        <v>273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298</v>
      </c>
      <c r="E47" s="6"/>
      <c r="F47" s="16" t="s">
        <v>271</v>
      </c>
      <c r="G47" s="16" t="s">
        <v>272</v>
      </c>
      <c r="H47" s="16" t="s">
        <v>775</v>
      </c>
      <c r="I47" s="16" t="s">
        <v>274</v>
      </c>
      <c r="J47" s="16" t="s">
        <v>275</v>
      </c>
      <c r="K47" s="20"/>
      <c r="L47" s="20"/>
      <c r="M47" s="8"/>
    </row>
    <row r="48" spans="1:13" s="3" customFormat="1" ht="12" customHeight="1" x14ac:dyDescent="0.15">
      <c r="A48" s="27" t="s">
        <v>299</v>
      </c>
      <c r="E48" s="6"/>
      <c r="F48" s="24" t="s">
        <v>279</v>
      </c>
      <c r="G48" s="24" t="s">
        <v>279</v>
      </c>
      <c r="H48" s="24" t="s">
        <v>279</v>
      </c>
      <c r="I48" s="24" t="s">
        <v>279</v>
      </c>
      <c r="J48" s="24" t="s">
        <v>279</v>
      </c>
      <c r="K48" s="24" t="s">
        <v>279</v>
      </c>
      <c r="L48" s="24" t="s">
        <v>279</v>
      </c>
      <c r="M48" s="8"/>
    </row>
    <row r="49" spans="1:13" s="3" customFormat="1" ht="12" customHeight="1" x14ac:dyDescent="0.15">
      <c r="A49" s="1" t="s">
        <v>496</v>
      </c>
      <c r="B49" s="2" t="s">
        <v>300</v>
      </c>
      <c r="C49" s="6">
        <v>1</v>
      </c>
      <c r="D49" s="2" t="s">
        <v>546</v>
      </c>
      <c r="E49" s="6">
        <v>1111</v>
      </c>
      <c r="F49" s="18">
        <v>10305292</v>
      </c>
      <c r="G49" s="18"/>
      <c r="H49" s="18"/>
      <c r="I49" s="18"/>
      <c r="J49" s="18"/>
      <c r="K49" s="24" t="s">
        <v>279</v>
      </c>
      <c r="L49" s="24" t="s">
        <v>279</v>
      </c>
      <c r="M49" s="8"/>
    </row>
    <row r="50" spans="1:13" s="3" customFormat="1" ht="12" customHeight="1" x14ac:dyDescent="0.15">
      <c r="A50" s="1" t="s">
        <v>497</v>
      </c>
      <c r="B50" s="2" t="s">
        <v>300</v>
      </c>
      <c r="C50" s="6">
        <v>2</v>
      </c>
      <c r="D50" s="2" t="s">
        <v>546</v>
      </c>
      <c r="E50" s="6">
        <v>1112</v>
      </c>
      <c r="F50" s="18"/>
      <c r="G50" s="18"/>
      <c r="H50" s="24" t="s">
        <v>279</v>
      </c>
      <c r="I50" s="18"/>
      <c r="J50" s="24" t="s">
        <v>279</v>
      </c>
      <c r="K50" s="24" t="s">
        <v>279</v>
      </c>
      <c r="L50" s="24" t="s">
        <v>279</v>
      </c>
      <c r="M50" s="8"/>
    </row>
    <row r="51" spans="1:13" s="3" customFormat="1" ht="12" customHeight="1" thickBot="1" x14ac:dyDescent="0.2">
      <c r="A51" s="1" t="s">
        <v>495</v>
      </c>
      <c r="B51" s="2" t="s">
        <v>300</v>
      </c>
      <c r="C51" s="6">
        <v>3</v>
      </c>
      <c r="D51" s="2" t="s">
        <v>546</v>
      </c>
      <c r="E51" s="6">
        <v>1119</v>
      </c>
      <c r="F51" s="18"/>
      <c r="G51" s="18"/>
      <c r="H51" s="18"/>
      <c r="I51" s="18"/>
      <c r="J51" s="18"/>
      <c r="K51" s="24" t="s">
        <v>279</v>
      </c>
      <c r="L51" s="24" t="s">
        <v>279</v>
      </c>
      <c r="M51" s="8"/>
    </row>
    <row r="52" spans="1:13" s="3" customFormat="1" ht="12" customHeight="1" thickTop="1" x14ac:dyDescent="0.15">
      <c r="A52" s="38" t="s">
        <v>389</v>
      </c>
      <c r="B52" s="39" t="s">
        <v>300</v>
      </c>
      <c r="C52" s="40">
        <v>4</v>
      </c>
      <c r="D52" s="39" t="s">
        <v>546</v>
      </c>
      <c r="E52" s="40">
        <v>1100</v>
      </c>
      <c r="F52" s="41">
        <f>SUM(F49:F51)</f>
        <v>10305292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279</v>
      </c>
      <c r="L52" s="45" t="s">
        <v>279</v>
      </c>
      <c r="M52" s="8"/>
    </row>
    <row r="53" spans="1:13" s="27" customFormat="1" ht="12" customHeight="1" x14ac:dyDescent="0.15">
      <c r="A53" s="30" t="s">
        <v>502</v>
      </c>
      <c r="C53" s="30" t="s">
        <v>292</v>
      </c>
      <c r="D53" s="30"/>
      <c r="E53" s="6"/>
      <c r="F53" s="24" t="s">
        <v>279</v>
      </c>
      <c r="G53" s="24" t="s">
        <v>279</v>
      </c>
      <c r="H53" s="24" t="s">
        <v>279</v>
      </c>
      <c r="I53" s="24" t="s">
        <v>279</v>
      </c>
      <c r="J53" s="24" t="s">
        <v>279</v>
      </c>
      <c r="K53" s="24" t="s">
        <v>279</v>
      </c>
      <c r="L53" s="24" t="s">
        <v>279</v>
      </c>
      <c r="M53" s="31"/>
    </row>
    <row r="54" spans="1:13" s="27" customFormat="1" ht="12" customHeight="1" x14ac:dyDescent="0.15">
      <c r="A54" s="30" t="s">
        <v>302</v>
      </c>
      <c r="C54" s="30"/>
      <c r="D54" s="30"/>
      <c r="E54" s="6">
        <v>1310</v>
      </c>
      <c r="F54" s="24" t="s">
        <v>279</v>
      </c>
      <c r="G54" s="24" t="s">
        <v>279</v>
      </c>
      <c r="H54" s="24" t="s">
        <v>279</v>
      </c>
      <c r="I54" s="24" t="s">
        <v>279</v>
      </c>
      <c r="J54" s="24" t="s">
        <v>279</v>
      </c>
      <c r="K54" s="24" t="s">
        <v>279</v>
      </c>
      <c r="L54" s="24" t="s">
        <v>279</v>
      </c>
      <c r="M54" s="31"/>
    </row>
    <row r="55" spans="1:13" s="3" customFormat="1" ht="12" customHeight="1" x14ac:dyDescent="0.15">
      <c r="A55" s="1" t="s">
        <v>498</v>
      </c>
      <c r="B55" s="2" t="s">
        <v>300</v>
      </c>
      <c r="C55" s="6">
        <v>5</v>
      </c>
      <c r="D55" s="2" t="s">
        <v>546</v>
      </c>
      <c r="E55" s="6">
        <v>1311</v>
      </c>
      <c r="F55" s="18">
        <v>38566</v>
      </c>
      <c r="G55" s="24" t="s">
        <v>279</v>
      </c>
      <c r="H55" s="18"/>
      <c r="I55" s="24" t="s">
        <v>279</v>
      </c>
      <c r="J55" s="24" t="s">
        <v>279</v>
      </c>
      <c r="K55" s="24" t="s">
        <v>279</v>
      </c>
      <c r="L55" s="24" t="s">
        <v>279</v>
      </c>
      <c r="M55" s="8"/>
    </row>
    <row r="56" spans="1:13" s="3" customFormat="1" ht="12" customHeight="1" x14ac:dyDescent="0.15">
      <c r="A56" s="1" t="s">
        <v>499</v>
      </c>
      <c r="B56" s="2" t="s">
        <v>300</v>
      </c>
      <c r="C56" s="6">
        <v>6</v>
      </c>
      <c r="D56" s="2" t="s">
        <v>546</v>
      </c>
      <c r="E56" s="6">
        <v>1314</v>
      </c>
      <c r="F56" s="18"/>
      <c r="G56" s="24" t="s">
        <v>279</v>
      </c>
      <c r="H56" s="18"/>
      <c r="I56" s="24" t="s">
        <v>279</v>
      </c>
      <c r="J56" s="24" t="s">
        <v>279</v>
      </c>
      <c r="K56" s="24" t="s">
        <v>279</v>
      </c>
      <c r="L56" s="24" t="s">
        <v>279</v>
      </c>
      <c r="M56" s="8"/>
    </row>
    <row r="57" spans="1:13" s="3" customFormat="1" ht="12" customHeight="1" x14ac:dyDescent="0.15">
      <c r="A57" s="1" t="s">
        <v>619</v>
      </c>
      <c r="B57" s="2" t="s">
        <v>300</v>
      </c>
      <c r="C57" s="6">
        <v>7</v>
      </c>
      <c r="D57" s="2" t="s">
        <v>546</v>
      </c>
      <c r="E57" s="6">
        <v>1315</v>
      </c>
      <c r="F57" s="18"/>
      <c r="G57" s="24" t="s">
        <v>279</v>
      </c>
      <c r="H57" s="18"/>
      <c r="I57" s="24" t="s">
        <v>279</v>
      </c>
      <c r="J57" s="24" t="s">
        <v>279</v>
      </c>
      <c r="K57" s="24" t="s">
        <v>279</v>
      </c>
      <c r="L57" s="24" t="s">
        <v>279</v>
      </c>
      <c r="M57" s="8"/>
    </row>
    <row r="58" spans="1:13" s="3" customFormat="1" ht="12" customHeight="1" x14ac:dyDescent="0.15">
      <c r="A58" s="1" t="s">
        <v>314</v>
      </c>
      <c r="B58" s="2" t="s">
        <v>300</v>
      </c>
      <c r="C58" s="6">
        <v>8</v>
      </c>
      <c r="D58" s="2" t="s">
        <v>546</v>
      </c>
      <c r="E58" s="6">
        <v>1316</v>
      </c>
      <c r="F58" s="18"/>
      <c r="G58" s="24" t="s">
        <v>279</v>
      </c>
      <c r="H58" s="18"/>
      <c r="I58" s="24" t="s">
        <v>279</v>
      </c>
      <c r="J58" s="24" t="s">
        <v>279</v>
      </c>
      <c r="K58" s="24" t="s">
        <v>279</v>
      </c>
      <c r="L58" s="24" t="s">
        <v>279</v>
      </c>
      <c r="M58" s="8"/>
    </row>
    <row r="59" spans="1:13" s="27" customFormat="1" ht="12" customHeight="1" x14ac:dyDescent="0.15">
      <c r="A59" s="30" t="s">
        <v>391</v>
      </c>
      <c r="B59" s="2"/>
      <c r="C59" s="6"/>
      <c r="D59" s="6"/>
      <c r="E59" s="6">
        <v>1320</v>
      </c>
      <c r="F59" s="24" t="s">
        <v>279</v>
      </c>
      <c r="G59" s="24" t="s">
        <v>279</v>
      </c>
      <c r="H59" s="24" t="s">
        <v>279</v>
      </c>
      <c r="I59" s="24" t="s">
        <v>279</v>
      </c>
      <c r="J59" s="24" t="s">
        <v>279</v>
      </c>
      <c r="K59" s="24" t="s">
        <v>279</v>
      </c>
      <c r="L59" s="24" t="s">
        <v>279</v>
      </c>
      <c r="M59" s="31"/>
    </row>
    <row r="60" spans="1:13" s="3" customFormat="1" ht="12" customHeight="1" x14ac:dyDescent="0.15">
      <c r="A60" s="1" t="s">
        <v>498</v>
      </c>
      <c r="B60" s="2" t="s">
        <v>300</v>
      </c>
      <c r="C60" s="6">
        <v>9</v>
      </c>
      <c r="D60" s="2" t="s">
        <v>546</v>
      </c>
      <c r="E60" s="6">
        <v>1321</v>
      </c>
      <c r="F60" s="18"/>
      <c r="G60" s="24" t="s">
        <v>279</v>
      </c>
      <c r="H60" s="18"/>
      <c r="I60" s="24" t="s">
        <v>279</v>
      </c>
      <c r="J60" s="24" t="s">
        <v>279</v>
      </c>
      <c r="K60" s="24" t="s">
        <v>279</v>
      </c>
      <c r="L60" s="24" t="s">
        <v>279</v>
      </c>
      <c r="M60" s="8"/>
    </row>
    <row r="61" spans="1:13" s="3" customFormat="1" ht="12" customHeight="1" x14ac:dyDescent="0.15">
      <c r="A61" s="1" t="s">
        <v>500</v>
      </c>
      <c r="B61" s="2" t="s">
        <v>300</v>
      </c>
      <c r="C61" s="6">
        <v>10</v>
      </c>
      <c r="D61" s="2" t="s">
        <v>546</v>
      </c>
      <c r="E61" s="6">
        <v>1322</v>
      </c>
      <c r="F61" s="18">
        <v>27898</v>
      </c>
      <c r="G61" s="24" t="s">
        <v>279</v>
      </c>
      <c r="H61" s="18"/>
      <c r="I61" s="24" t="s">
        <v>279</v>
      </c>
      <c r="J61" s="24" t="s">
        <v>279</v>
      </c>
      <c r="K61" s="24" t="s">
        <v>279</v>
      </c>
      <c r="L61" s="24" t="s">
        <v>279</v>
      </c>
      <c r="M61" s="8"/>
    </row>
    <row r="62" spans="1:13" s="3" customFormat="1" ht="12" customHeight="1" x14ac:dyDescent="0.15">
      <c r="A62" s="1" t="s">
        <v>501</v>
      </c>
      <c r="B62" s="2" t="s">
        <v>300</v>
      </c>
      <c r="C62" s="6">
        <v>11</v>
      </c>
      <c r="D62" s="2" t="s">
        <v>546</v>
      </c>
      <c r="E62" s="6">
        <v>1323</v>
      </c>
      <c r="F62" s="18"/>
      <c r="G62" s="24" t="s">
        <v>279</v>
      </c>
      <c r="H62" s="18"/>
      <c r="I62" s="24" t="s">
        <v>279</v>
      </c>
      <c r="J62" s="24" t="s">
        <v>279</v>
      </c>
      <c r="K62" s="24" t="s">
        <v>279</v>
      </c>
      <c r="L62" s="24" t="s">
        <v>279</v>
      </c>
      <c r="M62" s="8"/>
    </row>
    <row r="63" spans="1:13" s="3" customFormat="1" ht="12" customHeight="1" x14ac:dyDescent="0.15">
      <c r="A63" s="30" t="s">
        <v>392</v>
      </c>
      <c r="B63" s="1" t="s">
        <v>292</v>
      </c>
      <c r="E63" s="6">
        <v>1330</v>
      </c>
      <c r="F63" s="24" t="s">
        <v>279</v>
      </c>
      <c r="G63" s="24" t="s">
        <v>279</v>
      </c>
      <c r="H63" s="24" t="s">
        <v>279</v>
      </c>
      <c r="I63" s="24" t="s">
        <v>279</v>
      </c>
      <c r="J63" s="24" t="s">
        <v>279</v>
      </c>
      <c r="K63" s="24" t="s">
        <v>279</v>
      </c>
      <c r="L63" s="24" t="s">
        <v>279</v>
      </c>
      <c r="M63" s="8"/>
    </row>
    <row r="64" spans="1:13" s="3" customFormat="1" ht="12" customHeight="1" x14ac:dyDescent="0.15">
      <c r="A64" s="1" t="s">
        <v>498</v>
      </c>
      <c r="B64" s="2" t="s">
        <v>300</v>
      </c>
      <c r="C64" s="6">
        <v>12</v>
      </c>
      <c r="D64" s="2" t="s">
        <v>546</v>
      </c>
      <c r="E64" s="6">
        <v>1331</v>
      </c>
      <c r="F64" s="18"/>
      <c r="G64" s="24" t="s">
        <v>279</v>
      </c>
      <c r="H64" s="18"/>
      <c r="I64" s="24" t="s">
        <v>279</v>
      </c>
      <c r="J64" s="24" t="s">
        <v>279</v>
      </c>
      <c r="K64" s="24" t="s">
        <v>279</v>
      </c>
      <c r="L64" s="24" t="s">
        <v>279</v>
      </c>
      <c r="M64" s="8"/>
    </row>
    <row r="65" spans="1:13" s="3" customFormat="1" ht="12" customHeight="1" x14ac:dyDescent="0.15">
      <c r="A65" s="1" t="s">
        <v>500</v>
      </c>
      <c r="B65" s="2" t="s">
        <v>300</v>
      </c>
      <c r="C65" s="6">
        <v>13</v>
      </c>
      <c r="D65" s="2" t="s">
        <v>546</v>
      </c>
      <c r="E65" s="6">
        <v>1332</v>
      </c>
      <c r="F65" s="18"/>
      <c r="G65" s="24" t="s">
        <v>279</v>
      </c>
      <c r="H65" s="18"/>
      <c r="I65" s="24" t="s">
        <v>279</v>
      </c>
      <c r="J65" s="24" t="s">
        <v>279</v>
      </c>
      <c r="K65" s="24" t="s">
        <v>279</v>
      </c>
      <c r="L65" s="24" t="s">
        <v>279</v>
      </c>
      <c r="M65" s="8"/>
    </row>
    <row r="66" spans="1:13" s="3" customFormat="1" ht="12" customHeight="1" x14ac:dyDescent="0.15">
      <c r="A66" s="1" t="s">
        <v>501</v>
      </c>
      <c r="B66" s="2" t="s">
        <v>300</v>
      </c>
      <c r="C66" s="6">
        <v>14</v>
      </c>
      <c r="D66" s="2" t="s">
        <v>546</v>
      </c>
      <c r="E66" s="6">
        <v>1333</v>
      </c>
      <c r="F66" s="18"/>
      <c r="G66" s="24" t="s">
        <v>279</v>
      </c>
      <c r="H66" s="18"/>
      <c r="I66" s="24" t="s">
        <v>279</v>
      </c>
      <c r="J66" s="24" t="s">
        <v>279</v>
      </c>
      <c r="K66" s="24" t="s">
        <v>279</v>
      </c>
      <c r="L66" s="24" t="s">
        <v>279</v>
      </c>
      <c r="M66" s="8"/>
    </row>
    <row r="67" spans="1:13" s="3" customFormat="1" ht="12" customHeight="1" x14ac:dyDescent="0.15">
      <c r="A67" s="30" t="s">
        <v>304</v>
      </c>
      <c r="E67" s="6">
        <v>1340</v>
      </c>
      <c r="F67" s="24" t="s">
        <v>279</v>
      </c>
      <c r="G67" s="24" t="s">
        <v>279</v>
      </c>
      <c r="H67" s="24" t="s">
        <v>279</v>
      </c>
      <c r="I67" s="24" t="s">
        <v>279</v>
      </c>
      <c r="J67" s="24" t="s">
        <v>279</v>
      </c>
      <c r="K67" s="24" t="s">
        <v>279</v>
      </c>
      <c r="L67" s="24" t="s">
        <v>279</v>
      </c>
      <c r="M67" s="8"/>
    </row>
    <row r="68" spans="1:13" s="3" customFormat="1" ht="12" customHeight="1" x14ac:dyDescent="0.15">
      <c r="A68" s="1" t="s">
        <v>498</v>
      </c>
      <c r="B68" s="2" t="s">
        <v>300</v>
      </c>
      <c r="C68" s="6">
        <v>15</v>
      </c>
      <c r="D68" s="2" t="s">
        <v>546</v>
      </c>
      <c r="E68" s="6">
        <v>1341</v>
      </c>
      <c r="F68" s="18"/>
      <c r="G68" s="24" t="s">
        <v>279</v>
      </c>
      <c r="H68" s="18"/>
      <c r="I68" s="24" t="s">
        <v>279</v>
      </c>
      <c r="J68" s="24" t="s">
        <v>279</v>
      </c>
      <c r="K68" s="24" t="s">
        <v>279</v>
      </c>
      <c r="L68" s="24" t="s">
        <v>279</v>
      </c>
      <c r="M68" s="8"/>
    </row>
    <row r="69" spans="1:13" s="3" customFormat="1" ht="12" customHeight="1" x14ac:dyDescent="0.15">
      <c r="A69" s="1" t="s">
        <v>500</v>
      </c>
      <c r="B69" s="2" t="s">
        <v>300</v>
      </c>
      <c r="C69" s="6">
        <v>16</v>
      </c>
      <c r="D69" s="2" t="s">
        <v>546</v>
      </c>
      <c r="E69" s="6">
        <v>1342</v>
      </c>
      <c r="F69" s="18"/>
      <c r="G69" s="24" t="s">
        <v>279</v>
      </c>
      <c r="H69" s="18"/>
      <c r="I69" s="24" t="s">
        <v>279</v>
      </c>
      <c r="J69" s="24" t="s">
        <v>279</v>
      </c>
      <c r="K69" s="24" t="s">
        <v>279</v>
      </c>
      <c r="L69" s="24" t="s">
        <v>279</v>
      </c>
      <c r="M69" s="8"/>
    </row>
    <row r="70" spans="1:13" s="3" customFormat="1" ht="12" customHeight="1" thickBot="1" x14ac:dyDescent="0.2">
      <c r="A70" s="1" t="s">
        <v>495</v>
      </c>
      <c r="B70" s="2" t="s">
        <v>300</v>
      </c>
      <c r="C70" s="6">
        <v>17</v>
      </c>
      <c r="D70" s="2" t="s">
        <v>546</v>
      </c>
      <c r="E70" s="6">
        <v>1349</v>
      </c>
      <c r="F70" s="18"/>
      <c r="G70" s="24" t="s">
        <v>279</v>
      </c>
      <c r="H70" s="18"/>
      <c r="I70" s="24" t="s">
        <v>279</v>
      </c>
      <c r="J70" s="24" t="s">
        <v>279</v>
      </c>
      <c r="K70" s="24" t="s">
        <v>279</v>
      </c>
      <c r="L70" s="24" t="s">
        <v>279</v>
      </c>
      <c r="M70" s="8"/>
    </row>
    <row r="71" spans="1:13" s="3" customFormat="1" ht="12" customHeight="1" thickTop="1" x14ac:dyDescent="0.15">
      <c r="A71" s="38" t="s">
        <v>390</v>
      </c>
      <c r="B71" s="39" t="s">
        <v>300</v>
      </c>
      <c r="C71" s="39" t="s">
        <v>305</v>
      </c>
      <c r="D71" s="39" t="s">
        <v>546</v>
      </c>
      <c r="E71" s="40">
        <v>1300</v>
      </c>
      <c r="F71" s="41">
        <f>SUM(F55:F70)</f>
        <v>66464</v>
      </c>
      <c r="G71" s="45" t="s">
        <v>279</v>
      </c>
      <c r="H71" s="41">
        <f>SUM(H55:H70)</f>
        <v>0</v>
      </c>
      <c r="I71" s="45" t="s">
        <v>279</v>
      </c>
      <c r="J71" s="45" t="s">
        <v>279</v>
      </c>
      <c r="K71" s="45" t="s">
        <v>279</v>
      </c>
      <c r="L71" s="45" t="s">
        <v>279</v>
      </c>
      <c r="M71" s="8"/>
    </row>
    <row r="72" spans="1:13" ht="12" customHeight="1" x14ac:dyDescent="0.2">
      <c r="C72" s="32"/>
      <c r="D72" s="32"/>
      <c r="E72" s="32"/>
      <c r="F72" s="23" t="s">
        <v>264</v>
      </c>
      <c r="G72" s="23" t="s">
        <v>265</v>
      </c>
      <c r="H72" s="23" t="s">
        <v>266</v>
      </c>
      <c r="I72" s="23" t="s">
        <v>267</v>
      </c>
      <c r="J72" s="23" t="s">
        <v>268</v>
      </c>
    </row>
    <row r="73" spans="1:13" s="3" customFormat="1" ht="12" customHeight="1" x14ac:dyDescent="0.2">
      <c r="A73" s="170" t="s">
        <v>503</v>
      </c>
      <c r="C73" s="23"/>
      <c r="D73" s="23"/>
      <c r="E73" s="23"/>
      <c r="F73" s="23"/>
      <c r="G73" s="23"/>
      <c r="H73" s="23" t="s">
        <v>273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393</v>
      </c>
      <c r="C74" s="23"/>
      <c r="D74" s="23"/>
      <c r="E74" s="6">
        <v>1410</v>
      </c>
      <c r="F74" s="16" t="s">
        <v>271</v>
      </c>
      <c r="G74" s="16" t="s">
        <v>272</v>
      </c>
      <c r="H74" s="16" t="s">
        <v>775</v>
      </c>
      <c r="I74" s="16" t="s">
        <v>274</v>
      </c>
      <c r="J74" s="16" t="s">
        <v>275</v>
      </c>
      <c r="K74" s="20"/>
      <c r="L74" s="20"/>
      <c r="M74" s="8"/>
    </row>
    <row r="75" spans="1:13" s="3" customFormat="1" ht="12" customHeight="1" x14ac:dyDescent="0.15">
      <c r="A75" s="1" t="s">
        <v>498</v>
      </c>
      <c r="B75" s="2" t="s">
        <v>306</v>
      </c>
      <c r="C75" s="6">
        <v>1</v>
      </c>
      <c r="D75" s="2" t="s">
        <v>546</v>
      </c>
      <c r="E75" s="6">
        <v>1411</v>
      </c>
      <c r="F75" s="18"/>
      <c r="G75" s="24" t="s">
        <v>279</v>
      </c>
      <c r="H75" s="18"/>
      <c r="I75" s="24" t="s">
        <v>279</v>
      </c>
      <c r="J75" s="24" t="s">
        <v>279</v>
      </c>
      <c r="K75" s="24" t="s">
        <v>279</v>
      </c>
      <c r="L75" s="24" t="s">
        <v>279</v>
      </c>
      <c r="M75" s="8"/>
    </row>
    <row r="76" spans="1:13" s="3" customFormat="1" ht="12" customHeight="1" x14ac:dyDescent="0.15">
      <c r="A76" s="1" t="s">
        <v>499</v>
      </c>
      <c r="B76" s="2" t="s">
        <v>306</v>
      </c>
      <c r="C76" s="6">
        <v>2</v>
      </c>
      <c r="D76" s="2" t="s">
        <v>546</v>
      </c>
      <c r="E76" s="6">
        <v>1414</v>
      </c>
      <c r="F76" s="18"/>
      <c r="G76" s="24" t="s">
        <v>279</v>
      </c>
      <c r="H76" s="18"/>
      <c r="I76" s="24" t="s">
        <v>279</v>
      </c>
      <c r="J76" s="24" t="s">
        <v>279</v>
      </c>
      <c r="K76" s="24" t="s">
        <v>279</v>
      </c>
      <c r="L76" s="24" t="s">
        <v>279</v>
      </c>
      <c r="M76" s="8"/>
    </row>
    <row r="77" spans="1:13" s="3" customFormat="1" ht="12" customHeight="1" x14ac:dyDescent="0.15">
      <c r="A77" s="30" t="s">
        <v>303</v>
      </c>
      <c r="C77" s="23"/>
      <c r="D77" s="23"/>
      <c r="E77" s="6">
        <v>1420</v>
      </c>
      <c r="F77" s="24" t="s">
        <v>279</v>
      </c>
      <c r="G77" s="24" t="s">
        <v>279</v>
      </c>
      <c r="H77" s="24" t="s">
        <v>279</v>
      </c>
      <c r="I77" s="24" t="s">
        <v>279</v>
      </c>
      <c r="J77" s="24" t="s">
        <v>279</v>
      </c>
      <c r="K77" s="24" t="s">
        <v>279</v>
      </c>
      <c r="L77" s="24" t="s">
        <v>279</v>
      </c>
      <c r="M77" s="8"/>
    </row>
    <row r="78" spans="1:13" s="3" customFormat="1" ht="12" customHeight="1" x14ac:dyDescent="0.15">
      <c r="A78" s="1" t="s">
        <v>498</v>
      </c>
      <c r="B78" s="1" t="s">
        <v>306</v>
      </c>
      <c r="C78" s="6">
        <v>3</v>
      </c>
      <c r="D78" s="2" t="s">
        <v>546</v>
      </c>
      <c r="E78" s="6">
        <v>1421</v>
      </c>
      <c r="F78" s="18"/>
      <c r="G78" s="24" t="s">
        <v>279</v>
      </c>
      <c r="H78" s="18"/>
      <c r="I78" s="24" t="s">
        <v>279</v>
      </c>
      <c r="J78" s="24" t="s">
        <v>279</v>
      </c>
      <c r="K78" s="24" t="s">
        <v>279</v>
      </c>
      <c r="L78" s="24" t="s">
        <v>279</v>
      </c>
      <c r="M78" s="8"/>
    </row>
    <row r="79" spans="1:13" s="3" customFormat="1" ht="12" customHeight="1" x14ac:dyDescent="0.15">
      <c r="A79" s="1" t="s">
        <v>500</v>
      </c>
      <c r="B79" s="2" t="s">
        <v>306</v>
      </c>
      <c r="C79" s="6">
        <v>4</v>
      </c>
      <c r="D79" s="2" t="s">
        <v>546</v>
      </c>
      <c r="E79" s="6">
        <v>1422</v>
      </c>
      <c r="F79" s="18"/>
      <c r="G79" s="24" t="s">
        <v>279</v>
      </c>
      <c r="H79" s="18"/>
      <c r="I79" s="24" t="s">
        <v>279</v>
      </c>
      <c r="J79" s="24" t="s">
        <v>279</v>
      </c>
      <c r="K79" s="24" t="s">
        <v>279</v>
      </c>
      <c r="L79" s="24" t="s">
        <v>279</v>
      </c>
      <c r="M79" s="8"/>
    </row>
    <row r="80" spans="1:13" s="3" customFormat="1" ht="12" customHeight="1" x14ac:dyDescent="0.15">
      <c r="A80" s="1" t="s">
        <v>501</v>
      </c>
      <c r="B80" s="2" t="s">
        <v>306</v>
      </c>
      <c r="C80" s="6">
        <v>5</v>
      </c>
      <c r="D80" s="2" t="s">
        <v>546</v>
      </c>
      <c r="E80" s="6">
        <v>1423</v>
      </c>
      <c r="F80" s="18"/>
      <c r="G80" s="24" t="s">
        <v>279</v>
      </c>
      <c r="H80" s="18"/>
      <c r="I80" s="24" t="s">
        <v>279</v>
      </c>
      <c r="J80" s="24" t="s">
        <v>279</v>
      </c>
      <c r="K80" s="24" t="s">
        <v>279</v>
      </c>
      <c r="L80" s="24" t="s">
        <v>279</v>
      </c>
      <c r="M80" s="8"/>
    </row>
    <row r="81" spans="1:13" s="3" customFormat="1" ht="12" customHeight="1" x14ac:dyDescent="0.15">
      <c r="A81" s="30" t="s">
        <v>307</v>
      </c>
      <c r="C81" s="23"/>
      <c r="D81" s="23"/>
      <c r="E81" s="6">
        <v>1430</v>
      </c>
      <c r="F81" s="24" t="s">
        <v>279</v>
      </c>
      <c r="G81" s="24" t="s">
        <v>279</v>
      </c>
      <c r="H81" s="24" t="s">
        <v>279</v>
      </c>
      <c r="I81" s="24" t="s">
        <v>279</v>
      </c>
      <c r="J81" s="24" t="s">
        <v>279</v>
      </c>
      <c r="K81" s="24" t="s">
        <v>279</v>
      </c>
      <c r="L81" s="24" t="s">
        <v>279</v>
      </c>
      <c r="M81" s="8"/>
    </row>
    <row r="82" spans="1:13" s="3" customFormat="1" ht="12" customHeight="1" x14ac:dyDescent="0.15">
      <c r="A82" s="1" t="s">
        <v>498</v>
      </c>
      <c r="B82" s="2" t="s">
        <v>306</v>
      </c>
      <c r="C82" s="6">
        <v>6</v>
      </c>
      <c r="D82" s="2" t="s">
        <v>546</v>
      </c>
      <c r="E82" s="6">
        <v>1431</v>
      </c>
      <c r="F82" s="18"/>
      <c r="G82" s="24" t="s">
        <v>279</v>
      </c>
      <c r="H82" s="18"/>
      <c r="I82" s="24" t="s">
        <v>279</v>
      </c>
      <c r="J82" s="24" t="s">
        <v>279</v>
      </c>
      <c r="K82" s="24" t="s">
        <v>279</v>
      </c>
      <c r="L82" s="24" t="s">
        <v>279</v>
      </c>
      <c r="M82" s="8"/>
    </row>
    <row r="83" spans="1:13" s="3" customFormat="1" ht="12" customHeight="1" x14ac:dyDescent="0.15">
      <c r="A83" s="1" t="s">
        <v>500</v>
      </c>
      <c r="B83" s="2" t="s">
        <v>306</v>
      </c>
      <c r="C83" s="6">
        <v>7</v>
      </c>
      <c r="D83" s="2" t="s">
        <v>546</v>
      </c>
      <c r="E83" s="6">
        <v>1432</v>
      </c>
      <c r="F83" s="18"/>
      <c r="G83" s="24" t="s">
        <v>279</v>
      </c>
      <c r="H83" s="18"/>
      <c r="I83" s="24" t="s">
        <v>279</v>
      </c>
      <c r="J83" s="24" t="s">
        <v>279</v>
      </c>
      <c r="K83" s="24" t="s">
        <v>279</v>
      </c>
      <c r="L83" s="24" t="s">
        <v>279</v>
      </c>
      <c r="M83" s="8"/>
    </row>
    <row r="84" spans="1:13" s="3" customFormat="1" ht="12" customHeight="1" x14ac:dyDescent="0.15">
      <c r="A84" s="1" t="s">
        <v>501</v>
      </c>
      <c r="B84" s="2" t="s">
        <v>306</v>
      </c>
      <c r="C84" s="6">
        <v>8</v>
      </c>
      <c r="D84" s="2" t="s">
        <v>546</v>
      </c>
      <c r="E84" s="6">
        <v>1433</v>
      </c>
      <c r="F84" s="18"/>
      <c r="G84" s="24" t="s">
        <v>279</v>
      </c>
      <c r="H84" s="18"/>
      <c r="I84" s="24" t="s">
        <v>279</v>
      </c>
      <c r="J84" s="24" t="s">
        <v>279</v>
      </c>
      <c r="K84" s="24" t="s">
        <v>279</v>
      </c>
      <c r="L84" s="24" t="s">
        <v>279</v>
      </c>
      <c r="M84" s="8"/>
    </row>
    <row r="85" spans="1:13" s="3" customFormat="1" ht="12" customHeight="1" thickBot="1" x14ac:dyDescent="0.2">
      <c r="A85" s="1" t="s">
        <v>504</v>
      </c>
      <c r="B85" s="2" t="s">
        <v>306</v>
      </c>
      <c r="C85" s="6">
        <v>9</v>
      </c>
      <c r="D85" s="2" t="s">
        <v>546</v>
      </c>
      <c r="E85" s="6">
        <v>1440</v>
      </c>
      <c r="F85" s="18"/>
      <c r="G85" s="24" t="s">
        <v>279</v>
      </c>
      <c r="H85" s="18"/>
      <c r="I85" s="24" t="s">
        <v>279</v>
      </c>
      <c r="J85" s="24" t="s">
        <v>279</v>
      </c>
      <c r="K85" s="24" t="s">
        <v>279</v>
      </c>
      <c r="L85" s="24" t="s">
        <v>279</v>
      </c>
      <c r="M85" s="8"/>
    </row>
    <row r="86" spans="1:13" s="3" customFormat="1" ht="12" customHeight="1" thickTop="1" x14ac:dyDescent="0.15">
      <c r="A86" s="38" t="s">
        <v>527</v>
      </c>
      <c r="B86" s="39" t="s">
        <v>306</v>
      </c>
      <c r="C86" s="40">
        <v>10</v>
      </c>
      <c r="D86" s="39" t="s">
        <v>546</v>
      </c>
      <c r="E86" s="40">
        <v>1400</v>
      </c>
      <c r="F86" s="41">
        <f>SUM(F75:F85)</f>
        <v>0</v>
      </c>
      <c r="G86" s="45" t="s">
        <v>279</v>
      </c>
      <c r="H86" s="41">
        <f>SUM(H75:H85)</f>
        <v>0</v>
      </c>
      <c r="I86" s="45" t="s">
        <v>279</v>
      </c>
      <c r="J86" s="45" t="s">
        <v>279</v>
      </c>
      <c r="K86" s="45" t="s">
        <v>279</v>
      </c>
      <c r="L86" s="45" t="s">
        <v>279</v>
      </c>
      <c r="M86" s="8"/>
    </row>
    <row r="87" spans="1:13" s="3" customFormat="1" ht="12" customHeight="1" x14ac:dyDescent="0.15">
      <c r="A87" s="30" t="s">
        <v>308</v>
      </c>
      <c r="B87" s="2" t="s">
        <v>277</v>
      </c>
      <c r="C87" s="6" t="s">
        <v>277</v>
      </c>
      <c r="D87" s="6"/>
      <c r="E87" s="6"/>
      <c r="F87" s="24" t="s">
        <v>279</v>
      </c>
      <c r="G87" s="24" t="s">
        <v>279</v>
      </c>
      <c r="H87" s="24" t="s">
        <v>279</v>
      </c>
      <c r="I87" s="24" t="s">
        <v>279</v>
      </c>
      <c r="J87" s="24" t="s">
        <v>279</v>
      </c>
      <c r="K87" s="24" t="s">
        <v>279</v>
      </c>
      <c r="L87" s="24" t="s">
        <v>279</v>
      </c>
      <c r="M87" s="8"/>
    </row>
    <row r="88" spans="1:13" s="3" customFormat="1" ht="12" customHeight="1" x14ac:dyDescent="0.15">
      <c r="A88" s="1" t="s">
        <v>585</v>
      </c>
      <c r="B88" s="2" t="s">
        <v>306</v>
      </c>
      <c r="C88" s="6">
        <v>11</v>
      </c>
      <c r="D88" s="2" t="s">
        <v>546</v>
      </c>
      <c r="E88" s="6">
        <v>1500</v>
      </c>
      <c r="F88" s="18">
        <v>4613</v>
      </c>
      <c r="G88" s="18"/>
      <c r="H88" s="18"/>
      <c r="I88" s="18">
        <v>0</v>
      </c>
      <c r="J88" s="18">
        <v>1218</v>
      </c>
      <c r="K88" s="24" t="s">
        <v>279</v>
      </c>
      <c r="L88" s="24" t="s">
        <v>279</v>
      </c>
      <c r="M88" s="8"/>
    </row>
    <row r="89" spans="1:13" s="3" customFormat="1" ht="12" customHeight="1" x14ac:dyDescent="0.15">
      <c r="A89" s="1" t="s">
        <v>485</v>
      </c>
      <c r="B89" s="2" t="s">
        <v>306</v>
      </c>
      <c r="C89" s="6">
        <v>12</v>
      </c>
      <c r="D89" s="2" t="s">
        <v>546</v>
      </c>
      <c r="E89" s="6">
        <v>1600</v>
      </c>
      <c r="F89" s="24" t="s">
        <v>279</v>
      </c>
      <c r="G89" s="18">
        <f>241244+1</f>
        <v>241245</v>
      </c>
      <c r="H89" s="24" t="s">
        <v>279</v>
      </c>
      <c r="I89" s="24" t="s">
        <v>279</v>
      </c>
      <c r="J89" s="24" t="s">
        <v>279</v>
      </c>
      <c r="K89" s="24" t="s">
        <v>279</v>
      </c>
      <c r="L89" s="24" t="s">
        <v>279</v>
      </c>
      <c r="M89" s="8"/>
    </row>
    <row r="90" spans="1:13" s="3" customFormat="1" ht="12" customHeight="1" x14ac:dyDescent="0.15">
      <c r="A90" s="1" t="s">
        <v>486</v>
      </c>
      <c r="B90" s="2" t="s">
        <v>306</v>
      </c>
      <c r="C90" s="6">
        <v>13</v>
      </c>
      <c r="D90" s="2" t="s">
        <v>546</v>
      </c>
      <c r="E90" s="6">
        <v>1700</v>
      </c>
      <c r="F90" s="18">
        <v>20097</v>
      </c>
      <c r="G90" s="24" t="s">
        <v>279</v>
      </c>
      <c r="H90" s="18">
        <v>4775</v>
      </c>
      <c r="I90" s="24" t="s">
        <v>279</v>
      </c>
      <c r="J90" s="24" t="s">
        <v>279</v>
      </c>
      <c r="K90" s="24" t="s">
        <v>279</v>
      </c>
      <c r="L90" s="24" t="s">
        <v>279</v>
      </c>
      <c r="M90" s="8"/>
    </row>
    <row r="91" spans="1:13" s="3" customFormat="1" ht="12" customHeight="1" x14ac:dyDescent="0.15">
      <c r="A91" s="1" t="s">
        <v>580</v>
      </c>
      <c r="B91" s="2" t="s">
        <v>306</v>
      </c>
      <c r="C91" s="6">
        <v>14</v>
      </c>
      <c r="D91" s="2" t="s">
        <v>546</v>
      </c>
      <c r="E91" s="6">
        <v>1800</v>
      </c>
      <c r="F91" s="18">
        <v>0</v>
      </c>
      <c r="G91" s="18"/>
      <c r="H91" s="18"/>
      <c r="I91" s="24" t="s">
        <v>279</v>
      </c>
      <c r="J91" s="24" t="s">
        <v>279</v>
      </c>
      <c r="K91" s="24" t="s">
        <v>279</v>
      </c>
      <c r="L91" s="24" t="s">
        <v>279</v>
      </c>
      <c r="M91" s="8"/>
    </row>
    <row r="92" spans="1:13" s="3" customFormat="1" ht="12" customHeight="1" x14ac:dyDescent="0.15">
      <c r="A92" s="30" t="s">
        <v>449</v>
      </c>
      <c r="B92" s="2"/>
      <c r="C92" s="6"/>
      <c r="D92" s="6"/>
      <c r="E92" s="6"/>
      <c r="F92" s="24" t="s">
        <v>279</v>
      </c>
      <c r="G92" s="24" t="s">
        <v>279</v>
      </c>
      <c r="H92" s="24" t="s">
        <v>279</v>
      </c>
      <c r="I92" s="24" t="s">
        <v>279</v>
      </c>
      <c r="J92" s="24" t="s">
        <v>279</v>
      </c>
      <c r="K92" s="24" t="s">
        <v>279</v>
      </c>
      <c r="L92" s="24" t="s">
        <v>279</v>
      </c>
      <c r="M92" s="8"/>
    </row>
    <row r="93" spans="1:13" s="3" customFormat="1" ht="12" customHeight="1" x14ac:dyDescent="0.15">
      <c r="A93" s="1" t="s">
        <v>487</v>
      </c>
      <c r="B93" s="2" t="s">
        <v>306</v>
      </c>
      <c r="C93" s="6">
        <v>15</v>
      </c>
      <c r="D93" s="2" t="s">
        <v>546</v>
      </c>
      <c r="E93" s="6">
        <v>1910</v>
      </c>
      <c r="F93" s="18">
        <v>1917</v>
      </c>
      <c r="G93" s="18"/>
      <c r="H93" s="18"/>
      <c r="I93" s="18"/>
      <c r="J93" s="24" t="s">
        <v>279</v>
      </c>
      <c r="K93" s="24" t="s">
        <v>279</v>
      </c>
      <c r="L93" s="24" t="s">
        <v>279</v>
      </c>
      <c r="M93" s="8"/>
    </row>
    <row r="94" spans="1:13" s="3" customFormat="1" ht="12" customHeight="1" x14ac:dyDescent="0.15">
      <c r="A94" s="1" t="s">
        <v>488</v>
      </c>
      <c r="B94" s="2" t="s">
        <v>306</v>
      </c>
      <c r="C94" s="6">
        <v>16</v>
      </c>
      <c r="D94" s="2" t="s">
        <v>546</v>
      </c>
      <c r="E94" s="6">
        <v>1920</v>
      </c>
      <c r="F94" s="18">
        <v>0</v>
      </c>
      <c r="G94" s="18"/>
      <c r="H94" s="18">
        <f>3829+1500+245+104+384+797+29894-2</f>
        <v>36751</v>
      </c>
      <c r="I94" s="18"/>
      <c r="J94" s="18"/>
      <c r="K94" s="24" t="s">
        <v>279</v>
      </c>
      <c r="L94" s="24" t="s">
        <v>279</v>
      </c>
      <c r="M94" s="8"/>
    </row>
    <row r="95" spans="1:13" s="3" customFormat="1" ht="12" customHeight="1" x14ac:dyDescent="0.15">
      <c r="A95" s="1" t="s">
        <v>489</v>
      </c>
      <c r="B95" s="2" t="s">
        <v>306</v>
      </c>
      <c r="C95" s="6">
        <v>17</v>
      </c>
      <c r="D95" s="2" t="s">
        <v>546</v>
      </c>
      <c r="E95" s="6">
        <v>1930</v>
      </c>
      <c r="F95" s="18"/>
      <c r="G95" s="18"/>
      <c r="H95" s="18"/>
      <c r="I95" s="24" t="s">
        <v>279</v>
      </c>
      <c r="J95" s="24" t="s">
        <v>279</v>
      </c>
      <c r="K95" s="24" t="s">
        <v>279</v>
      </c>
      <c r="L95" s="24" t="s">
        <v>279</v>
      </c>
      <c r="M95" s="8"/>
    </row>
    <row r="96" spans="1:13" s="3" customFormat="1" ht="12" customHeight="1" x14ac:dyDescent="0.15">
      <c r="A96" s="1" t="s">
        <v>581</v>
      </c>
      <c r="B96" s="2" t="s">
        <v>306</v>
      </c>
      <c r="C96" s="6">
        <v>18</v>
      </c>
      <c r="D96" s="2" t="s">
        <v>546</v>
      </c>
      <c r="E96" s="6">
        <v>1940</v>
      </c>
      <c r="F96" s="18"/>
      <c r="G96" s="24" t="s">
        <v>279</v>
      </c>
      <c r="H96" s="18"/>
      <c r="I96" s="24" t="s">
        <v>279</v>
      </c>
      <c r="J96" s="24" t="s">
        <v>279</v>
      </c>
      <c r="K96" s="24" t="s">
        <v>279</v>
      </c>
      <c r="L96" s="24" t="s">
        <v>279</v>
      </c>
      <c r="M96" s="8"/>
    </row>
    <row r="97" spans="1:13" s="3" customFormat="1" ht="12" customHeight="1" x14ac:dyDescent="0.15">
      <c r="A97" s="1" t="s">
        <v>582</v>
      </c>
      <c r="B97" s="2" t="s">
        <v>306</v>
      </c>
      <c r="C97" s="6">
        <v>19</v>
      </c>
      <c r="D97" s="2" t="s">
        <v>546</v>
      </c>
      <c r="E97" s="6">
        <v>1951</v>
      </c>
      <c r="F97" s="18"/>
      <c r="G97" s="18"/>
      <c r="H97" s="18"/>
      <c r="I97" s="24" t="s">
        <v>279</v>
      </c>
      <c r="J97" s="24" t="s">
        <v>279</v>
      </c>
      <c r="K97" s="24" t="s">
        <v>279</v>
      </c>
      <c r="L97" s="24" t="s">
        <v>279</v>
      </c>
      <c r="M97" s="8"/>
    </row>
    <row r="98" spans="1:13" s="3" customFormat="1" ht="12" customHeight="1" x14ac:dyDescent="0.15">
      <c r="A98" s="1" t="s">
        <v>583</v>
      </c>
      <c r="B98" s="2" t="s">
        <v>306</v>
      </c>
      <c r="C98" s="6">
        <v>20</v>
      </c>
      <c r="D98" s="2" t="s">
        <v>546</v>
      </c>
      <c r="E98" s="6">
        <v>1952</v>
      </c>
      <c r="F98" s="18"/>
      <c r="G98" s="18"/>
      <c r="H98" s="18"/>
      <c r="I98" s="24" t="s">
        <v>279</v>
      </c>
      <c r="J98" s="24" t="s">
        <v>279</v>
      </c>
      <c r="K98" s="24" t="s">
        <v>279</v>
      </c>
      <c r="L98" s="24" t="s">
        <v>279</v>
      </c>
      <c r="M98" s="8"/>
    </row>
    <row r="99" spans="1:13" s="3" customFormat="1" ht="12" customHeight="1" x14ac:dyDescent="0.15">
      <c r="A99" s="1" t="s">
        <v>627</v>
      </c>
      <c r="B99" s="2" t="s">
        <v>306</v>
      </c>
      <c r="C99" s="6">
        <v>21</v>
      </c>
      <c r="D99" s="2" t="s">
        <v>546</v>
      </c>
      <c r="E99" s="6">
        <v>1953</v>
      </c>
      <c r="F99" s="18"/>
      <c r="G99" s="18"/>
      <c r="H99" s="18"/>
      <c r="I99" s="18"/>
      <c r="J99" s="24" t="s">
        <v>279</v>
      </c>
      <c r="K99" s="24" t="s">
        <v>279</v>
      </c>
      <c r="L99" s="24" t="s">
        <v>279</v>
      </c>
      <c r="M99" s="8"/>
    </row>
    <row r="100" spans="1:13" s="3" customFormat="1" ht="12" customHeight="1" x14ac:dyDescent="0.15">
      <c r="A100" s="1" t="s">
        <v>584</v>
      </c>
      <c r="B100" s="2" t="s">
        <v>306</v>
      </c>
      <c r="C100" s="6">
        <v>22</v>
      </c>
      <c r="D100" s="2" t="s">
        <v>546</v>
      </c>
      <c r="E100" s="6">
        <v>1960</v>
      </c>
      <c r="F100" s="18"/>
      <c r="G100" s="18"/>
      <c r="H100" s="18"/>
      <c r="I100" s="18"/>
      <c r="J100" s="24" t="s">
        <v>279</v>
      </c>
      <c r="K100" s="24" t="s">
        <v>279</v>
      </c>
      <c r="L100" s="24" t="s">
        <v>279</v>
      </c>
      <c r="M100" s="8"/>
    </row>
    <row r="101" spans="1:13" s="3" customFormat="1" ht="12" customHeight="1" x14ac:dyDescent="0.15">
      <c r="A101" s="1" t="s">
        <v>494</v>
      </c>
      <c r="B101" s="2" t="s">
        <v>306</v>
      </c>
      <c r="C101" s="6">
        <v>23</v>
      </c>
      <c r="D101" s="2" t="s">
        <v>546</v>
      </c>
      <c r="E101" s="6">
        <v>1980</v>
      </c>
      <c r="F101" s="18">
        <v>0</v>
      </c>
      <c r="G101" s="18"/>
      <c r="H101" s="18"/>
      <c r="I101" s="18"/>
      <c r="J101" s="24" t="s">
        <v>279</v>
      </c>
      <c r="K101" s="24" t="s">
        <v>279</v>
      </c>
      <c r="L101" s="24" t="s">
        <v>279</v>
      </c>
      <c r="M101" s="8"/>
    </row>
    <row r="102" spans="1:13" s="3" customFormat="1" ht="12" customHeight="1" thickBot="1" x14ac:dyDescent="0.2">
      <c r="A102" s="1" t="s">
        <v>495</v>
      </c>
      <c r="B102" s="2" t="s">
        <v>306</v>
      </c>
      <c r="C102" s="6">
        <v>24</v>
      </c>
      <c r="D102" s="2" t="s">
        <v>546</v>
      </c>
      <c r="E102" s="6">
        <v>1990</v>
      </c>
      <c r="F102" s="18">
        <v>57233</v>
      </c>
      <c r="G102" s="18">
        <v>10</v>
      </c>
      <c r="H102" s="18">
        <f>920+785+1331+1300+400</f>
        <v>4736</v>
      </c>
      <c r="I102" s="18"/>
      <c r="J102" s="18"/>
      <c r="K102" s="24" t="s">
        <v>279</v>
      </c>
      <c r="L102" s="24" t="s">
        <v>279</v>
      </c>
      <c r="M102" s="8"/>
    </row>
    <row r="103" spans="1:13" s="3" customFormat="1" ht="12" customHeight="1" thickTop="1" thickBot="1" x14ac:dyDescent="0.2">
      <c r="A103" s="38" t="s">
        <v>549</v>
      </c>
      <c r="B103" s="39" t="s">
        <v>306</v>
      </c>
      <c r="C103" s="40">
        <v>25</v>
      </c>
      <c r="D103" s="39" t="s">
        <v>546</v>
      </c>
      <c r="E103" s="40"/>
      <c r="F103" s="41">
        <f>SUM(F88:F102)</f>
        <v>83860</v>
      </c>
      <c r="G103" s="41">
        <f>SUM(G88:G102)</f>
        <v>241255</v>
      </c>
      <c r="H103" s="41">
        <f>SUM(H88:H102)</f>
        <v>46262</v>
      </c>
      <c r="I103" s="41">
        <f>SUM(I88:I102)</f>
        <v>0</v>
      </c>
      <c r="J103" s="41">
        <f>SUM(J88:J102)</f>
        <v>1218</v>
      </c>
      <c r="K103" s="45" t="s">
        <v>279</v>
      </c>
      <c r="L103" s="45" t="s">
        <v>279</v>
      </c>
      <c r="M103" s="8"/>
    </row>
    <row r="104" spans="1:13" s="3" customFormat="1" ht="12" customHeight="1" thickTop="1" x14ac:dyDescent="0.15">
      <c r="A104" s="38" t="s">
        <v>528</v>
      </c>
      <c r="B104" s="39" t="s">
        <v>306</v>
      </c>
      <c r="C104" s="40">
        <v>26</v>
      </c>
      <c r="D104" s="39" t="s">
        <v>546</v>
      </c>
      <c r="E104" s="40">
        <v>1000</v>
      </c>
      <c r="F104" s="41">
        <f>F52+F71+F86+F103</f>
        <v>10455616</v>
      </c>
      <c r="G104" s="41">
        <f>G52+G103</f>
        <v>241255</v>
      </c>
      <c r="H104" s="41">
        <f>H52+H71+H86+H103</f>
        <v>46262</v>
      </c>
      <c r="I104" s="41">
        <f>I52+I103</f>
        <v>0</v>
      </c>
      <c r="J104" s="41">
        <f>J52+J103</f>
        <v>1218</v>
      </c>
      <c r="K104" s="45" t="s">
        <v>279</v>
      </c>
      <c r="L104" s="45" t="s">
        <v>279</v>
      </c>
      <c r="M104" s="8"/>
    </row>
    <row r="105" spans="1:13" ht="12" customHeight="1" x14ac:dyDescent="0.2">
      <c r="F105" s="23" t="s">
        <v>264</v>
      </c>
      <c r="G105" s="23" t="s">
        <v>265</v>
      </c>
      <c r="H105" s="23" t="s">
        <v>266</v>
      </c>
      <c r="I105" s="23" t="s">
        <v>267</v>
      </c>
      <c r="J105" s="23" t="s">
        <v>268</v>
      </c>
    </row>
    <row r="106" spans="1:13" s="3" customFormat="1" ht="12" customHeight="1" x14ac:dyDescent="0.2">
      <c r="A106" s="29" t="s">
        <v>450</v>
      </c>
      <c r="H106" s="23" t="s">
        <v>273</v>
      </c>
      <c r="K106" s="20"/>
      <c r="L106" s="20"/>
      <c r="M106" s="8"/>
    </row>
    <row r="107" spans="1:13" s="3" customFormat="1" ht="12" customHeight="1" x14ac:dyDescent="0.2">
      <c r="A107" s="28" t="s">
        <v>451</v>
      </c>
      <c r="F107" s="16" t="s">
        <v>271</v>
      </c>
      <c r="G107" s="14" t="s">
        <v>272</v>
      </c>
      <c r="H107" s="16" t="s">
        <v>775</v>
      </c>
      <c r="I107" s="16" t="s">
        <v>274</v>
      </c>
      <c r="J107" s="16" t="s">
        <v>275</v>
      </c>
      <c r="K107" s="20"/>
      <c r="L107" s="20"/>
      <c r="M107" s="8"/>
    </row>
    <row r="108" spans="1:13" s="3" customFormat="1" ht="12" customHeight="1" x14ac:dyDescent="0.15">
      <c r="A108" s="30" t="s">
        <v>454</v>
      </c>
      <c r="B108" s="7"/>
      <c r="C108" s="7"/>
      <c r="D108" s="7"/>
      <c r="E108" s="7"/>
      <c r="F108" s="24" t="s">
        <v>279</v>
      </c>
      <c r="G108" s="24" t="s">
        <v>279</v>
      </c>
      <c r="H108" s="24" t="s">
        <v>279</v>
      </c>
      <c r="I108" s="24" t="s">
        <v>279</v>
      </c>
      <c r="J108" s="24" t="s">
        <v>279</v>
      </c>
      <c r="K108" s="24" t="s">
        <v>279</v>
      </c>
      <c r="L108" s="24" t="s">
        <v>279</v>
      </c>
      <c r="M108" s="8"/>
    </row>
    <row r="109" spans="1:13" s="3" customFormat="1" ht="12" customHeight="1" x14ac:dyDescent="0.15">
      <c r="A109" s="1" t="s">
        <v>776</v>
      </c>
      <c r="B109" s="2" t="s">
        <v>452</v>
      </c>
      <c r="C109" s="6">
        <v>1</v>
      </c>
      <c r="D109" s="2" t="s">
        <v>546</v>
      </c>
      <c r="E109" s="6">
        <v>3111</v>
      </c>
      <c r="F109" s="18">
        <v>1540210</v>
      </c>
      <c r="G109" s="24" t="s">
        <v>279</v>
      </c>
      <c r="H109" s="24" t="s">
        <v>279</v>
      </c>
      <c r="I109" s="24" t="s">
        <v>279</v>
      </c>
      <c r="J109" s="24" t="s">
        <v>279</v>
      </c>
      <c r="K109" s="24" t="s">
        <v>279</v>
      </c>
      <c r="L109" s="24" t="s">
        <v>279</v>
      </c>
      <c r="M109" s="8"/>
    </row>
    <row r="110" spans="1:13" s="3" customFormat="1" ht="12" customHeight="1" x14ac:dyDescent="0.15">
      <c r="A110" s="1" t="s">
        <v>777</v>
      </c>
      <c r="B110" s="2" t="s">
        <v>452</v>
      </c>
      <c r="C110" s="6">
        <v>2</v>
      </c>
      <c r="D110" s="2" t="s">
        <v>546</v>
      </c>
      <c r="E110" s="6">
        <v>3112</v>
      </c>
      <c r="F110" s="18">
        <v>1620933</v>
      </c>
      <c r="G110" s="24" t="s">
        <v>279</v>
      </c>
      <c r="H110" s="24" t="s">
        <v>279</v>
      </c>
      <c r="I110" s="24" t="s">
        <v>279</v>
      </c>
      <c r="J110" s="24" t="s">
        <v>279</v>
      </c>
      <c r="K110" s="24" t="s">
        <v>279</v>
      </c>
      <c r="L110" s="24" t="s">
        <v>279</v>
      </c>
      <c r="M110" s="8"/>
    </row>
    <row r="111" spans="1:13" s="3" customFormat="1" ht="12" customHeight="1" x14ac:dyDescent="0.15">
      <c r="A111" s="3" t="s">
        <v>877</v>
      </c>
      <c r="B111" s="2" t="s">
        <v>452</v>
      </c>
      <c r="C111" s="6">
        <v>3</v>
      </c>
      <c r="D111" s="2" t="s">
        <v>546</v>
      </c>
      <c r="E111" s="6">
        <v>3119</v>
      </c>
      <c r="F111" s="18">
        <v>590931</v>
      </c>
      <c r="G111" s="24" t="s">
        <v>279</v>
      </c>
      <c r="H111" s="24" t="s">
        <v>279</v>
      </c>
      <c r="I111" s="24" t="s">
        <v>279</v>
      </c>
      <c r="J111" s="24" t="s">
        <v>279</v>
      </c>
      <c r="K111" s="24" t="s">
        <v>279</v>
      </c>
      <c r="L111" s="24" t="s">
        <v>279</v>
      </c>
      <c r="M111" s="8"/>
    </row>
    <row r="112" spans="1:13" s="3" customFormat="1" ht="12" customHeight="1" thickBot="1" x14ac:dyDescent="0.2">
      <c r="A112" s="3" t="s">
        <v>622</v>
      </c>
      <c r="B112" s="2" t="s">
        <v>452</v>
      </c>
      <c r="C112" s="6">
        <v>4</v>
      </c>
      <c r="D112" s="2" t="s">
        <v>546</v>
      </c>
      <c r="E112" s="6">
        <v>3190</v>
      </c>
      <c r="F112" s="18"/>
      <c r="G112" s="18"/>
      <c r="H112" s="18"/>
      <c r="I112" s="18"/>
      <c r="J112" s="18"/>
      <c r="K112" s="24" t="s">
        <v>279</v>
      </c>
      <c r="L112" s="24" t="s">
        <v>279</v>
      </c>
      <c r="M112" s="8"/>
    </row>
    <row r="113" spans="1:13" s="3" customFormat="1" ht="12" customHeight="1" thickTop="1" x14ac:dyDescent="0.15">
      <c r="A113" s="38" t="s">
        <v>650</v>
      </c>
      <c r="B113" s="39" t="s">
        <v>452</v>
      </c>
      <c r="C113" s="40">
        <v>5</v>
      </c>
      <c r="D113" s="39" t="s">
        <v>546</v>
      </c>
      <c r="E113" s="40">
        <v>3100</v>
      </c>
      <c r="F113" s="41">
        <f>SUM(F109:F112)</f>
        <v>3752074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279</v>
      </c>
      <c r="L113" s="45" t="s">
        <v>279</v>
      </c>
      <c r="M113" s="8"/>
    </row>
    <row r="114" spans="1:13" s="3" customFormat="1" ht="12" customHeight="1" x14ac:dyDescent="0.15">
      <c r="A114" s="30" t="s">
        <v>456</v>
      </c>
      <c r="F114" s="24" t="s">
        <v>279</v>
      </c>
      <c r="G114" s="24" t="s">
        <v>279</v>
      </c>
      <c r="H114" s="24" t="s">
        <v>279</v>
      </c>
      <c r="I114" s="24" t="s">
        <v>279</v>
      </c>
      <c r="J114" s="24" t="s">
        <v>279</v>
      </c>
      <c r="K114" s="24" t="s">
        <v>279</v>
      </c>
      <c r="L114" s="24" t="s">
        <v>279</v>
      </c>
      <c r="M114" s="8"/>
    </row>
    <row r="115" spans="1:13" s="3" customFormat="1" ht="12" customHeight="1" x14ac:dyDescent="0.15">
      <c r="A115" s="1" t="s">
        <v>474</v>
      </c>
      <c r="B115" s="2" t="s">
        <v>452</v>
      </c>
      <c r="C115" s="6">
        <v>6</v>
      </c>
      <c r="D115" s="2" t="s">
        <v>546</v>
      </c>
      <c r="E115" s="6">
        <v>3210</v>
      </c>
      <c r="F115" s="18">
        <v>178441</v>
      </c>
      <c r="G115" s="24" t="s">
        <v>279</v>
      </c>
      <c r="H115" s="24" t="s">
        <v>279</v>
      </c>
      <c r="I115" s="18"/>
      <c r="J115" s="24" t="s">
        <v>279</v>
      </c>
      <c r="K115" s="24" t="s">
        <v>279</v>
      </c>
      <c r="L115" s="24" t="s">
        <v>279</v>
      </c>
      <c r="M115" s="8"/>
    </row>
    <row r="116" spans="1:13" s="3" customFormat="1" ht="12" customHeight="1" x14ac:dyDescent="0.15">
      <c r="A116" s="1" t="s">
        <v>615</v>
      </c>
      <c r="B116" s="2" t="s">
        <v>452</v>
      </c>
      <c r="C116" s="6">
        <v>7</v>
      </c>
      <c r="D116" s="2" t="s">
        <v>546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616</v>
      </c>
      <c r="B117" s="2" t="s">
        <v>452</v>
      </c>
      <c r="C117" s="6">
        <v>8</v>
      </c>
      <c r="D117" s="2" t="s">
        <v>546</v>
      </c>
      <c r="E117" s="6">
        <v>3220</v>
      </c>
      <c r="F117" s="18"/>
      <c r="G117" s="24" t="s">
        <v>279</v>
      </c>
      <c r="H117" s="24" t="s">
        <v>279</v>
      </c>
      <c r="I117" s="24" t="s">
        <v>279</v>
      </c>
      <c r="J117" s="24" t="s">
        <v>279</v>
      </c>
      <c r="K117" s="24" t="s">
        <v>279</v>
      </c>
      <c r="L117" s="24" t="s">
        <v>279</v>
      </c>
      <c r="M117" s="8"/>
    </row>
    <row r="118" spans="1:13" s="3" customFormat="1" ht="12" customHeight="1" x14ac:dyDescent="0.15">
      <c r="A118" s="1" t="s">
        <v>617</v>
      </c>
      <c r="B118" s="2" t="s">
        <v>452</v>
      </c>
      <c r="C118" s="6">
        <v>9</v>
      </c>
      <c r="D118" s="2" t="s">
        <v>546</v>
      </c>
      <c r="E118" s="6">
        <v>3230</v>
      </c>
      <c r="F118" s="18">
        <v>10541</v>
      </c>
      <c r="G118" s="24" t="s">
        <v>279</v>
      </c>
      <c r="H118" s="24" t="s">
        <v>279</v>
      </c>
      <c r="I118" s="24" t="s">
        <v>279</v>
      </c>
      <c r="J118" s="24" t="s">
        <v>279</v>
      </c>
      <c r="K118" s="24" t="s">
        <v>279</v>
      </c>
      <c r="L118" s="24" t="s">
        <v>279</v>
      </c>
      <c r="M118" s="8"/>
    </row>
    <row r="119" spans="1:13" s="3" customFormat="1" ht="12" customHeight="1" x14ac:dyDescent="0.15">
      <c r="A119" s="1" t="s">
        <v>586</v>
      </c>
      <c r="B119" s="2" t="s">
        <v>452</v>
      </c>
      <c r="C119" s="6">
        <v>10</v>
      </c>
      <c r="D119" s="2" t="s">
        <v>546</v>
      </c>
      <c r="E119" s="6">
        <v>3241</v>
      </c>
      <c r="F119" s="18"/>
      <c r="G119" s="24" t="s">
        <v>279</v>
      </c>
      <c r="H119" s="18"/>
      <c r="I119" s="24" t="s">
        <v>279</v>
      </c>
      <c r="J119" s="24" t="s">
        <v>279</v>
      </c>
      <c r="K119" s="24" t="s">
        <v>279</v>
      </c>
      <c r="L119" s="24" t="s">
        <v>279</v>
      </c>
      <c r="M119" s="8"/>
    </row>
    <row r="120" spans="1:13" s="3" customFormat="1" ht="12" customHeight="1" x14ac:dyDescent="0.15">
      <c r="A120" s="1" t="s">
        <v>587</v>
      </c>
      <c r="B120" s="2" t="s">
        <v>452</v>
      </c>
      <c r="C120" s="6">
        <v>11</v>
      </c>
      <c r="D120" s="2" t="s">
        <v>546</v>
      </c>
      <c r="E120" s="6">
        <v>3242</v>
      </c>
      <c r="F120" s="18">
        <v>2274</v>
      </c>
      <c r="G120" s="24" t="s">
        <v>279</v>
      </c>
      <c r="H120" s="18"/>
      <c r="I120" s="24" t="s">
        <v>279</v>
      </c>
      <c r="J120" s="24" t="s">
        <v>279</v>
      </c>
      <c r="K120" s="24" t="s">
        <v>279</v>
      </c>
      <c r="L120" s="24" t="s">
        <v>279</v>
      </c>
      <c r="M120" s="8"/>
    </row>
    <row r="121" spans="1:13" s="3" customFormat="1" ht="12" customHeight="1" x14ac:dyDescent="0.15">
      <c r="A121" s="1" t="s">
        <v>588</v>
      </c>
      <c r="B121" s="2" t="s">
        <v>452</v>
      </c>
      <c r="C121" s="6">
        <v>12</v>
      </c>
      <c r="D121" s="2" t="s">
        <v>546</v>
      </c>
      <c r="E121" s="6">
        <v>3243</v>
      </c>
      <c r="F121" s="18"/>
      <c r="G121" s="24" t="s">
        <v>279</v>
      </c>
      <c r="H121" s="18"/>
      <c r="I121" s="24" t="s">
        <v>279</v>
      </c>
      <c r="J121" s="24" t="s">
        <v>279</v>
      </c>
      <c r="K121" s="24" t="s">
        <v>279</v>
      </c>
      <c r="L121" s="24" t="s">
        <v>279</v>
      </c>
      <c r="M121" s="8"/>
    </row>
    <row r="122" spans="1:13" s="3" customFormat="1" ht="12" customHeight="1" x14ac:dyDescent="0.15">
      <c r="A122" s="1" t="s">
        <v>589</v>
      </c>
      <c r="B122" s="2" t="s">
        <v>452</v>
      </c>
      <c r="C122" s="6">
        <v>13</v>
      </c>
      <c r="D122" s="2" t="s">
        <v>546</v>
      </c>
      <c r="E122" s="6">
        <v>3249</v>
      </c>
      <c r="F122" s="18"/>
      <c r="G122" s="24" t="s">
        <v>279</v>
      </c>
      <c r="H122" s="18"/>
      <c r="I122" s="24" t="s">
        <v>279</v>
      </c>
      <c r="J122" s="24" t="s">
        <v>279</v>
      </c>
      <c r="K122" s="24" t="s">
        <v>279</v>
      </c>
      <c r="L122" s="24" t="s">
        <v>279</v>
      </c>
      <c r="M122" s="8"/>
    </row>
    <row r="123" spans="1:13" s="3" customFormat="1" ht="12" customHeight="1" x14ac:dyDescent="0.15">
      <c r="A123" s="1" t="s">
        <v>314</v>
      </c>
      <c r="B123" s="2" t="s">
        <v>452</v>
      </c>
      <c r="C123" s="6">
        <v>14</v>
      </c>
      <c r="D123" s="2" t="s">
        <v>546</v>
      </c>
      <c r="E123" s="6">
        <v>3250</v>
      </c>
      <c r="F123" s="18"/>
      <c r="G123" s="24" t="s">
        <v>279</v>
      </c>
      <c r="H123" s="18"/>
      <c r="I123" s="24" t="s">
        <v>279</v>
      </c>
      <c r="J123" s="24" t="s">
        <v>279</v>
      </c>
      <c r="K123" s="24" t="s">
        <v>279</v>
      </c>
      <c r="L123" s="24" t="s">
        <v>279</v>
      </c>
      <c r="M123" s="8"/>
    </row>
    <row r="124" spans="1:13" s="3" customFormat="1" ht="12" customHeight="1" x14ac:dyDescent="0.15">
      <c r="A124" s="1" t="s">
        <v>618</v>
      </c>
      <c r="B124" s="2" t="s">
        <v>452</v>
      </c>
      <c r="C124" s="6">
        <v>15</v>
      </c>
      <c r="D124" s="2" t="s">
        <v>546</v>
      </c>
      <c r="E124" s="6">
        <v>3260</v>
      </c>
      <c r="F124" s="24" t="s">
        <v>279</v>
      </c>
      <c r="G124" s="18">
        <f>6+17+72+55+129+659+2855</f>
        <v>3793</v>
      </c>
      <c r="H124" s="24" t="s">
        <v>279</v>
      </c>
      <c r="I124" s="24" t="s">
        <v>279</v>
      </c>
      <c r="J124" s="24" t="s">
        <v>279</v>
      </c>
      <c r="K124" s="24" t="s">
        <v>279</v>
      </c>
      <c r="L124" s="24" t="s">
        <v>279</v>
      </c>
      <c r="M124" s="8"/>
    </row>
    <row r="125" spans="1:13" s="3" customFormat="1" ht="12" customHeight="1" x14ac:dyDescent="0.15">
      <c r="A125" s="1" t="s">
        <v>619</v>
      </c>
      <c r="B125" s="2" t="s">
        <v>452</v>
      </c>
      <c r="C125" s="6">
        <v>16</v>
      </c>
      <c r="D125" s="2" t="s">
        <v>546</v>
      </c>
      <c r="E125" s="6">
        <v>3270</v>
      </c>
      <c r="F125" s="18">
        <v>13800</v>
      </c>
      <c r="G125" s="24" t="s">
        <v>279</v>
      </c>
      <c r="H125" s="18"/>
      <c r="I125" s="24" t="s">
        <v>279</v>
      </c>
      <c r="J125" s="24" t="s">
        <v>279</v>
      </c>
      <c r="K125" s="24" t="s">
        <v>279</v>
      </c>
      <c r="L125" s="24" t="s">
        <v>279</v>
      </c>
      <c r="M125" s="8"/>
    </row>
    <row r="126" spans="1:13" s="3" customFormat="1" ht="12" customHeight="1" x14ac:dyDescent="0.15">
      <c r="A126" s="1" t="s">
        <v>620</v>
      </c>
      <c r="B126" s="6">
        <v>4</v>
      </c>
      <c r="C126" s="6">
        <v>17</v>
      </c>
      <c r="D126" s="2"/>
      <c r="E126" s="6">
        <v>3280</v>
      </c>
      <c r="F126" s="24" t="s">
        <v>279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621</v>
      </c>
      <c r="B127" s="2" t="s">
        <v>452</v>
      </c>
      <c r="C127" s="6">
        <v>18</v>
      </c>
      <c r="D127" s="2" t="s">
        <v>546</v>
      </c>
      <c r="E127" s="6">
        <v>3290</v>
      </c>
      <c r="F127" s="18"/>
      <c r="G127" s="18"/>
      <c r="H127" s="18">
        <f>34457+133</f>
        <v>34590</v>
      </c>
      <c r="I127" s="18"/>
      <c r="J127" s="18"/>
      <c r="K127" s="24" t="s">
        <v>279</v>
      </c>
      <c r="L127" s="24" t="s">
        <v>279</v>
      </c>
      <c r="M127" s="8"/>
    </row>
    <row r="128" spans="1:13" s="3" customFormat="1" ht="12" customHeight="1" thickTop="1" x14ac:dyDescent="0.15">
      <c r="A128" s="38" t="s">
        <v>408</v>
      </c>
      <c r="B128" s="39" t="s">
        <v>452</v>
      </c>
      <c r="C128" s="40">
        <v>19</v>
      </c>
      <c r="D128" s="39" t="s">
        <v>546</v>
      </c>
      <c r="E128" s="40">
        <v>3200</v>
      </c>
      <c r="F128" s="41">
        <f>SUM(F115:F127)</f>
        <v>205056</v>
      </c>
      <c r="G128" s="41">
        <f>SUM(G115:G127)</f>
        <v>3793</v>
      </c>
      <c r="H128" s="41">
        <f>SUM(H115:H127)</f>
        <v>34590</v>
      </c>
      <c r="I128" s="41">
        <f>SUM(I115:I127)</f>
        <v>0</v>
      </c>
      <c r="J128" s="41">
        <f>SUM(J115:J127)</f>
        <v>0</v>
      </c>
      <c r="K128" s="45" t="s">
        <v>279</v>
      </c>
      <c r="L128" s="45" t="s">
        <v>279</v>
      </c>
      <c r="M128" s="8"/>
    </row>
    <row r="129" spans="1:13" s="3" customFormat="1" ht="12" customHeight="1" x14ac:dyDescent="0.15">
      <c r="A129" s="3" t="s">
        <v>453</v>
      </c>
      <c r="B129" s="1" t="s">
        <v>452</v>
      </c>
      <c r="C129" s="6">
        <v>20</v>
      </c>
      <c r="D129" s="2" t="s">
        <v>546</v>
      </c>
      <c r="E129" s="6">
        <v>3700</v>
      </c>
      <c r="F129" s="18"/>
      <c r="G129" s="18"/>
      <c r="H129" s="18"/>
      <c r="I129" s="24" t="s">
        <v>279</v>
      </c>
      <c r="J129" s="24" t="s">
        <v>279</v>
      </c>
      <c r="K129" s="24" t="s">
        <v>279</v>
      </c>
      <c r="L129" s="24" t="s">
        <v>279</v>
      </c>
      <c r="M129" s="8"/>
    </row>
    <row r="130" spans="1:13" s="3" customFormat="1" ht="12" customHeight="1" x14ac:dyDescent="0.15">
      <c r="A130" s="1" t="s">
        <v>730</v>
      </c>
      <c r="B130" s="1" t="s">
        <v>452</v>
      </c>
      <c r="C130" s="6">
        <v>21</v>
      </c>
      <c r="D130" s="2" t="s">
        <v>546</v>
      </c>
      <c r="E130" s="6">
        <v>3800</v>
      </c>
      <c r="F130" s="18"/>
      <c r="G130" s="24" t="s">
        <v>279</v>
      </c>
      <c r="H130" s="18"/>
      <c r="I130" s="24" t="s">
        <v>279</v>
      </c>
      <c r="J130" s="24" t="s">
        <v>279</v>
      </c>
      <c r="K130" s="24" t="s">
        <v>279</v>
      </c>
      <c r="L130" s="24" t="s">
        <v>279</v>
      </c>
      <c r="M130" s="8"/>
    </row>
    <row r="131" spans="1:13" s="3" customFormat="1" ht="12" customHeight="1" thickBot="1" x14ac:dyDescent="0.2">
      <c r="A131" s="1" t="s">
        <v>731</v>
      </c>
      <c r="B131" s="1" t="s">
        <v>452</v>
      </c>
      <c r="C131" s="6">
        <v>22</v>
      </c>
      <c r="D131" s="2" t="s">
        <v>546</v>
      </c>
      <c r="E131" s="6">
        <v>3900</v>
      </c>
      <c r="F131" s="24" t="s">
        <v>279</v>
      </c>
      <c r="G131" s="24" t="s">
        <v>279</v>
      </c>
      <c r="H131" s="24" t="s">
        <v>279</v>
      </c>
      <c r="I131" s="24" t="s">
        <v>279</v>
      </c>
      <c r="J131" s="24" t="s">
        <v>279</v>
      </c>
      <c r="K131" s="24" t="s">
        <v>279</v>
      </c>
      <c r="L131" s="24" t="s">
        <v>279</v>
      </c>
      <c r="M131" s="8"/>
    </row>
    <row r="132" spans="1:13" s="3" customFormat="1" ht="12" customHeight="1" thickTop="1" x14ac:dyDescent="0.15">
      <c r="A132" s="38" t="s">
        <v>529</v>
      </c>
      <c r="B132" s="39" t="s">
        <v>452</v>
      </c>
      <c r="C132" s="40">
        <v>23</v>
      </c>
      <c r="D132" s="39" t="s">
        <v>546</v>
      </c>
      <c r="E132" s="40">
        <v>3000</v>
      </c>
      <c r="F132" s="41">
        <f>F113+SUM(F128:F131)</f>
        <v>3957130</v>
      </c>
      <c r="G132" s="41">
        <f>G113+SUM(G128:G129)</f>
        <v>3793</v>
      </c>
      <c r="H132" s="41">
        <f>H113+SUM(H128:H131)</f>
        <v>34590</v>
      </c>
      <c r="I132" s="41">
        <f>I113+I128</f>
        <v>0</v>
      </c>
      <c r="J132" s="41">
        <f>J113+J128</f>
        <v>0</v>
      </c>
      <c r="K132" s="45" t="s">
        <v>279</v>
      </c>
      <c r="L132" s="45" t="s">
        <v>279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264</v>
      </c>
      <c r="G133" s="23" t="s">
        <v>265</v>
      </c>
      <c r="H133" s="23" t="s">
        <v>266</v>
      </c>
      <c r="I133" s="23" t="s">
        <v>267</v>
      </c>
      <c r="J133" s="23" t="s">
        <v>268</v>
      </c>
      <c r="K133" s="20"/>
      <c r="L133" s="20"/>
      <c r="M133" s="8"/>
    </row>
    <row r="134" spans="1:13" s="3" customFormat="1" ht="12" customHeight="1" x14ac:dyDescent="0.2">
      <c r="A134" s="29" t="s">
        <v>450</v>
      </c>
      <c r="F134" s="23"/>
      <c r="G134" s="23"/>
      <c r="H134" s="16" t="s">
        <v>273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430</v>
      </c>
      <c r="F135" s="16" t="s">
        <v>271</v>
      </c>
      <c r="G135" s="16" t="s">
        <v>272</v>
      </c>
      <c r="H135" s="225" t="s">
        <v>775</v>
      </c>
      <c r="I135" s="16" t="s">
        <v>274</v>
      </c>
      <c r="J135" s="16" t="s">
        <v>275</v>
      </c>
      <c r="K135" s="20"/>
      <c r="L135" s="20"/>
      <c r="M135" s="8"/>
    </row>
    <row r="136" spans="1:13" s="3" customFormat="1" ht="12" customHeight="1" x14ac:dyDescent="0.15">
      <c r="A136" s="30" t="s">
        <v>454</v>
      </c>
      <c r="F136" s="24" t="s">
        <v>279</v>
      </c>
      <c r="G136" s="24" t="s">
        <v>279</v>
      </c>
      <c r="H136" s="24" t="s">
        <v>279</v>
      </c>
      <c r="I136" s="24" t="s">
        <v>279</v>
      </c>
      <c r="J136" s="24" t="s">
        <v>279</v>
      </c>
      <c r="K136" s="24" t="s">
        <v>279</v>
      </c>
      <c r="L136" s="24" t="s">
        <v>279</v>
      </c>
      <c r="M136" s="8"/>
    </row>
    <row r="137" spans="1:13" s="3" customFormat="1" ht="12" customHeight="1" x14ac:dyDescent="0.15">
      <c r="A137" s="1" t="s">
        <v>733</v>
      </c>
      <c r="B137" s="2" t="s">
        <v>455</v>
      </c>
      <c r="C137" s="6">
        <v>1</v>
      </c>
      <c r="D137" s="2" t="s">
        <v>546</v>
      </c>
      <c r="E137" s="6">
        <v>4100</v>
      </c>
      <c r="F137" s="18">
        <v>31813</v>
      </c>
      <c r="G137" s="18"/>
      <c r="H137" s="18"/>
      <c r="I137" s="18"/>
      <c r="J137" s="24" t="s">
        <v>279</v>
      </c>
      <c r="K137" s="24" t="s">
        <v>279</v>
      </c>
      <c r="L137" s="24" t="s">
        <v>279</v>
      </c>
      <c r="M137" s="8"/>
    </row>
    <row r="138" spans="1:13" s="3" customFormat="1" ht="12" customHeight="1" thickBot="1" x14ac:dyDescent="0.2">
      <c r="A138" s="1" t="s">
        <v>732</v>
      </c>
      <c r="B138" s="2" t="s">
        <v>455</v>
      </c>
      <c r="C138" s="6">
        <v>2</v>
      </c>
      <c r="D138" s="2" t="s">
        <v>546</v>
      </c>
      <c r="E138" s="6">
        <v>4200</v>
      </c>
      <c r="F138" s="18"/>
      <c r="G138" s="18"/>
      <c r="H138" s="18"/>
      <c r="I138" s="18"/>
      <c r="J138" s="24" t="s">
        <v>279</v>
      </c>
      <c r="K138" s="24" t="s">
        <v>279</v>
      </c>
      <c r="L138" s="24" t="s">
        <v>279</v>
      </c>
      <c r="M138" s="8"/>
    </row>
    <row r="139" spans="1:13" s="3" customFormat="1" ht="12" customHeight="1" thickTop="1" x14ac:dyDescent="0.15">
      <c r="A139" s="38" t="s">
        <v>409</v>
      </c>
      <c r="B139" s="39" t="s">
        <v>455</v>
      </c>
      <c r="C139" s="40">
        <v>3</v>
      </c>
      <c r="D139" s="39" t="s">
        <v>546</v>
      </c>
      <c r="E139" s="40"/>
      <c r="F139" s="41">
        <f>SUM(F137:F138)</f>
        <v>31813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279</v>
      </c>
      <c r="K139" s="45" t="s">
        <v>279</v>
      </c>
      <c r="L139" s="45" t="s">
        <v>279</v>
      </c>
      <c r="M139" s="8"/>
    </row>
    <row r="140" spans="1:13" s="3" customFormat="1" ht="12" customHeight="1" x14ac:dyDescent="0.15">
      <c r="A140" s="30" t="s">
        <v>456</v>
      </c>
      <c r="B140" s="2"/>
      <c r="C140" s="2"/>
      <c r="D140" s="2"/>
      <c r="E140" s="2"/>
      <c r="F140" s="24" t="s">
        <v>279</v>
      </c>
      <c r="G140" s="24" t="s">
        <v>279</v>
      </c>
      <c r="H140" s="24" t="s">
        <v>279</v>
      </c>
      <c r="I140" s="24" t="s">
        <v>279</v>
      </c>
      <c r="J140" s="24" t="s">
        <v>279</v>
      </c>
      <c r="K140" s="24" t="s">
        <v>279</v>
      </c>
      <c r="L140" s="24" t="s">
        <v>279</v>
      </c>
      <c r="M140" s="8"/>
    </row>
    <row r="141" spans="1:13" s="3" customFormat="1" ht="12" customHeight="1" x14ac:dyDescent="0.15">
      <c r="A141" s="1" t="s">
        <v>598</v>
      </c>
      <c r="C141" s="1" t="s">
        <v>457</v>
      </c>
      <c r="D141" s="1"/>
      <c r="E141" s="6">
        <v>4300</v>
      </c>
      <c r="F141" s="24" t="s">
        <v>279</v>
      </c>
      <c r="G141" s="24" t="s">
        <v>279</v>
      </c>
      <c r="H141" s="24" t="s">
        <v>279</v>
      </c>
      <c r="I141" s="24" t="s">
        <v>279</v>
      </c>
      <c r="J141" s="24" t="s">
        <v>279</v>
      </c>
      <c r="K141" s="24" t="s">
        <v>279</v>
      </c>
      <c r="L141" s="24" t="s">
        <v>279</v>
      </c>
      <c r="M141" s="8"/>
    </row>
    <row r="142" spans="1:13" s="3" customFormat="1" ht="12" customHeight="1" x14ac:dyDescent="0.15">
      <c r="A142" s="3" t="s">
        <v>651</v>
      </c>
      <c r="B142" s="2" t="s">
        <v>455</v>
      </c>
      <c r="C142" s="6">
        <v>4</v>
      </c>
      <c r="D142" s="2" t="s">
        <v>546</v>
      </c>
      <c r="E142" s="6">
        <v>4310</v>
      </c>
      <c r="F142" s="18"/>
      <c r="G142" s="24" t="s">
        <v>279</v>
      </c>
      <c r="H142" s="18"/>
      <c r="I142" s="18"/>
      <c r="J142" s="24" t="s">
        <v>279</v>
      </c>
      <c r="K142" s="24" t="s">
        <v>279</v>
      </c>
      <c r="L142" s="24" t="s">
        <v>279</v>
      </c>
      <c r="M142" s="8"/>
    </row>
    <row r="143" spans="1:13" s="3" customFormat="1" ht="12" customHeight="1" x14ac:dyDescent="0.15">
      <c r="A143" s="1" t="s">
        <v>460</v>
      </c>
      <c r="B143" s="2" t="s">
        <v>455</v>
      </c>
      <c r="C143" s="6">
        <v>5</v>
      </c>
      <c r="D143" s="2" t="s">
        <v>546</v>
      </c>
      <c r="E143" s="6">
        <v>4330</v>
      </c>
      <c r="F143" s="18"/>
      <c r="G143" s="24" t="s">
        <v>279</v>
      </c>
      <c r="H143" s="18"/>
      <c r="I143" s="18"/>
      <c r="J143" s="24" t="s">
        <v>279</v>
      </c>
      <c r="K143" s="24" t="s">
        <v>279</v>
      </c>
      <c r="L143" s="24" t="s">
        <v>279</v>
      </c>
      <c r="M143" s="8"/>
    </row>
    <row r="144" spans="1:13" s="3" customFormat="1" ht="12" customHeight="1" x14ac:dyDescent="0.15">
      <c r="A144" s="1" t="s">
        <v>461</v>
      </c>
      <c r="B144" s="2" t="s">
        <v>455</v>
      </c>
      <c r="C144" s="6">
        <v>6</v>
      </c>
      <c r="D144" s="2" t="s">
        <v>546</v>
      </c>
      <c r="E144" s="6">
        <v>4350</v>
      </c>
      <c r="F144" s="18"/>
      <c r="G144" s="24" t="s">
        <v>279</v>
      </c>
      <c r="H144" s="18"/>
      <c r="I144" s="18"/>
      <c r="J144" s="24" t="s">
        <v>279</v>
      </c>
      <c r="K144" s="24" t="s">
        <v>279</v>
      </c>
      <c r="L144" s="24" t="s">
        <v>279</v>
      </c>
      <c r="M144" s="8"/>
    </row>
    <row r="145" spans="1:13" s="3" customFormat="1" ht="12" customHeight="1" x14ac:dyDescent="0.15">
      <c r="A145" s="1" t="s">
        <v>462</v>
      </c>
      <c r="B145" s="2"/>
      <c r="C145" s="6"/>
      <c r="D145" s="6"/>
      <c r="E145" s="6">
        <v>4500</v>
      </c>
      <c r="F145" s="24" t="s">
        <v>279</v>
      </c>
      <c r="G145" s="24" t="s">
        <v>279</v>
      </c>
      <c r="H145" s="24" t="s">
        <v>279</v>
      </c>
      <c r="I145" s="24" t="s">
        <v>279</v>
      </c>
      <c r="J145" s="24" t="s">
        <v>279</v>
      </c>
      <c r="K145" s="24" t="s">
        <v>279</v>
      </c>
      <c r="L145" s="24" t="s">
        <v>279</v>
      </c>
      <c r="M145" s="8"/>
    </row>
    <row r="146" spans="1:13" s="3" customFormat="1" ht="12" customHeight="1" x14ac:dyDescent="0.15">
      <c r="A146" s="1" t="s">
        <v>648</v>
      </c>
      <c r="B146" s="2" t="s">
        <v>455</v>
      </c>
      <c r="C146" s="6">
        <v>7</v>
      </c>
      <c r="D146" s="2" t="s">
        <v>546</v>
      </c>
      <c r="E146" s="6">
        <v>4520</v>
      </c>
      <c r="F146" s="24" t="s">
        <v>279</v>
      </c>
      <c r="G146" s="24" t="s">
        <v>279</v>
      </c>
      <c r="H146" s="18">
        <v>56978</v>
      </c>
      <c r="I146" s="24" t="s">
        <v>279</v>
      </c>
      <c r="J146" s="24" t="s">
        <v>279</v>
      </c>
      <c r="K146" s="24" t="s">
        <v>279</v>
      </c>
      <c r="L146" s="24" t="s">
        <v>279</v>
      </c>
      <c r="M146" s="8"/>
    </row>
    <row r="147" spans="1:13" s="3" customFormat="1" ht="12" customHeight="1" x14ac:dyDescent="0.15">
      <c r="A147" s="1" t="s">
        <v>649</v>
      </c>
      <c r="B147" s="2" t="s">
        <v>455</v>
      </c>
      <c r="C147" s="6">
        <v>8</v>
      </c>
      <c r="D147" s="2" t="s">
        <v>546</v>
      </c>
      <c r="E147" s="6">
        <v>4530</v>
      </c>
      <c r="F147" s="24" t="s">
        <v>279</v>
      </c>
      <c r="G147" s="24" t="s">
        <v>279</v>
      </c>
      <c r="H147" s="18">
        <v>46661</v>
      </c>
      <c r="I147" s="24" t="s">
        <v>279</v>
      </c>
      <c r="J147" s="24" t="s">
        <v>279</v>
      </c>
      <c r="K147" s="24" t="s">
        <v>279</v>
      </c>
      <c r="L147" s="24" t="s">
        <v>279</v>
      </c>
      <c r="M147" s="8"/>
    </row>
    <row r="148" spans="1:13" s="3" customFormat="1" ht="12" customHeight="1" x14ac:dyDescent="0.15">
      <c r="A148" s="1" t="s">
        <v>463</v>
      </c>
      <c r="B148" s="2" t="s">
        <v>455</v>
      </c>
      <c r="C148" s="6">
        <v>9</v>
      </c>
      <c r="D148" s="2" t="s">
        <v>546</v>
      </c>
      <c r="E148" s="6">
        <v>4540</v>
      </c>
      <c r="F148" s="24" t="s">
        <v>279</v>
      </c>
      <c r="G148" s="24" t="s">
        <v>279</v>
      </c>
      <c r="H148" s="18"/>
      <c r="I148" s="24" t="s">
        <v>279</v>
      </c>
      <c r="J148" s="24" t="s">
        <v>279</v>
      </c>
      <c r="K148" s="24" t="s">
        <v>279</v>
      </c>
      <c r="L148" s="24" t="s">
        <v>279</v>
      </c>
      <c r="M148" s="8"/>
    </row>
    <row r="149" spans="1:13" s="3" customFormat="1" ht="12" customHeight="1" x14ac:dyDescent="0.15">
      <c r="A149" s="1" t="s">
        <v>464</v>
      </c>
      <c r="B149" s="2" t="s">
        <v>455</v>
      </c>
      <c r="C149" s="6">
        <v>10</v>
      </c>
      <c r="D149" s="2" t="s">
        <v>546</v>
      </c>
      <c r="E149" s="6">
        <v>4550</v>
      </c>
      <c r="F149" s="18"/>
      <c r="G149" s="24" t="s">
        <v>279</v>
      </c>
      <c r="H149" s="18"/>
      <c r="I149" s="24" t="s">
        <v>279</v>
      </c>
      <c r="J149" s="24" t="s">
        <v>279</v>
      </c>
      <c r="K149" s="24" t="s">
        <v>279</v>
      </c>
      <c r="L149" s="24" t="s">
        <v>279</v>
      </c>
      <c r="M149" s="8"/>
    </row>
    <row r="150" spans="1:13" s="3" customFormat="1" ht="12" customHeight="1" x14ac:dyDescent="0.15">
      <c r="A150" s="1" t="s">
        <v>605</v>
      </c>
      <c r="B150" s="2" t="s">
        <v>455</v>
      </c>
      <c r="C150" s="6">
        <v>11</v>
      </c>
      <c r="D150" s="2" t="s">
        <v>546</v>
      </c>
      <c r="E150" s="6">
        <v>4560</v>
      </c>
      <c r="F150" s="24" t="s">
        <v>279</v>
      </c>
      <c r="G150" s="18">
        <f>10765+11513+20041+1694+1556+3332+11792</f>
        <v>60693</v>
      </c>
      <c r="H150" s="24" t="s">
        <v>279</v>
      </c>
      <c r="I150" s="24" t="s">
        <v>279</v>
      </c>
      <c r="J150" s="24" t="s">
        <v>279</v>
      </c>
      <c r="K150" s="24" t="s">
        <v>279</v>
      </c>
      <c r="L150" s="24" t="s">
        <v>279</v>
      </c>
      <c r="M150" s="8"/>
    </row>
    <row r="151" spans="1:13" s="3" customFormat="1" ht="12" customHeight="1" x14ac:dyDescent="0.15">
      <c r="A151" s="1" t="s">
        <v>461</v>
      </c>
      <c r="B151" s="2" t="s">
        <v>455</v>
      </c>
      <c r="C151" s="6">
        <v>12</v>
      </c>
      <c r="D151" s="2" t="s">
        <v>546</v>
      </c>
      <c r="E151" s="6">
        <v>4570</v>
      </c>
      <c r="F151" s="18"/>
      <c r="G151" s="24" t="s">
        <v>279</v>
      </c>
      <c r="H151" s="18">
        <v>193575</v>
      </c>
      <c r="I151" s="24" t="s">
        <v>279</v>
      </c>
      <c r="J151" s="24" t="s">
        <v>279</v>
      </c>
      <c r="K151" s="24" t="s">
        <v>279</v>
      </c>
      <c r="L151" s="24" t="s">
        <v>279</v>
      </c>
      <c r="M151" s="8"/>
    </row>
    <row r="152" spans="1:13" s="3" customFormat="1" ht="12" customHeight="1" x14ac:dyDescent="0.15">
      <c r="A152" s="1" t="s">
        <v>606</v>
      </c>
      <c r="B152" s="2" t="s">
        <v>455</v>
      </c>
      <c r="C152" s="6">
        <v>13</v>
      </c>
      <c r="D152" s="2" t="s">
        <v>546</v>
      </c>
      <c r="E152" s="6">
        <v>4580</v>
      </c>
      <c r="F152" s="18">
        <v>138462</v>
      </c>
      <c r="G152" s="24" t="s">
        <v>279</v>
      </c>
      <c r="H152" s="18"/>
      <c r="I152" s="24" t="s">
        <v>279</v>
      </c>
      <c r="J152" s="24" t="s">
        <v>279</v>
      </c>
      <c r="K152" s="24" t="s">
        <v>279</v>
      </c>
      <c r="L152" s="24" t="s">
        <v>279</v>
      </c>
      <c r="M152" s="8"/>
    </row>
    <row r="153" spans="1:13" s="3" customFormat="1" ht="12" customHeight="1" thickBot="1" x14ac:dyDescent="0.2">
      <c r="A153" s="1" t="s">
        <v>607</v>
      </c>
      <c r="B153" s="2" t="s">
        <v>455</v>
      </c>
      <c r="C153" s="6">
        <v>14</v>
      </c>
      <c r="D153" s="2" t="s">
        <v>546</v>
      </c>
      <c r="E153" s="6">
        <v>4590</v>
      </c>
      <c r="F153" s="18"/>
      <c r="G153" s="18"/>
      <c r="H153" s="18">
        <v>123120</v>
      </c>
      <c r="I153" s="18"/>
      <c r="J153" s="24" t="s">
        <v>279</v>
      </c>
      <c r="K153" s="24" t="s">
        <v>279</v>
      </c>
      <c r="L153" s="24" t="s">
        <v>279</v>
      </c>
      <c r="M153" s="8"/>
    </row>
    <row r="154" spans="1:13" s="3" customFormat="1" ht="12" customHeight="1" thickTop="1" x14ac:dyDescent="0.15">
      <c r="A154" s="38" t="s">
        <v>410</v>
      </c>
      <c r="B154" s="39" t="s">
        <v>455</v>
      </c>
      <c r="C154" s="40">
        <v>15</v>
      </c>
      <c r="D154" s="39" t="s">
        <v>546</v>
      </c>
      <c r="E154" s="40"/>
      <c r="F154" s="41">
        <f>SUM(F142:F153)</f>
        <v>138462</v>
      </c>
      <c r="G154" s="41">
        <f>SUM(G142:G153)</f>
        <v>60693</v>
      </c>
      <c r="H154" s="41">
        <f>SUM(H142:H153)</f>
        <v>420334</v>
      </c>
      <c r="I154" s="41">
        <f>SUM(I142:I153)</f>
        <v>0</v>
      </c>
      <c r="J154" s="45" t="s">
        <v>279</v>
      </c>
      <c r="K154" s="45" t="s">
        <v>279</v>
      </c>
      <c r="L154" s="45" t="s">
        <v>279</v>
      </c>
      <c r="M154" s="8"/>
    </row>
    <row r="155" spans="1:13" s="3" customFormat="1" ht="12" customHeight="1" x14ac:dyDescent="0.15">
      <c r="A155" s="3" t="s">
        <v>815</v>
      </c>
      <c r="B155" s="2" t="s">
        <v>455</v>
      </c>
      <c r="C155" s="6">
        <v>16</v>
      </c>
      <c r="D155" s="2" t="s">
        <v>546</v>
      </c>
      <c r="E155" s="6">
        <v>4700</v>
      </c>
      <c r="F155" s="18"/>
      <c r="G155" s="18"/>
      <c r="H155" s="18"/>
      <c r="I155" s="18"/>
      <c r="J155" s="24" t="s">
        <v>279</v>
      </c>
      <c r="K155" s="24" t="s">
        <v>279</v>
      </c>
      <c r="L155" s="24" t="s">
        <v>279</v>
      </c>
      <c r="M155" s="8"/>
    </row>
    <row r="156" spans="1:13" s="3" customFormat="1" ht="12" customHeight="1" x14ac:dyDescent="0.15">
      <c r="A156" s="30" t="s">
        <v>315</v>
      </c>
      <c r="E156" s="6"/>
      <c r="F156" s="24" t="s">
        <v>279</v>
      </c>
      <c r="G156" s="24" t="s">
        <v>279</v>
      </c>
      <c r="H156" s="24" t="s">
        <v>279</v>
      </c>
      <c r="I156" s="24" t="s">
        <v>279</v>
      </c>
      <c r="J156" s="24" t="s">
        <v>279</v>
      </c>
      <c r="K156" s="24" t="s">
        <v>279</v>
      </c>
      <c r="L156" s="24" t="s">
        <v>279</v>
      </c>
      <c r="M156" s="8"/>
    </row>
    <row r="157" spans="1:13" s="3" customFormat="1" ht="12" customHeight="1" x14ac:dyDescent="0.15">
      <c r="A157" s="1" t="s">
        <v>608</v>
      </c>
      <c r="B157" s="2" t="s">
        <v>455</v>
      </c>
      <c r="C157" s="6">
        <v>17</v>
      </c>
      <c r="D157" s="2" t="s">
        <v>546</v>
      </c>
      <c r="E157" s="6">
        <v>4810</v>
      </c>
      <c r="F157" s="18"/>
      <c r="G157" s="24" t="s">
        <v>279</v>
      </c>
      <c r="H157" s="24" t="s">
        <v>279</v>
      </c>
      <c r="I157" s="24" t="s">
        <v>279</v>
      </c>
      <c r="J157" s="24" t="s">
        <v>279</v>
      </c>
      <c r="K157" s="24" t="s">
        <v>279</v>
      </c>
      <c r="L157" s="24" t="s">
        <v>279</v>
      </c>
      <c r="M157" s="8"/>
    </row>
    <row r="158" spans="1:13" s="3" customFormat="1" ht="12" customHeight="1" x14ac:dyDescent="0.15">
      <c r="A158" s="1" t="s">
        <v>472</v>
      </c>
      <c r="B158" s="2" t="s">
        <v>455</v>
      </c>
      <c r="C158" s="6">
        <v>18</v>
      </c>
      <c r="D158" s="2" t="s">
        <v>546</v>
      </c>
      <c r="E158" s="6">
        <v>4890</v>
      </c>
      <c r="F158" s="18"/>
      <c r="G158" s="24" t="s">
        <v>279</v>
      </c>
      <c r="H158" s="24" t="s">
        <v>279</v>
      </c>
      <c r="I158" s="24" t="s">
        <v>279</v>
      </c>
      <c r="J158" s="24" t="s">
        <v>279</v>
      </c>
      <c r="K158" s="24" t="s">
        <v>279</v>
      </c>
      <c r="L158" s="24" t="s">
        <v>279</v>
      </c>
      <c r="M158" s="8"/>
    </row>
    <row r="159" spans="1:13" s="3" customFormat="1" ht="12" customHeight="1" x14ac:dyDescent="0.15">
      <c r="A159" s="30" t="s">
        <v>692</v>
      </c>
      <c r="B159" s="2"/>
      <c r="C159" s="6"/>
      <c r="D159" s="2"/>
      <c r="E159" s="6"/>
      <c r="F159" s="24" t="s">
        <v>279</v>
      </c>
      <c r="G159" s="24" t="s">
        <v>279</v>
      </c>
      <c r="H159" s="24" t="s">
        <v>279</v>
      </c>
      <c r="I159" s="24" t="s">
        <v>279</v>
      </c>
      <c r="J159" s="24" t="s">
        <v>279</v>
      </c>
      <c r="K159" s="24" t="s">
        <v>279</v>
      </c>
      <c r="L159" s="24" t="s">
        <v>279</v>
      </c>
      <c r="M159" s="8"/>
    </row>
    <row r="160" spans="1:13" s="3" customFormat="1" ht="12" customHeight="1" thickBot="1" x14ac:dyDescent="0.2">
      <c r="A160" s="1" t="s">
        <v>473</v>
      </c>
      <c r="B160" s="2" t="s">
        <v>455</v>
      </c>
      <c r="C160" s="6">
        <v>19</v>
      </c>
      <c r="D160" s="2" t="s">
        <v>546</v>
      </c>
      <c r="E160" s="6">
        <v>4900</v>
      </c>
      <c r="F160" s="18"/>
      <c r="G160" s="18"/>
      <c r="H160" s="18"/>
      <c r="I160" s="24" t="s">
        <v>279</v>
      </c>
      <c r="J160" s="24" t="s">
        <v>279</v>
      </c>
      <c r="K160" s="24" t="s">
        <v>279</v>
      </c>
      <c r="L160" s="24" t="s">
        <v>279</v>
      </c>
      <c r="M160" s="8"/>
    </row>
    <row r="161" spans="1:13" s="3" customFormat="1" ht="12" customHeight="1" thickTop="1" x14ac:dyDescent="0.15">
      <c r="A161" s="38" t="s">
        <v>432</v>
      </c>
      <c r="B161" s="39" t="s">
        <v>455</v>
      </c>
      <c r="C161" s="40">
        <v>20</v>
      </c>
      <c r="D161" s="39" t="s">
        <v>546</v>
      </c>
      <c r="E161" s="44">
        <v>4000</v>
      </c>
      <c r="F161" s="41">
        <f>F139+F154+SUM(F155:F160)</f>
        <v>170275</v>
      </c>
      <c r="G161" s="41">
        <f>G139+G154+SUM(G155:G160)</f>
        <v>60693</v>
      </c>
      <c r="H161" s="41">
        <f>H139+H154+SUM(H155:H160)</f>
        <v>420334</v>
      </c>
      <c r="I161" s="41">
        <f>I139+I154+SUM(I155:I160)</f>
        <v>0</v>
      </c>
      <c r="J161" s="45" t="s">
        <v>279</v>
      </c>
      <c r="K161" s="45" t="s">
        <v>279</v>
      </c>
      <c r="L161" s="45" t="s">
        <v>279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264</v>
      </c>
      <c r="G162" s="23" t="s">
        <v>265</v>
      </c>
      <c r="H162" s="23" t="s">
        <v>266</v>
      </c>
      <c r="I162" s="23" t="s">
        <v>267</v>
      </c>
      <c r="J162" s="23" t="s">
        <v>268</v>
      </c>
      <c r="K162" s="20"/>
      <c r="L162" s="20"/>
      <c r="M162" s="8"/>
    </row>
    <row r="163" spans="1:13" s="3" customFormat="1" ht="12" customHeight="1" x14ac:dyDescent="0.2">
      <c r="A163" s="29" t="s">
        <v>690</v>
      </c>
      <c r="F163" s="23"/>
      <c r="G163" s="23"/>
      <c r="H163" s="16" t="s">
        <v>273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316</v>
      </c>
      <c r="B164" s="7"/>
      <c r="C164" s="7"/>
      <c r="D164" s="7"/>
      <c r="E164" s="7"/>
      <c r="F164" s="16" t="s">
        <v>271</v>
      </c>
      <c r="G164" s="16" t="s">
        <v>272</v>
      </c>
      <c r="H164" s="225" t="s">
        <v>775</v>
      </c>
      <c r="I164" s="16" t="s">
        <v>274</v>
      </c>
      <c r="J164" s="16" t="s">
        <v>275</v>
      </c>
      <c r="K164" s="20"/>
      <c r="L164" s="20"/>
      <c r="M164" s="8"/>
    </row>
    <row r="165" spans="1:13" s="3" customFormat="1" ht="12" customHeight="1" x14ac:dyDescent="0.15">
      <c r="A165" s="1" t="s">
        <v>505</v>
      </c>
      <c r="B165" s="2" t="s">
        <v>317</v>
      </c>
      <c r="C165" s="6">
        <v>1</v>
      </c>
      <c r="D165" s="2" t="s">
        <v>546</v>
      </c>
      <c r="E165" s="6">
        <v>5110</v>
      </c>
      <c r="F165" s="18"/>
      <c r="G165" s="24" t="s">
        <v>279</v>
      </c>
      <c r="H165" s="24" t="s">
        <v>279</v>
      </c>
      <c r="I165" s="18"/>
      <c r="J165" s="24" t="s">
        <v>279</v>
      </c>
      <c r="K165" s="24" t="s">
        <v>279</v>
      </c>
      <c r="L165" s="24" t="s">
        <v>279</v>
      </c>
      <c r="M165" s="8"/>
    </row>
    <row r="166" spans="1:13" s="3" customFormat="1" ht="12" customHeight="1" x14ac:dyDescent="0.15">
      <c r="A166" s="1" t="s">
        <v>506</v>
      </c>
      <c r="B166" s="6">
        <v>6</v>
      </c>
      <c r="C166" s="6">
        <v>2</v>
      </c>
      <c r="D166" s="2" t="s">
        <v>546</v>
      </c>
      <c r="E166" s="6">
        <v>5120</v>
      </c>
      <c r="F166" s="18"/>
      <c r="G166" s="24" t="s">
        <v>279</v>
      </c>
      <c r="H166" s="24" t="s">
        <v>279</v>
      </c>
      <c r="I166" s="18"/>
      <c r="J166" s="24" t="s">
        <v>279</v>
      </c>
      <c r="K166" s="24" t="s">
        <v>279</v>
      </c>
      <c r="L166" s="24" t="s">
        <v>279</v>
      </c>
      <c r="M166" s="8"/>
    </row>
    <row r="167" spans="1:13" s="3" customFormat="1" ht="12" customHeight="1" x14ac:dyDescent="0.15">
      <c r="A167" s="1" t="s">
        <v>508</v>
      </c>
      <c r="B167" s="2" t="s">
        <v>317</v>
      </c>
      <c r="C167" s="6">
        <v>3</v>
      </c>
      <c r="D167" s="2" t="s">
        <v>546</v>
      </c>
      <c r="E167" s="6">
        <v>5130</v>
      </c>
      <c r="F167" s="18"/>
      <c r="G167" s="24" t="s">
        <v>279</v>
      </c>
      <c r="H167" s="24" t="s">
        <v>279</v>
      </c>
      <c r="I167" s="18"/>
      <c r="J167" s="24" t="s">
        <v>279</v>
      </c>
      <c r="K167" s="24" t="s">
        <v>279</v>
      </c>
      <c r="L167" s="24" t="s">
        <v>279</v>
      </c>
      <c r="M167" s="8"/>
    </row>
    <row r="168" spans="1:13" s="3" customFormat="1" ht="12" customHeight="1" thickBot="1" x14ac:dyDescent="0.2">
      <c r="A168" s="1" t="s">
        <v>507</v>
      </c>
      <c r="B168" s="2" t="s">
        <v>317</v>
      </c>
      <c r="C168" s="6">
        <v>4</v>
      </c>
      <c r="D168" s="2" t="s">
        <v>546</v>
      </c>
      <c r="E168" s="6">
        <v>5140</v>
      </c>
      <c r="F168" s="18"/>
      <c r="G168" s="24" t="s">
        <v>279</v>
      </c>
      <c r="H168" s="24" t="s">
        <v>279</v>
      </c>
      <c r="I168" s="18"/>
      <c r="J168" s="24" t="s">
        <v>279</v>
      </c>
      <c r="K168" s="24" t="s">
        <v>279</v>
      </c>
      <c r="L168" s="24" t="s">
        <v>279</v>
      </c>
      <c r="M168" s="8"/>
    </row>
    <row r="169" spans="1:13" s="3" customFormat="1" ht="12" customHeight="1" thickTop="1" x14ac:dyDescent="0.15">
      <c r="A169" s="38" t="s">
        <v>555</v>
      </c>
      <c r="B169" s="39" t="s">
        <v>317</v>
      </c>
      <c r="C169" s="44">
        <v>5</v>
      </c>
      <c r="D169" s="39" t="s">
        <v>546</v>
      </c>
      <c r="E169" s="44">
        <v>5100</v>
      </c>
      <c r="F169" s="41">
        <f>SUM(F165:F168)</f>
        <v>0</v>
      </c>
      <c r="G169" s="41" t="s">
        <v>279</v>
      </c>
      <c r="H169" s="41" t="s">
        <v>279</v>
      </c>
      <c r="I169" s="41">
        <f>SUM(I165:I168)</f>
        <v>0</v>
      </c>
      <c r="J169" s="45" t="s">
        <v>279</v>
      </c>
      <c r="K169" s="45" t="s">
        <v>279</v>
      </c>
      <c r="L169" s="45" t="s">
        <v>279</v>
      </c>
      <c r="M169" s="8"/>
    </row>
    <row r="170" spans="1:13" s="3" customFormat="1" ht="12" customHeight="1" x14ac:dyDescent="0.15">
      <c r="A170" s="30" t="s">
        <v>318</v>
      </c>
      <c r="B170" s="2"/>
      <c r="C170" s="2"/>
      <c r="D170" s="2"/>
      <c r="E170" s="2"/>
      <c r="F170" s="24" t="s">
        <v>279</v>
      </c>
      <c r="G170" s="24" t="s">
        <v>279</v>
      </c>
      <c r="H170" s="24" t="s">
        <v>279</v>
      </c>
      <c r="I170" s="24" t="s">
        <v>279</v>
      </c>
      <c r="J170" s="24" t="s">
        <v>279</v>
      </c>
      <c r="K170" s="24" t="s">
        <v>279</v>
      </c>
      <c r="L170" s="24" t="s">
        <v>279</v>
      </c>
      <c r="M170" s="8"/>
    </row>
    <row r="171" spans="1:13" s="3" customFormat="1" ht="12" customHeight="1" x14ac:dyDescent="0.15">
      <c r="A171" s="1" t="s">
        <v>509</v>
      </c>
      <c r="B171" s="2" t="s">
        <v>317</v>
      </c>
      <c r="C171" s="6">
        <v>6</v>
      </c>
      <c r="D171" s="2" t="s">
        <v>546</v>
      </c>
      <c r="E171" s="6">
        <v>5210</v>
      </c>
      <c r="F171" s="24" t="s">
        <v>279</v>
      </c>
      <c r="G171" s="18">
        <v>66526</v>
      </c>
      <c r="H171" s="18">
        <v>2703</v>
      </c>
      <c r="I171" s="18">
        <v>0</v>
      </c>
      <c r="J171" s="18">
        <v>75000</v>
      </c>
      <c r="K171" s="24" t="s">
        <v>279</v>
      </c>
      <c r="L171" s="24" t="s">
        <v>279</v>
      </c>
      <c r="M171" s="8"/>
    </row>
    <row r="172" spans="1:13" s="3" customFormat="1" ht="12" customHeight="1" x14ac:dyDescent="0.15">
      <c r="A172" s="1" t="s">
        <v>510</v>
      </c>
      <c r="B172" s="2" t="s">
        <v>317</v>
      </c>
      <c r="C172" s="6">
        <v>7</v>
      </c>
      <c r="D172" s="2" t="s">
        <v>546</v>
      </c>
      <c r="E172" s="6">
        <v>5221</v>
      </c>
      <c r="F172" s="18"/>
      <c r="G172" s="24" t="s">
        <v>279</v>
      </c>
      <c r="H172" s="18"/>
      <c r="I172" s="18"/>
      <c r="J172" s="18"/>
      <c r="K172" s="24" t="s">
        <v>279</v>
      </c>
      <c r="L172" s="24" t="s">
        <v>279</v>
      </c>
      <c r="M172" s="8"/>
    </row>
    <row r="173" spans="1:13" s="3" customFormat="1" ht="12" customHeight="1" x14ac:dyDescent="0.15">
      <c r="A173" s="3" t="s">
        <v>511</v>
      </c>
      <c r="B173" s="2" t="s">
        <v>317</v>
      </c>
      <c r="C173" s="6">
        <v>8</v>
      </c>
      <c r="D173" s="2" t="s">
        <v>546</v>
      </c>
      <c r="E173" s="6">
        <v>5222</v>
      </c>
      <c r="F173" s="18"/>
      <c r="G173" s="18"/>
      <c r="H173" s="24" t="s">
        <v>279</v>
      </c>
      <c r="I173" s="18"/>
      <c r="J173" s="18"/>
      <c r="K173" s="24" t="s">
        <v>279</v>
      </c>
      <c r="L173" s="24" t="s">
        <v>279</v>
      </c>
      <c r="M173" s="8"/>
    </row>
    <row r="174" spans="1:13" s="3" customFormat="1" ht="12" customHeight="1" thickBot="1" x14ac:dyDescent="0.2">
      <c r="A174" s="3" t="s">
        <v>512</v>
      </c>
      <c r="B174" s="2" t="s">
        <v>317</v>
      </c>
      <c r="C174" s="6">
        <v>9</v>
      </c>
      <c r="D174" s="2" t="s">
        <v>546</v>
      </c>
      <c r="E174" s="6">
        <v>5230</v>
      </c>
      <c r="F174" s="18"/>
      <c r="G174" s="18"/>
      <c r="H174" s="18"/>
      <c r="I174" s="24" t="s">
        <v>279</v>
      </c>
      <c r="J174" s="18"/>
      <c r="K174" s="24" t="s">
        <v>279</v>
      </c>
      <c r="L174" s="24" t="s">
        <v>279</v>
      </c>
      <c r="M174" s="8"/>
    </row>
    <row r="175" spans="1:13" s="3" customFormat="1" ht="12" customHeight="1" thickTop="1" x14ac:dyDescent="0.15">
      <c r="A175" s="38" t="s">
        <v>530</v>
      </c>
      <c r="B175" s="39" t="s">
        <v>317</v>
      </c>
      <c r="C175" s="44">
        <v>10</v>
      </c>
      <c r="D175" s="39" t="s">
        <v>546</v>
      </c>
      <c r="E175" s="44">
        <v>5200</v>
      </c>
      <c r="F175" s="41">
        <f>SUM(F171:F174)</f>
        <v>0</v>
      </c>
      <c r="G175" s="41">
        <f>SUM(G171:G174)</f>
        <v>66526</v>
      </c>
      <c r="H175" s="41">
        <f>SUM(H171:H174)</f>
        <v>2703</v>
      </c>
      <c r="I175" s="41">
        <f>SUM(I171:I174)</f>
        <v>0</v>
      </c>
      <c r="J175" s="41">
        <f>SUM(J171:J174)</f>
        <v>75000</v>
      </c>
      <c r="K175" s="45" t="s">
        <v>279</v>
      </c>
      <c r="L175" s="45" t="s">
        <v>279</v>
      </c>
      <c r="M175" s="8"/>
    </row>
    <row r="176" spans="1:13" s="3" customFormat="1" ht="12" customHeight="1" x14ac:dyDescent="0.15">
      <c r="A176" s="30" t="s">
        <v>319</v>
      </c>
      <c r="B176" s="2"/>
      <c r="C176" s="6"/>
      <c r="D176" s="6"/>
      <c r="E176" s="6"/>
      <c r="F176" s="24" t="s">
        <v>279</v>
      </c>
      <c r="G176" s="24" t="s">
        <v>279</v>
      </c>
      <c r="H176" s="24" t="s">
        <v>279</v>
      </c>
      <c r="I176" s="24" t="s">
        <v>279</v>
      </c>
      <c r="J176" s="24" t="s">
        <v>279</v>
      </c>
      <c r="K176" s="24" t="s">
        <v>279</v>
      </c>
      <c r="L176" s="24" t="s">
        <v>279</v>
      </c>
      <c r="M176" s="8"/>
    </row>
    <row r="177" spans="1:13" s="3" customFormat="1" ht="12" customHeight="1" x14ac:dyDescent="0.15">
      <c r="A177" s="1" t="s">
        <v>513</v>
      </c>
      <c r="B177" s="2" t="s">
        <v>317</v>
      </c>
      <c r="C177" s="6">
        <v>11</v>
      </c>
      <c r="D177" s="2" t="s">
        <v>546</v>
      </c>
      <c r="E177" s="6">
        <v>5251</v>
      </c>
      <c r="F177" s="18">
        <v>0</v>
      </c>
      <c r="G177" s="18">
        <v>0</v>
      </c>
      <c r="H177" s="18"/>
      <c r="I177" s="18"/>
      <c r="J177" s="24" t="s">
        <v>279</v>
      </c>
      <c r="K177" s="24" t="s">
        <v>279</v>
      </c>
      <c r="L177" s="24" t="s">
        <v>279</v>
      </c>
      <c r="M177" s="8"/>
    </row>
    <row r="178" spans="1:13" s="3" customFormat="1" ht="12" customHeight="1" x14ac:dyDescent="0.15">
      <c r="A178" s="1" t="s">
        <v>514</v>
      </c>
      <c r="B178" s="2" t="s">
        <v>317</v>
      </c>
      <c r="C178" s="6">
        <v>12</v>
      </c>
      <c r="D178" s="2" t="s">
        <v>546</v>
      </c>
      <c r="E178" s="6">
        <v>5252</v>
      </c>
      <c r="F178" s="18"/>
      <c r="G178" s="18"/>
      <c r="H178" s="18"/>
      <c r="I178" s="18">
        <v>0</v>
      </c>
      <c r="J178" s="24" t="s">
        <v>279</v>
      </c>
      <c r="K178" s="24" t="s">
        <v>279</v>
      </c>
      <c r="L178" s="24" t="s">
        <v>279</v>
      </c>
      <c r="M178" s="8"/>
    </row>
    <row r="179" spans="1:13" s="3" customFormat="1" ht="12" customHeight="1" thickBot="1" x14ac:dyDescent="0.2">
      <c r="A179" s="1" t="s">
        <v>515</v>
      </c>
      <c r="B179" s="2" t="s">
        <v>317</v>
      </c>
      <c r="C179" s="6">
        <v>13</v>
      </c>
      <c r="D179" s="2" t="s">
        <v>546</v>
      </c>
      <c r="E179" s="6">
        <v>5253</v>
      </c>
      <c r="F179" s="18"/>
      <c r="G179" s="18"/>
      <c r="H179" s="18"/>
      <c r="I179" s="18"/>
      <c r="J179" s="24" t="s">
        <v>279</v>
      </c>
      <c r="K179" s="24" t="s">
        <v>279</v>
      </c>
      <c r="L179" s="24" t="s">
        <v>279</v>
      </c>
      <c r="M179" s="8"/>
    </row>
    <row r="180" spans="1:13" s="3" customFormat="1" ht="12" customHeight="1" thickTop="1" x14ac:dyDescent="0.15">
      <c r="A180" s="38" t="s">
        <v>531</v>
      </c>
      <c r="B180" s="39" t="s">
        <v>317</v>
      </c>
      <c r="C180" s="40">
        <v>14</v>
      </c>
      <c r="D180" s="39" t="s">
        <v>546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279</v>
      </c>
      <c r="K180" s="45" t="s">
        <v>279</v>
      </c>
      <c r="L180" s="45" t="s">
        <v>279</v>
      </c>
      <c r="M180" s="8"/>
    </row>
    <row r="181" spans="1:13" ht="12" customHeight="1" x14ac:dyDescent="0.2">
      <c r="A181" s="3" t="s">
        <v>320</v>
      </c>
      <c r="B181" s="2" t="s">
        <v>317</v>
      </c>
      <c r="C181" s="6">
        <v>15</v>
      </c>
      <c r="D181" s="2" t="s">
        <v>546</v>
      </c>
      <c r="E181" s="6">
        <v>5300</v>
      </c>
      <c r="F181" s="18"/>
      <c r="G181" s="18"/>
      <c r="H181" s="18"/>
      <c r="I181" s="18"/>
      <c r="J181" s="24" t="s">
        <v>279</v>
      </c>
      <c r="K181" s="24" t="s">
        <v>279</v>
      </c>
      <c r="L181" s="24" t="s">
        <v>279</v>
      </c>
    </row>
    <row r="182" spans="1:13" ht="12" customHeight="1" x14ac:dyDescent="0.2">
      <c r="A182" s="3" t="s">
        <v>465</v>
      </c>
      <c r="B182" s="2" t="s">
        <v>317</v>
      </c>
      <c r="C182" s="6">
        <v>16</v>
      </c>
      <c r="D182" s="2" t="s">
        <v>546</v>
      </c>
      <c r="E182" s="6">
        <v>5500</v>
      </c>
      <c r="F182" s="18"/>
      <c r="G182" s="18"/>
      <c r="H182" s="18"/>
      <c r="I182" s="18"/>
      <c r="J182" s="24" t="s">
        <v>279</v>
      </c>
      <c r="K182" s="24" t="s">
        <v>279</v>
      </c>
      <c r="L182" s="24" t="s">
        <v>279</v>
      </c>
    </row>
    <row r="183" spans="1:13" s="3" customFormat="1" ht="12" customHeight="1" thickBot="1" x14ac:dyDescent="0.2">
      <c r="A183" s="1" t="s">
        <v>466</v>
      </c>
      <c r="B183" s="2" t="s">
        <v>317</v>
      </c>
      <c r="C183" s="6">
        <v>17</v>
      </c>
      <c r="D183" s="2" t="s">
        <v>546</v>
      </c>
      <c r="E183" s="6">
        <v>5600</v>
      </c>
      <c r="F183" s="18"/>
      <c r="G183" s="18"/>
      <c r="H183" s="18"/>
      <c r="I183" s="18"/>
      <c r="J183" s="24" t="s">
        <v>279</v>
      </c>
      <c r="K183" s="24" t="s">
        <v>279</v>
      </c>
      <c r="L183" s="24" t="s">
        <v>279</v>
      </c>
      <c r="M183" s="8"/>
    </row>
    <row r="184" spans="1:13" s="3" customFormat="1" ht="12" customHeight="1" thickTop="1" thickBot="1" x14ac:dyDescent="0.25">
      <c r="A184" s="38" t="s">
        <v>532</v>
      </c>
      <c r="B184" s="39" t="s">
        <v>317</v>
      </c>
      <c r="C184" s="40">
        <v>18</v>
      </c>
      <c r="D184" s="156" t="s">
        <v>546</v>
      </c>
      <c r="E184" s="51">
        <v>5000</v>
      </c>
      <c r="F184" s="41">
        <f>F169+F175+SUM(F180:F183)</f>
        <v>0</v>
      </c>
      <c r="G184" s="41">
        <f>G175+SUM(G180:G183)</f>
        <v>66526</v>
      </c>
      <c r="H184" s="41">
        <f>+H175+SUM(H180:H183)</f>
        <v>2703</v>
      </c>
      <c r="I184" s="41">
        <f>I169+I175+SUM(I180:I183)</f>
        <v>0</v>
      </c>
      <c r="J184" s="41">
        <f>J175</f>
        <v>75000</v>
      </c>
      <c r="K184" s="45" t="s">
        <v>279</v>
      </c>
      <c r="L184" s="45" t="s">
        <v>279</v>
      </c>
      <c r="M184" s="8"/>
    </row>
    <row r="185" spans="1:13" s="3" customFormat="1" ht="12" customHeight="1" thickTop="1" x14ac:dyDescent="0.2">
      <c r="A185" s="46" t="s">
        <v>431</v>
      </c>
      <c r="B185" s="39" t="s">
        <v>317</v>
      </c>
      <c r="C185" s="40">
        <v>19</v>
      </c>
      <c r="D185" s="157" t="s">
        <v>546</v>
      </c>
      <c r="E185" s="44"/>
      <c r="F185" s="47">
        <f>F104+F132+F161+F184</f>
        <v>14583021</v>
      </c>
      <c r="G185" s="47">
        <f>G104+G132+G161+G184</f>
        <v>372267</v>
      </c>
      <c r="H185" s="47">
        <f>H104+H132+H161+H184</f>
        <v>503889</v>
      </c>
      <c r="I185" s="47">
        <f>I104+I132+I161+I184</f>
        <v>0</v>
      </c>
      <c r="J185" s="47">
        <f>J104+J132+J184</f>
        <v>76218</v>
      </c>
      <c r="K185" s="45" t="s">
        <v>279</v>
      </c>
      <c r="L185" s="45" t="s">
        <v>279</v>
      </c>
      <c r="M185" s="8"/>
    </row>
    <row r="186" spans="1:13" s="3" customFormat="1" ht="12" customHeight="1" x14ac:dyDescent="0.15">
      <c r="A186" s="55" t="s">
        <v>439</v>
      </c>
      <c r="B186" s="36"/>
      <c r="C186" s="58"/>
      <c r="D186" s="58"/>
      <c r="E186" s="58"/>
      <c r="F186" s="177" t="s">
        <v>696</v>
      </c>
      <c r="G186" s="177" t="s">
        <v>697</v>
      </c>
      <c r="H186" s="177" t="s">
        <v>828</v>
      </c>
      <c r="I186" s="177" t="s">
        <v>829</v>
      </c>
      <c r="J186" s="177" t="s">
        <v>830</v>
      </c>
      <c r="K186" s="177" t="s">
        <v>698</v>
      </c>
      <c r="L186" s="56"/>
      <c r="M186" s="8"/>
    </row>
    <row r="187" spans="1:13" s="3" customFormat="1" ht="12" customHeight="1" x14ac:dyDescent="0.15">
      <c r="A187" s="29" t="s">
        <v>425</v>
      </c>
      <c r="F187" s="103" t="s">
        <v>33</v>
      </c>
      <c r="G187" s="103" t="s">
        <v>34</v>
      </c>
      <c r="H187" s="103" t="s">
        <v>35</v>
      </c>
      <c r="I187" s="103" t="s">
        <v>36</v>
      </c>
      <c r="J187" s="103" t="s">
        <v>37</v>
      </c>
      <c r="K187" s="103" t="s">
        <v>38</v>
      </c>
      <c r="L187" s="103" t="s">
        <v>133</v>
      </c>
      <c r="M187" s="8"/>
    </row>
    <row r="188" spans="1:13" s="3" customFormat="1" ht="12" customHeight="1" x14ac:dyDescent="0.15">
      <c r="A188" s="30" t="s">
        <v>516</v>
      </c>
      <c r="F188" s="24" t="s">
        <v>279</v>
      </c>
      <c r="G188" s="24" t="s">
        <v>279</v>
      </c>
      <c r="H188" s="24" t="s">
        <v>279</v>
      </c>
      <c r="I188" s="24" t="s">
        <v>279</v>
      </c>
      <c r="J188" s="24" t="s">
        <v>279</v>
      </c>
      <c r="K188" s="24" t="s">
        <v>279</v>
      </c>
      <c r="L188" s="24" t="s">
        <v>279</v>
      </c>
      <c r="M188" s="8"/>
    </row>
    <row r="189" spans="1:13" s="3" customFormat="1" ht="12" customHeight="1" x14ac:dyDescent="0.15">
      <c r="A189" s="1" t="s">
        <v>556</v>
      </c>
      <c r="B189" s="2" t="s">
        <v>325</v>
      </c>
      <c r="C189" s="2" t="s">
        <v>281</v>
      </c>
      <c r="D189" s="2" t="s">
        <v>547</v>
      </c>
      <c r="E189" s="6">
        <v>1100</v>
      </c>
      <c r="F189" s="18">
        <f>2053577+28952-3</f>
        <v>2082526</v>
      </c>
      <c r="G189" s="18">
        <f>692193+35057+2</f>
        <v>727252</v>
      </c>
      <c r="H189" s="18">
        <f>985+6137+37</f>
        <v>7159</v>
      </c>
      <c r="I189" s="18">
        <f>52119</f>
        <v>52119</v>
      </c>
      <c r="J189" s="18">
        <f>14146+10617</f>
        <v>24763</v>
      </c>
      <c r="K189" s="18">
        <v>993</v>
      </c>
      <c r="L189" s="19">
        <f>SUM(F189:K189)</f>
        <v>2894812</v>
      </c>
      <c r="M189" s="8"/>
    </row>
    <row r="190" spans="1:13" s="3" customFormat="1" ht="12" customHeight="1" x14ac:dyDescent="0.15">
      <c r="A190" s="1" t="s">
        <v>557</v>
      </c>
      <c r="B190" s="2" t="s">
        <v>325</v>
      </c>
      <c r="C190" s="2" t="s">
        <v>282</v>
      </c>
      <c r="D190" s="2" t="s">
        <v>547</v>
      </c>
      <c r="E190" s="6">
        <v>1200</v>
      </c>
      <c r="F190" s="18">
        <f>924935+13116</f>
        <v>938051</v>
      </c>
      <c r="G190" s="18">
        <f>230219+1610</f>
        <v>231829</v>
      </c>
      <c r="H190" s="18">
        <f>264+26064+41924-41096+12204</f>
        <v>39360</v>
      </c>
      <c r="I190" s="18">
        <f>2729+2568</f>
        <v>5297</v>
      </c>
      <c r="J190" s="18">
        <f>911+84</f>
        <v>995</v>
      </c>
      <c r="K190" s="18">
        <v>190</v>
      </c>
      <c r="L190" s="19">
        <f>SUM(F190:K190)</f>
        <v>1215722</v>
      </c>
      <c r="M190" s="8"/>
    </row>
    <row r="191" spans="1:13" s="3" customFormat="1" ht="12" customHeight="1" x14ac:dyDescent="0.15">
      <c r="A191" s="1" t="s">
        <v>558</v>
      </c>
      <c r="B191" s="2" t="s">
        <v>325</v>
      </c>
      <c r="C191" s="2" t="s">
        <v>283</v>
      </c>
      <c r="D191" s="2" t="s">
        <v>547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559</v>
      </c>
      <c r="B192" s="2" t="s">
        <v>325</v>
      </c>
      <c r="C192" s="2" t="s">
        <v>284</v>
      </c>
      <c r="D192" s="2" t="s">
        <v>547</v>
      </c>
      <c r="E192" s="6">
        <v>1400</v>
      </c>
      <c r="F192" s="18">
        <v>2076</v>
      </c>
      <c r="G192" s="18">
        <v>272</v>
      </c>
      <c r="H192" s="18"/>
      <c r="I192" s="18"/>
      <c r="J192" s="18"/>
      <c r="K192" s="18">
        <v>0</v>
      </c>
      <c r="L192" s="19">
        <f>SUM(F192:K192)</f>
        <v>2348</v>
      </c>
      <c r="M192" s="8"/>
    </row>
    <row r="193" spans="1:13" s="3" customFormat="1" ht="12" customHeight="1" x14ac:dyDescent="0.15">
      <c r="A193" s="30" t="s">
        <v>326</v>
      </c>
      <c r="E193" s="6"/>
      <c r="F193" s="24" t="s">
        <v>279</v>
      </c>
      <c r="G193" s="24" t="s">
        <v>279</v>
      </c>
      <c r="H193" s="24" t="s">
        <v>279</v>
      </c>
      <c r="I193" s="24" t="s">
        <v>279</v>
      </c>
      <c r="J193" s="24" t="s">
        <v>279</v>
      </c>
      <c r="K193" s="24" t="s">
        <v>279</v>
      </c>
      <c r="L193" s="24" t="s">
        <v>279</v>
      </c>
      <c r="M193" s="8"/>
    </row>
    <row r="194" spans="1:13" s="3" customFormat="1" ht="12" customHeight="1" x14ac:dyDescent="0.15">
      <c r="A194" s="1" t="s">
        <v>560</v>
      </c>
      <c r="B194" s="2" t="s">
        <v>325</v>
      </c>
      <c r="C194" s="2" t="s">
        <v>285</v>
      </c>
      <c r="D194" s="2" t="s">
        <v>547</v>
      </c>
      <c r="E194" s="6">
        <v>2100</v>
      </c>
      <c r="F194" s="18">
        <f>360850+87978</f>
        <v>448828</v>
      </c>
      <c r="G194" s="18">
        <f>106035+11119</f>
        <v>117154</v>
      </c>
      <c r="H194" s="18">
        <f>221+28925+723</f>
        <v>29869</v>
      </c>
      <c r="I194" s="18">
        <f>3920+540</f>
        <v>4460</v>
      </c>
      <c r="J194" s="18">
        <f>483+882</f>
        <v>1365</v>
      </c>
      <c r="K194" s="18">
        <v>0</v>
      </c>
      <c r="L194" s="19">
        <f t="shared" ref="L194:L200" si="0">SUM(F194:K194)</f>
        <v>601676</v>
      </c>
      <c r="M194" s="8"/>
    </row>
    <row r="195" spans="1:13" s="3" customFormat="1" ht="12" customHeight="1" x14ac:dyDescent="0.15">
      <c r="A195" s="1" t="s">
        <v>561</v>
      </c>
      <c r="B195" s="2" t="s">
        <v>325</v>
      </c>
      <c r="C195" s="2" t="s">
        <v>286</v>
      </c>
      <c r="D195" s="2" t="s">
        <v>547</v>
      </c>
      <c r="E195" s="6">
        <v>2200</v>
      </c>
      <c r="F195" s="18">
        <f>116382+80691</f>
        <v>197073</v>
      </c>
      <c r="G195" s="18">
        <f>47305+27971</f>
        <v>75276</v>
      </c>
      <c r="H195" s="18">
        <f>30551+13371+30858+3165</f>
        <v>77945</v>
      </c>
      <c r="I195" s="18">
        <f>20860+12486</f>
        <v>33346</v>
      </c>
      <c r="J195" s="18">
        <f>6621+18248</f>
        <v>24869</v>
      </c>
      <c r="K195" s="18">
        <f>1160+8783+1160</f>
        <v>11103</v>
      </c>
      <c r="L195" s="19">
        <f t="shared" si="0"/>
        <v>419612</v>
      </c>
      <c r="M195" s="8"/>
    </row>
    <row r="196" spans="1:13" s="3" customFormat="1" ht="12" customHeight="1" x14ac:dyDescent="0.15">
      <c r="A196" s="1" t="s">
        <v>419</v>
      </c>
      <c r="B196" s="2" t="s">
        <v>325</v>
      </c>
      <c r="C196" s="2" t="s">
        <v>287</v>
      </c>
      <c r="D196" s="2" t="s">
        <v>547</v>
      </c>
      <c r="E196" s="6">
        <v>2300</v>
      </c>
      <c r="F196" s="18">
        <v>146596</v>
      </c>
      <c r="G196" s="18">
        <v>56589</v>
      </c>
      <c r="H196" s="18">
        <f>28955+295+13187+1</f>
        <v>42438</v>
      </c>
      <c r="I196" s="18">
        <v>5709</v>
      </c>
      <c r="J196" s="18">
        <v>1252</v>
      </c>
      <c r="K196" s="18">
        <v>9637</v>
      </c>
      <c r="L196" s="19">
        <f t="shared" si="0"/>
        <v>262221</v>
      </c>
      <c r="M196" s="8"/>
    </row>
    <row r="197" spans="1:13" s="3" customFormat="1" ht="12" customHeight="1" x14ac:dyDescent="0.15">
      <c r="A197" s="1" t="s">
        <v>420</v>
      </c>
      <c r="B197" s="2" t="s">
        <v>325</v>
      </c>
      <c r="C197" s="2" t="s">
        <v>288</v>
      </c>
      <c r="D197" s="2" t="s">
        <v>547</v>
      </c>
      <c r="E197" s="6">
        <v>2400</v>
      </c>
      <c r="F197" s="18">
        <v>237041</v>
      </c>
      <c r="G197" s="18">
        <v>90562</v>
      </c>
      <c r="H197" s="18">
        <v>14700</v>
      </c>
      <c r="I197" s="18">
        <v>1530</v>
      </c>
      <c r="J197" s="18">
        <v>385</v>
      </c>
      <c r="K197" s="18">
        <v>2381</v>
      </c>
      <c r="L197" s="19">
        <f t="shared" si="0"/>
        <v>346599</v>
      </c>
      <c r="M197" s="8"/>
    </row>
    <row r="198" spans="1:13" s="3" customFormat="1" ht="12" customHeight="1" x14ac:dyDescent="0.15">
      <c r="A198" s="1" t="s">
        <v>421</v>
      </c>
      <c r="B198" s="2" t="s">
        <v>325</v>
      </c>
      <c r="C198" s="2" t="s">
        <v>289</v>
      </c>
      <c r="D198" s="2" t="s">
        <v>547</v>
      </c>
      <c r="E198" s="6">
        <v>2500</v>
      </c>
      <c r="F198" s="18">
        <v>84118</v>
      </c>
      <c r="G198" s="18">
        <v>29761</v>
      </c>
      <c r="H198" s="18"/>
      <c r="I198" s="18"/>
      <c r="J198" s="18"/>
      <c r="K198" s="18"/>
      <c r="L198" s="19">
        <f t="shared" si="0"/>
        <v>113879</v>
      </c>
      <c r="M198" s="8"/>
    </row>
    <row r="199" spans="1:13" s="3" customFormat="1" ht="12" customHeight="1" x14ac:dyDescent="0.15">
      <c r="A199" s="1" t="s">
        <v>422</v>
      </c>
      <c r="B199" s="2" t="s">
        <v>325</v>
      </c>
      <c r="C199" s="2" t="s">
        <v>290</v>
      </c>
      <c r="D199" s="2" t="s">
        <v>547</v>
      </c>
      <c r="E199" s="6">
        <v>2600</v>
      </c>
      <c r="F199" s="18">
        <f>196467+26334</f>
        <v>222801</v>
      </c>
      <c r="G199" s="18">
        <f>97359+9908</f>
        <v>107267</v>
      </c>
      <c r="H199" s="18">
        <f>50000+4177+1473+19974</f>
        <v>75624</v>
      </c>
      <c r="I199" s="18">
        <f>126624+4786</f>
        <v>131410</v>
      </c>
      <c r="J199" s="18">
        <f>7520+93</f>
        <v>7613</v>
      </c>
      <c r="K199" s="18">
        <v>21</v>
      </c>
      <c r="L199" s="19">
        <f t="shared" si="0"/>
        <v>544736</v>
      </c>
      <c r="M199" s="8"/>
    </row>
    <row r="200" spans="1:13" s="3" customFormat="1" ht="12" customHeight="1" x14ac:dyDescent="0.15">
      <c r="A200" s="1" t="s">
        <v>567</v>
      </c>
      <c r="B200" s="2" t="s">
        <v>325</v>
      </c>
      <c r="C200" s="2" t="s">
        <v>291</v>
      </c>
      <c r="D200" s="2" t="s">
        <v>547</v>
      </c>
      <c r="E200" s="6">
        <v>2700</v>
      </c>
      <c r="F200" s="18">
        <f>2856+16189</f>
        <v>19045</v>
      </c>
      <c r="G200" s="18">
        <f>613+4339</f>
        <v>4952</v>
      </c>
      <c r="H200" s="18">
        <f>2598+2826+194089+1</f>
        <v>199514</v>
      </c>
      <c r="I200" s="18">
        <v>3000</v>
      </c>
      <c r="J200" s="18">
        <v>12231</v>
      </c>
      <c r="K200" s="18">
        <v>63</v>
      </c>
      <c r="L200" s="19">
        <f t="shared" si="0"/>
        <v>238805</v>
      </c>
      <c r="M200" s="8"/>
    </row>
    <row r="201" spans="1:13" s="3" customFormat="1" ht="12" customHeight="1" x14ac:dyDescent="0.15">
      <c r="A201" s="1" t="s">
        <v>568</v>
      </c>
      <c r="B201" s="2" t="s">
        <v>325</v>
      </c>
      <c r="C201" s="2" t="s">
        <v>327</v>
      </c>
      <c r="D201" s="2" t="s">
        <v>547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424</v>
      </c>
      <c r="B202" s="2" t="s">
        <v>325</v>
      </c>
      <c r="C202" s="2" t="s">
        <v>328</v>
      </c>
      <c r="D202" s="2" t="s">
        <v>547</v>
      </c>
      <c r="E202" s="6">
        <v>2900</v>
      </c>
      <c r="F202" s="24" t="s">
        <v>279</v>
      </c>
      <c r="G202" s="24" t="s">
        <v>279</v>
      </c>
      <c r="H202" s="24" t="s">
        <v>279</v>
      </c>
      <c r="I202" s="24" t="s">
        <v>279</v>
      </c>
      <c r="J202" s="24" t="s">
        <v>279</v>
      </c>
      <c r="K202" s="24" t="s">
        <v>279</v>
      </c>
      <c r="L202" s="24" t="s">
        <v>279</v>
      </c>
      <c r="M202" s="8"/>
    </row>
    <row r="203" spans="1:13" s="3" customFormat="1" ht="12" customHeight="1" thickTop="1" x14ac:dyDescent="0.15">
      <c r="A203" s="38" t="s">
        <v>399</v>
      </c>
      <c r="B203" s="39" t="s">
        <v>325</v>
      </c>
      <c r="C203" s="39" t="s">
        <v>329</v>
      </c>
      <c r="D203" s="39" t="s">
        <v>547</v>
      </c>
      <c r="E203" s="39"/>
      <c r="F203" s="41">
        <f t="shared" ref="F203:L203" si="1">SUM(F189:F202)</f>
        <v>4378155</v>
      </c>
      <c r="G203" s="41">
        <f t="shared" si="1"/>
        <v>1440914</v>
      </c>
      <c r="H203" s="41">
        <f t="shared" si="1"/>
        <v>486609</v>
      </c>
      <c r="I203" s="41">
        <f t="shared" si="1"/>
        <v>236871</v>
      </c>
      <c r="J203" s="41">
        <f t="shared" si="1"/>
        <v>73473</v>
      </c>
      <c r="K203" s="41">
        <f t="shared" si="1"/>
        <v>24388</v>
      </c>
      <c r="L203" s="41">
        <f t="shared" si="1"/>
        <v>6640410</v>
      </c>
      <c r="M203" s="8"/>
    </row>
    <row r="204" spans="1:13" s="3" customFormat="1" ht="12" customHeight="1" x14ac:dyDescent="0.15">
      <c r="A204" s="55" t="s">
        <v>439</v>
      </c>
      <c r="B204" s="36"/>
      <c r="C204" s="36"/>
      <c r="D204" s="36"/>
      <c r="E204" s="36"/>
      <c r="F204" s="177" t="s">
        <v>696</v>
      </c>
      <c r="G204" s="177" t="s">
        <v>697</v>
      </c>
      <c r="H204" s="177" t="s">
        <v>828</v>
      </c>
      <c r="I204" s="177" t="s">
        <v>829</v>
      </c>
      <c r="J204" s="177" t="s">
        <v>830</v>
      </c>
      <c r="K204" s="177" t="s">
        <v>698</v>
      </c>
      <c r="L204" s="67"/>
      <c r="M204" s="8"/>
    </row>
    <row r="205" spans="1:13" s="3" customFormat="1" ht="12" customHeight="1" x14ac:dyDescent="0.15">
      <c r="A205" s="29" t="s">
        <v>426</v>
      </c>
      <c r="B205" s="7"/>
      <c r="C205" s="7"/>
      <c r="D205" s="7"/>
      <c r="E205" s="7"/>
      <c r="F205" s="103" t="s">
        <v>33</v>
      </c>
      <c r="G205" s="103" t="s">
        <v>34</v>
      </c>
      <c r="H205" s="103" t="s">
        <v>35</v>
      </c>
      <c r="I205" s="103" t="s">
        <v>36</v>
      </c>
      <c r="J205" s="103" t="s">
        <v>37</v>
      </c>
      <c r="K205" s="103" t="s">
        <v>38</v>
      </c>
      <c r="L205" s="103" t="s">
        <v>133</v>
      </c>
      <c r="M205" s="8"/>
    </row>
    <row r="206" spans="1:13" s="3" customFormat="1" ht="12" customHeight="1" x14ac:dyDescent="0.15">
      <c r="A206" s="30" t="s">
        <v>516</v>
      </c>
      <c r="F206" s="24" t="s">
        <v>279</v>
      </c>
      <c r="G206" s="24" t="s">
        <v>279</v>
      </c>
      <c r="H206" s="24" t="s">
        <v>279</v>
      </c>
      <c r="I206" s="24" t="s">
        <v>279</v>
      </c>
      <c r="J206" s="24" t="s">
        <v>279</v>
      </c>
      <c r="K206" s="24" t="s">
        <v>279</v>
      </c>
      <c r="L206" s="24" t="s">
        <v>279</v>
      </c>
      <c r="M206" s="8"/>
    </row>
    <row r="207" spans="1:13" s="3" customFormat="1" ht="12" customHeight="1" x14ac:dyDescent="0.15">
      <c r="A207" s="1" t="s">
        <v>556</v>
      </c>
      <c r="B207" s="2" t="s">
        <v>330</v>
      </c>
      <c r="C207" s="2" t="s">
        <v>281</v>
      </c>
      <c r="D207" s="2" t="s">
        <v>547</v>
      </c>
      <c r="E207" s="6">
        <v>1100</v>
      </c>
      <c r="F207" s="18">
        <f>809374+9134-47</f>
        <v>818461</v>
      </c>
      <c r="G207" s="18">
        <f>276930+11061+47</f>
        <v>288038</v>
      </c>
      <c r="H207" s="18">
        <f>1295+1936+12</f>
        <v>3243</v>
      </c>
      <c r="I207" s="18">
        <v>22094</v>
      </c>
      <c r="J207" s="18">
        <f>9081+3350</f>
        <v>12431</v>
      </c>
      <c r="K207" s="18">
        <v>239</v>
      </c>
      <c r="L207" s="19">
        <f>SUM(F207:K207)</f>
        <v>1144506</v>
      </c>
      <c r="M207" s="8"/>
    </row>
    <row r="208" spans="1:13" s="3" customFormat="1" ht="12" customHeight="1" x14ac:dyDescent="0.15">
      <c r="A208" s="1" t="s">
        <v>557</v>
      </c>
      <c r="B208" s="2" t="s">
        <v>330</v>
      </c>
      <c r="C208" s="2" t="s">
        <v>282</v>
      </c>
      <c r="D208" s="2" t="s">
        <v>547</v>
      </c>
      <c r="E208" s="6">
        <v>1200</v>
      </c>
      <c r="F208" s="18">
        <f>295242+4138</f>
        <v>299380</v>
      </c>
      <c r="G208" s="18">
        <f>107639+508</f>
        <v>108147</v>
      </c>
      <c r="H208" s="18">
        <f>99+8223+13227+54541-13435</f>
        <v>62655</v>
      </c>
      <c r="I208" s="18">
        <f>1662+810</f>
        <v>2472</v>
      </c>
      <c r="J208" s="18">
        <f>100+27</f>
        <v>127</v>
      </c>
      <c r="K208" s="18">
        <v>60</v>
      </c>
      <c r="L208" s="19">
        <f>SUM(F208:K208)</f>
        <v>472841</v>
      </c>
      <c r="M208" s="8"/>
    </row>
    <row r="209" spans="1:13" s="3" customFormat="1" ht="12" customHeight="1" x14ac:dyDescent="0.15">
      <c r="A209" s="1" t="s">
        <v>558</v>
      </c>
      <c r="B209" s="2" t="s">
        <v>330</v>
      </c>
      <c r="C209" s="2" t="s">
        <v>283</v>
      </c>
      <c r="D209" s="2" t="s">
        <v>547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559</v>
      </c>
      <c r="B210" s="2" t="s">
        <v>330</v>
      </c>
      <c r="C210" s="2" t="s">
        <v>284</v>
      </c>
      <c r="D210" s="2" t="s">
        <v>547</v>
      </c>
      <c r="E210" s="6">
        <v>1400</v>
      </c>
      <c r="F210" s="18">
        <v>14516</v>
      </c>
      <c r="G210" s="18">
        <v>2061</v>
      </c>
      <c r="H210" s="18">
        <v>3800</v>
      </c>
      <c r="I210" s="18">
        <v>17</v>
      </c>
      <c r="J210" s="18">
        <v>0</v>
      </c>
      <c r="K210" s="18">
        <v>0</v>
      </c>
      <c r="L210" s="19">
        <f>SUM(F210:K210)</f>
        <v>20394</v>
      </c>
      <c r="M210" s="8"/>
    </row>
    <row r="211" spans="1:13" s="3" customFormat="1" ht="12" customHeight="1" x14ac:dyDescent="0.15">
      <c r="A211" s="30" t="s">
        <v>326</v>
      </c>
      <c r="B211" s="1" t="s">
        <v>292</v>
      </c>
      <c r="E211" s="6"/>
      <c r="F211" s="24" t="s">
        <v>279</v>
      </c>
      <c r="G211" s="24" t="s">
        <v>279</v>
      </c>
      <c r="H211" s="24" t="s">
        <v>279</v>
      </c>
      <c r="I211" s="24" t="s">
        <v>279</v>
      </c>
      <c r="J211" s="24" t="s">
        <v>279</v>
      </c>
      <c r="K211" s="24" t="s">
        <v>279</v>
      </c>
      <c r="L211" s="24" t="s">
        <v>279</v>
      </c>
      <c r="M211" s="8"/>
    </row>
    <row r="212" spans="1:13" s="3" customFormat="1" ht="12" customHeight="1" x14ac:dyDescent="0.15">
      <c r="A212" s="1" t="s">
        <v>560</v>
      </c>
      <c r="B212" s="2" t="s">
        <v>330</v>
      </c>
      <c r="C212" s="2" t="s">
        <v>285</v>
      </c>
      <c r="D212" s="2" t="s">
        <v>547</v>
      </c>
      <c r="E212" s="6">
        <v>2100</v>
      </c>
      <c r="F212" s="18">
        <f>74106+27757</f>
        <v>101863</v>
      </c>
      <c r="G212" s="18">
        <f>32173+3508</f>
        <v>35681</v>
      </c>
      <c r="H212" s="18">
        <f>9126+228</f>
        <v>9354</v>
      </c>
      <c r="I212" s="18">
        <f>1115+170</f>
        <v>1285</v>
      </c>
      <c r="J212" s="18">
        <f>289+278</f>
        <v>567</v>
      </c>
      <c r="K212" s="18">
        <v>0</v>
      </c>
      <c r="L212" s="19">
        <f t="shared" ref="L212:L218" si="2">SUM(F212:K212)</f>
        <v>148750</v>
      </c>
      <c r="M212" s="8"/>
    </row>
    <row r="213" spans="1:13" s="3" customFormat="1" ht="12" customHeight="1" x14ac:dyDescent="0.15">
      <c r="A213" s="1" t="s">
        <v>561</v>
      </c>
      <c r="B213" s="2" t="s">
        <v>330</v>
      </c>
      <c r="C213" s="2" t="s">
        <v>286</v>
      </c>
      <c r="D213" s="2" t="s">
        <v>547</v>
      </c>
      <c r="E213" s="6">
        <v>2200</v>
      </c>
      <c r="F213" s="18">
        <f>32413+25458</f>
        <v>57871</v>
      </c>
      <c r="G213" s="18">
        <f>16059+8825</f>
        <v>24884</v>
      </c>
      <c r="H213" s="18">
        <f>17021+4219+9735+999</f>
        <v>31974</v>
      </c>
      <c r="I213" s="18">
        <f>9962+3939</f>
        <v>13901</v>
      </c>
      <c r="J213" s="18">
        <f>460+5757</f>
        <v>6217</v>
      </c>
      <c r="K213" s="18">
        <f>536+2771</f>
        <v>3307</v>
      </c>
      <c r="L213" s="19">
        <f t="shared" si="2"/>
        <v>138154</v>
      </c>
      <c r="M213" s="8"/>
    </row>
    <row r="214" spans="1:13" s="3" customFormat="1" ht="12" customHeight="1" x14ac:dyDescent="0.15">
      <c r="A214" s="1" t="s">
        <v>419</v>
      </c>
      <c r="B214" s="2" t="s">
        <v>330</v>
      </c>
      <c r="C214" s="2" t="s">
        <v>287</v>
      </c>
      <c r="D214" s="2" t="s">
        <v>547</v>
      </c>
      <c r="E214" s="6">
        <v>2300</v>
      </c>
      <c r="F214" s="18">
        <v>46251</v>
      </c>
      <c r="G214" s="18">
        <v>17854</v>
      </c>
      <c r="H214" s="18">
        <f>9135+93+4160</f>
        <v>13388</v>
      </c>
      <c r="I214" s="18">
        <v>1801</v>
      </c>
      <c r="J214" s="18">
        <v>395</v>
      </c>
      <c r="K214" s="18">
        <v>3041</v>
      </c>
      <c r="L214" s="19">
        <f t="shared" si="2"/>
        <v>82730</v>
      </c>
      <c r="M214" s="8"/>
    </row>
    <row r="215" spans="1:13" s="3" customFormat="1" ht="12" customHeight="1" x14ac:dyDescent="0.15">
      <c r="A215" s="1" t="s">
        <v>420</v>
      </c>
      <c r="B215" s="2" t="s">
        <v>330</v>
      </c>
      <c r="C215" s="2" t="s">
        <v>288</v>
      </c>
      <c r="D215" s="2" t="s">
        <v>547</v>
      </c>
      <c r="E215" s="6">
        <v>2400</v>
      </c>
      <c r="F215" s="18">
        <v>87190</v>
      </c>
      <c r="G215" s="18">
        <v>35048</v>
      </c>
      <c r="H215" s="18">
        <v>7331</v>
      </c>
      <c r="I215" s="18">
        <v>2065</v>
      </c>
      <c r="J215" s="18">
        <v>248</v>
      </c>
      <c r="K215" s="18">
        <v>1562</v>
      </c>
      <c r="L215" s="19">
        <f t="shared" si="2"/>
        <v>133444</v>
      </c>
      <c r="M215" s="8"/>
    </row>
    <row r="216" spans="1:13" s="3" customFormat="1" ht="12" customHeight="1" x14ac:dyDescent="0.15">
      <c r="A216" s="1" t="s">
        <v>421</v>
      </c>
      <c r="B216" s="2" t="s">
        <v>330</v>
      </c>
      <c r="C216" s="2" t="s">
        <v>289</v>
      </c>
      <c r="D216" s="2" t="s">
        <v>547</v>
      </c>
      <c r="E216" s="6">
        <v>2500</v>
      </c>
      <c r="F216" s="18">
        <v>26539</v>
      </c>
      <c r="G216" s="18">
        <v>9390</v>
      </c>
      <c r="H216" s="18"/>
      <c r="I216" s="18"/>
      <c r="J216" s="18"/>
      <c r="K216" s="18"/>
      <c r="L216" s="19">
        <f t="shared" si="2"/>
        <v>35929</v>
      </c>
      <c r="M216" s="8"/>
    </row>
    <row r="217" spans="1:13" s="3" customFormat="1" ht="12" customHeight="1" x14ac:dyDescent="0.15">
      <c r="A217" s="1" t="s">
        <v>422</v>
      </c>
      <c r="B217" s="2" t="s">
        <v>330</v>
      </c>
      <c r="C217" s="2" t="s">
        <v>290</v>
      </c>
      <c r="D217" s="2" t="s">
        <v>547</v>
      </c>
      <c r="E217" s="6">
        <v>2600</v>
      </c>
      <c r="F217" s="18">
        <f>33635+8308</f>
        <v>41943</v>
      </c>
      <c r="G217" s="18">
        <f>11756+3126</f>
        <v>14882</v>
      </c>
      <c r="H217" s="18">
        <f>18454+1318+465+6301</f>
        <v>26538</v>
      </c>
      <c r="I217" s="18">
        <f>46655+1510</f>
        <v>48165</v>
      </c>
      <c r="J217" s="18">
        <f>587+29</f>
        <v>616</v>
      </c>
      <c r="K217" s="18">
        <v>7</v>
      </c>
      <c r="L217" s="19">
        <f t="shared" si="2"/>
        <v>132151</v>
      </c>
      <c r="M217" s="8"/>
    </row>
    <row r="218" spans="1:13" s="3" customFormat="1" ht="12" customHeight="1" x14ac:dyDescent="0.15">
      <c r="A218" s="1" t="s">
        <v>567</v>
      </c>
      <c r="B218" s="2" t="s">
        <v>330</v>
      </c>
      <c r="C218" s="2" t="s">
        <v>291</v>
      </c>
      <c r="D218" s="2" t="s">
        <v>547</v>
      </c>
      <c r="E218" s="6">
        <v>2700</v>
      </c>
      <c r="F218" s="18">
        <v>5108</v>
      </c>
      <c r="G218" s="18">
        <v>1369</v>
      </c>
      <c r="H218" s="18">
        <f>2348+892+61235-1</f>
        <v>64474</v>
      </c>
      <c r="I218" s="18">
        <v>947</v>
      </c>
      <c r="J218" s="18">
        <v>3859</v>
      </c>
      <c r="K218" s="18">
        <v>20</v>
      </c>
      <c r="L218" s="19">
        <f t="shared" si="2"/>
        <v>75777</v>
      </c>
      <c r="M218" s="8"/>
    </row>
    <row r="219" spans="1:13" s="3" customFormat="1" ht="12" customHeight="1" x14ac:dyDescent="0.15">
      <c r="A219" s="1" t="s">
        <v>568</v>
      </c>
      <c r="B219" s="2" t="s">
        <v>330</v>
      </c>
      <c r="C219" s="2" t="s">
        <v>327</v>
      </c>
      <c r="D219" s="2" t="s">
        <v>547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424</v>
      </c>
      <c r="B220" s="2" t="s">
        <v>330</v>
      </c>
      <c r="C220" s="2" t="s">
        <v>328</v>
      </c>
      <c r="D220" s="2" t="s">
        <v>547</v>
      </c>
      <c r="E220" s="6">
        <v>2900</v>
      </c>
      <c r="F220" s="24" t="s">
        <v>279</v>
      </c>
      <c r="G220" s="24" t="s">
        <v>279</v>
      </c>
      <c r="H220" s="24" t="s">
        <v>279</v>
      </c>
      <c r="I220" s="24" t="s">
        <v>279</v>
      </c>
      <c r="J220" s="24" t="s">
        <v>279</v>
      </c>
      <c r="K220" s="24" t="s">
        <v>279</v>
      </c>
      <c r="L220" s="24" t="s">
        <v>279</v>
      </c>
      <c r="M220" s="8"/>
    </row>
    <row r="221" spans="1:13" s="3" customFormat="1" ht="12" customHeight="1" thickTop="1" x14ac:dyDescent="0.15">
      <c r="A221" s="38" t="s">
        <v>433</v>
      </c>
      <c r="B221" s="39" t="s">
        <v>330</v>
      </c>
      <c r="C221" s="39" t="s">
        <v>329</v>
      </c>
      <c r="D221" s="39" t="s">
        <v>547</v>
      </c>
      <c r="E221" s="44"/>
      <c r="F221" s="41">
        <f t="shared" ref="F221:L221" si="3">SUM(F207:F220)</f>
        <v>1499122</v>
      </c>
      <c r="G221" s="41">
        <f>SUM(G207:G220)</f>
        <v>537354</v>
      </c>
      <c r="H221" s="41">
        <f>SUM(H207:H220)</f>
        <v>222757</v>
      </c>
      <c r="I221" s="41">
        <f>SUM(I207:I220)</f>
        <v>92747</v>
      </c>
      <c r="J221" s="41">
        <f>SUM(J207:J220)</f>
        <v>24460</v>
      </c>
      <c r="K221" s="41">
        <f t="shared" si="3"/>
        <v>8236</v>
      </c>
      <c r="L221" s="41">
        <f t="shared" si="3"/>
        <v>2384676</v>
      </c>
      <c r="M221" s="8"/>
    </row>
    <row r="222" spans="1:13" s="3" customFormat="1" ht="12" customHeight="1" x14ac:dyDescent="0.15">
      <c r="A222" s="55" t="s">
        <v>439</v>
      </c>
      <c r="B222" s="36"/>
      <c r="C222" s="75"/>
      <c r="D222" s="75"/>
      <c r="E222" s="75"/>
      <c r="F222" s="177" t="s">
        <v>696</v>
      </c>
      <c r="G222" s="177" t="s">
        <v>697</v>
      </c>
      <c r="H222" s="177" t="s">
        <v>828</v>
      </c>
      <c r="I222" s="177" t="s">
        <v>829</v>
      </c>
      <c r="J222" s="177" t="s">
        <v>830</v>
      </c>
      <c r="K222" s="177" t="s">
        <v>698</v>
      </c>
      <c r="L222" s="67"/>
      <c r="M222" s="8"/>
    </row>
    <row r="223" spans="1:13" s="3" customFormat="1" ht="12" customHeight="1" x14ac:dyDescent="0.15">
      <c r="A223" s="29" t="s">
        <v>427</v>
      </c>
      <c r="F223" s="103" t="s">
        <v>33</v>
      </c>
      <c r="G223" s="103" t="s">
        <v>34</v>
      </c>
      <c r="H223" s="103" t="s">
        <v>35</v>
      </c>
      <c r="I223" s="103" t="s">
        <v>36</v>
      </c>
      <c r="J223" s="103" t="s">
        <v>37</v>
      </c>
      <c r="K223" s="103" t="s">
        <v>38</v>
      </c>
      <c r="L223" s="103" t="s">
        <v>133</v>
      </c>
      <c r="M223" s="8"/>
    </row>
    <row r="224" spans="1:13" s="3" customFormat="1" ht="12" customHeight="1" x14ac:dyDescent="0.15">
      <c r="A224" s="30" t="s">
        <v>167</v>
      </c>
      <c r="F224" s="24" t="s">
        <v>279</v>
      </c>
      <c r="G224" s="24" t="s">
        <v>279</v>
      </c>
      <c r="H224" s="24" t="s">
        <v>279</v>
      </c>
      <c r="I224" s="24" t="s">
        <v>279</v>
      </c>
      <c r="J224" s="24" t="s">
        <v>279</v>
      </c>
      <c r="K224" s="24" t="s">
        <v>279</v>
      </c>
      <c r="L224" s="24" t="s">
        <v>279</v>
      </c>
      <c r="M224" s="8"/>
    </row>
    <row r="225" spans="1:13" s="3" customFormat="1" ht="12" customHeight="1" x14ac:dyDescent="0.15">
      <c r="A225" s="1" t="s">
        <v>556</v>
      </c>
      <c r="B225" s="2" t="s">
        <v>334</v>
      </c>
      <c r="C225" s="2" t="s">
        <v>281</v>
      </c>
      <c r="D225" s="2" t="s">
        <v>547</v>
      </c>
      <c r="E225" s="6">
        <v>1100</v>
      </c>
      <c r="F225" s="18">
        <f>1563425+17093</f>
        <v>1580518</v>
      </c>
      <c r="G225" s="18">
        <f>530039+20698</f>
        <v>550737</v>
      </c>
      <c r="H225" s="18">
        <f>62830+3623+22</f>
        <v>66475</v>
      </c>
      <c r="I225" s="18">
        <v>58221</v>
      </c>
      <c r="J225" s="18">
        <f>15683+6268</f>
        <v>21951</v>
      </c>
      <c r="K225" s="18">
        <v>3178</v>
      </c>
      <c r="L225" s="19">
        <f>SUM(F225:K225)</f>
        <v>2281080</v>
      </c>
      <c r="M225" s="8"/>
    </row>
    <row r="226" spans="1:13" s="3" customFormat="1" ht="12" customHeight="1" x14ac:dyDescent="0.15">
      <c r="A226" s="1" t="s">
        <v>557</v>
      </c>
      <c r="B226" s="2" t="s">
        <v>334</v>
      </c>
      <c r="C226" s="2" t="s">
        <v>282</v>
      </c>
      <c r="D226" s="2" t="s">
        <v>547</v>
      </c>
      <c r="E226" s="6">
        <v>1200</v>
      </c>
      <c r="F226" s="18">
        <f>369168+7744</f>
        <v>376912</v>
      </c>
      <c r="G226" s="18">
        <f>100410+951</f>
        <v>101361</v>
      </c>
      <c r="H226" s="18">
        <f>1249+15388+24752-24499+12285</f>
        <v>29175</v>
      </c>
      <c r="I226" s="18">
        <f>2009+1516</f>
        <v>3525</v>
      </c>
      <c r="J226" s="18">
        <f>1047+50</f>
        <v>1097</v>
      </c>
      <c r="K226" s="18">
        <v>112</v>
      </c>
      <c r="L226" s="19">
        <f>SUM(F226:K226)</f>
        <v>512182</v>
      </c>
      <c r="M226" s="8"/>
    </row>
    <row r="227" spans="1:13" s="3" customFormat="1" ht="12" customHeight="1" x14ac:dyDescent="0.15">
      <c r="A227" s="1" t="s">
        <v>558</v>
      </c>
      <c r="B227" s="2" t="s">
        <v>334</v>
      </c>
      <c r="C227" s="2" t="s">
        <v>283</v>
      </c>
      <c r="D227" s="2" t="s">
        <v>547</v>
      </c>
      <c r="E227" s="6">
        <v>1300</v>
      </c>
      <c r="F227" s="18"/>
      <c r="G227" s="18"/>
      <c r="H227" s="18">
        <v>12689</v>
      </c>
      <c r="I227" s="18"/>
      <c r="J227" s="18"/>
      <c r="K227" s="18"/>
      <c r="L227" s="19">
        <f>SUM(F227:K227)</f>
        <v>12689</v>
      </c>
      <c r="M227" s="8"/>
    </row>
    <row r="228" spans="1:13" s="3" customFormat="1" ht="12" customHeight="1" x14ac:dyDescent="0.15">
      <c r="A228" s="1" t="s">
        <v>559</v>
      </c>
      <c r="B228" s="2" t="s">
        <v>334</v>
      </c>
      <c r="C228" s="2" t="s">
        <v>284</v>
      </c>
      <c r="D228" s="2" t="s">
        <v>547</v>
      </c>
      <c r="E228" s="6">
        <v>1400</v>
      </c>
      <c r="F228" s="18">
        <v>160049</v>
      </c>
      <c r="G228" s="18">
        <v>26971</v>
      </c>
      <c r="H228" s="18">
        <v>50454</v>
      </c>
      <c r="I228" s="18">
        <v>11771</v>
      </c>
      <c r="J228" s="18">
        <v>3480</v>
      </c>
      <c r="K228" s="18">
        <v>2800</v>
      </c>
      <c r="L228" s="19">
        <f>SUM(F228:K228)</f>
        <v>255525</v>
      </c>
      <c r="M228" s="8"/>
    </row>
    <row r="229" spans="1:13" s="3" customFormat="1" ht="12" customHeight="1" x14ac:dyDescent="0.15">
      <c r="A229" s="30" t="s">
        <v>326</v>
      </c>
      <c r="C229" s="23"/>
      <c r="E229" s="6"/>
      <c r="F229" s="24" t="s">
        <v>279</v>
      </c>
      <c r="G229" s="24" t="s">
        <v>279</v>
      </c>
      <c r="H229" s="24" t="s">
        <v>279</v>
      </c>
      <c r="I229" s="24" t="s">
        <v>279</v>
      </c>
      <c r="J229" s="24" t="s">
        <v>279</v>
      </c>
      <c r="K229" s="24" t="s">
        <v>279</v>
      </c>
      <c r="L229" s="24" t="s">
        <v>279</v>
      </c>
      <c r="M229" s="8"/>
    </row>
    <row r="230" spans="1:13" s="3" customFormat="1" ht="12" customHeight="1" x14ac:dyDescent="0.15">
      <c r="A230" s="1" t="s">
        <v>560</v>
      </c>
      <c r="B230" s="2" t="s">
        <v>334</v>
      </c>
      <c r="C230" s="2" t="s">
        <v>285</v>
      </c>
      <c r="D230" s="2" t="s">
        <v>547</v>
      </c>
      <c r="E230" s="6">
        <v>2100</v>
      </c>
      <c r="F230" s="18">
        <f>190160+51942</f>
        <v>242102</v>
      </c>
      <c r="G230" s="18">
        <f>51860+6565</f>
        <v>58425</v>
      </c>
      <c r="H230" s="18">
        <f>17078+427</f>
        <v>17505</v>
      </c>
      <c r="I230" s="18">
        <f>1193+319</f>
        <v>1512</v>
      </c>
      <c r="J230" s="18">
        <f>1077+521</f>
        <v>1598</v>
      </c>
      <c r="K230" s="18">
        <v>50</v>
      </c>
      <c r="L230" s="19">
        <f t="shared" ref="L230:L236" si="4">SUM(F230:K230)</f>
        <v>321192</v>
      </c>
      <c r="M230" s="8"/>
    </row>
    <row r="231" spans="1:13" s="3" customFormat="1" ht="12" customHeight="1" x14ac:dyDescent="0.15">
      <c r="A231" s="1" t="s">
        <v>561</v>
      </c>
      <c r="B231" s="2" t="s">
        <v>334</v>
      </c>
      <c r="C231" s="2" t="s">
        <v>286</v>
      </c>
      <c r="D231" s="2" t="s">
        <v>547</v>
      </c>
      <c r="E231" s="6">
        <v>2200</v>
      </c>
      <c r="F231" s="18">
        <f>35752+47640</f>
        <v>83392</v>
      </c>
      <c r="G231" s="18">
        <f>18759+16514</f>
        <v>35273</v>
      </c>
      <c r="H231" s="18">
        <f>12305+7894+18219+1868</f>
        <v>40286</v>
      </c>
      <c r="I231" s="18">
        <f>22807+7372</f>
        <v>30179</v>
      </c>
      <c r="J231" s="18">
        <f>9300+10774</f>
        <v>20074</v>
      </c>
      <c r="K231" s="18">
        <f>804+5186</f>
        <v>5990</v>
      </c>
      <c r="L231" s="19">
        <f t="shared" si="4"/>
        <v>215194</v>
      </c>
      <c r="M231" s="8"/>
    </row>
    <row r="232" spans="1:13" s="3" customFormat="1" ht="12" customHeight="1" x14ac:dyDescent="0.15">
      <c r="A232" s="1" t="s">
        <v>419</v>
      </c>
      <c r="B232" s="2" t="s">
        <v>334</v>
      </c>
      <c r="C232" s="2" t="s">
        <v>287</v>
      </c>
      <c r="D232" s="2" t="s">
        <v>547</v>
      </c>
      <c r="E232" s="6">
        <v>2300</v>
      </c>
      <c r="F232" s="18">
        <v>86551</v>
      </c>
      <c r="G232" s="18">
        <v>33410</v>
      </c>
      <c r="H232" s="18">
        <f>17095+174+7786+1</f>
        <v>25056</v>
      </c>
      <c r="I232" s="18">
        <v>3371</v>
      </c>
      <c r="J232" s="18">
        <v>739</v>
      </c>
      <c r="K232" s="18">
        <v>5690</v>
      </c>
      <c r="L232" s="19">
        <f t="shared" si="4"/>
        <v>154817</v>
      </c>
      <c r="M232" s="8"/>
    </row>
    <row r="233" spans="1:13" s="3" customFormat="1" ht="12" customHeight="1" x14ac:dyDescent="0.15">
      <c r="A233" s="1" t="s">
        <v>420</v>
      </c>
      <c r="B233" s="2" t="s">
        <v>334</v>
      </c>
      <c r="C233" s="2" t="s">
        <v>288</v>
      </c>
      <c r="D233" s="2" t="s">
        <v>547</v>
      </c>
      <c r="E233" s="6">
        <v>2400</v>
      </c>
      <c r="F233" s="18">
        <v>160737</v>
      </c>
      <c r="G233" s="18">
        <v>57495</v>
      </c>
      <c r="H233" s="18">
        <v>16509</v>
      </c>
      <c r="I233" s="18">
        <v>10918</v>
      </c>
      <c r="J233" s="18">
        <v>368</v>
      </c>
      <c r="K233" s="18">
        <v>3365</v>
      </c>
      <c r="L233" s="19">
        <f t="shared" si="4"/>
        <v>249392</v>
      </c>
      <c r="M233" s="8"/>
    </row>
    <row r="234" spans="1:13" s="3" customFormat="1" ht="12" customHeight="1" x14ac:dyDescent="0.15">
      <c r="A234" s="1" t="s">
        <v>421</v>
      </c>
      <c r="B234" s="2" t="s">
        <v>334</v>
      </c>
      <c r="C234" s="2" t="s">
        <v>289</v>
      </c>
      <c r="D234" s="2" t="s">
        <v>547</v>
      </c>
      <c r="E234" s="6">
        <v>2500</v>
      </c>
      <c r="F234" s="18">
        <v>49664</v>
      </c>
      <c r="G234" s="18">
        <v>17571</v>
      </c>
      <c r="H234" s="18"/>
      <c r="I234" s="18"/>
      <c r="J234" s="18"/>
      <c r="K234" s="18"/>
      <c r="L234" s="19">
        <f t="shared" si="4"/>
        <v>67235</v>
      </c>
      <c r="M234" s="8"/>
    </row>
    <row r="235" spans="1:13" s="3" customFormat="1" ht="12" customHeight="1" x14ac:dyDescent="0.15">
      <c r="A235" s="1" t="s">
        <v>422</v>
      </c>
      <c r="B235" s="2" t="s">
        <v>334</v>
      </c>
      <c r="C235" s="2" t="s">
        <v>290</v>
      </c>
      <c r="D235" s="2" t="s">
        <v>547</v>
      </c>
      <c r="E235" s="6">
        <v>2600</v>
      </c>
      <c r="F235" s="18">
        <f>140065+15548</f>
        <v>155613</v>
      </c>
      <c r="G235" s="18">
        <f>54111+5850</f>
        <v>59961</v>
      </c>
      <c r="H235" s="18">
        <f>49642+2466+870+11793</f>
        <v>64771</v>
      </c>
      <c r="I235" s="18">
        <f>93748+2826</f>
        <v>96574</v>
      </c>
      <c r="J235" s="18">
        <f>3701+55</f>
        <v>3756</v>
      </c>
      <c r="K235" s="18">
        <v>12</v>
      </c>
      <c r="L235" s="19">
        <f t="shared" si="4"/>
        <v>380687</v>
      </c>
      <c r="M235" s="8"/>
    </row>
    <row r="236" spans="1:13" s="3" customFormat="1" ht="12" customHeight="1" x14ac:dyDescent="0.15">
      <c r="A236" s="1" t="s">
        <v>567</v>
      </c>
      <c r="B236" s="2" t="s">
        <v>334</v>
      </c>
      <c r="C236" s="2" t="s">
        <v>291</v>
      </c>
      <c r="D236" s="2" t="s">
        <v>547</v>
      </c>
      <c r="E236" s="6">
        <v>2700</v>
      </c>
      <c r="F236" s="18">
        <v>15209</v>
      </c>
      <c r="G236" s="18">
        <v>4413</v>
      </c>
      <c r="H236" s="18">
        <f>40474+1669+126687</f>
        <v>168830</v>
      </c>
      <c r="I236" s="18">
        <f>848+2805</f>
        <v>3653</v>
      </c>
      <c r="J236" s="18">
        <v>7221</v>
      </c>
      <c r="K236" s="18">
        <v>37</v>
      </c>
      <c r="L236" s="19">
        <f t="shared" si="4"/>
        <v>199363</v>
      </c>
      <c r="M236" s="8"/>
    </row>
    <row r="237" spans="1:13" s="3" customFormat="1" ht="12" customHeight="1" x14ac:dyDescent="0.15">
      <c r="A237" s="1" t="s">
        <v>568</v>
      </c>
      <c r="B237" s="2" t="s">
        <v>334</v>
      </c>
      <c r="C237" s="2" t="s">
        <v>327</v>
      </c>
      <c r="D237" s="2" t="s">
        <v>547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424</v>
      </c>
      <c r="B238" s="2" t="s">
        <v>334</v>
      </c>
      <c r="C238" s="2" t="s">
        <v>328</v>
      </c>
      <c r="D238" s="2" t="s">
        <v>547</v>
      </c>
      <c r="E238" s="6">
        <v>2900</v>
      </c>
      <c r="F238" s="24" t="s">
        <v>279</v>
      </c>
      <c r="G238" s="24" t="s">
        <v>279</v>
      </c>
      <c r="H238" s="24" t="s">
        <v>279</v>
      </c>
      <c r="I238" s="24" t="s">
        <v>279</v>
      </c>
      <c r="J238" s="24" t="s">
        <v>279</v>
      </c>
      <c r="K238" s="24" t="s">
        <v>279</v>
      </c>
      <c r="L238" s="24" t="s">
        <v>279</v>
      </c>
      <c r="M238" s="8"/>
    </row>
    <row r="239" spans="1:13" s="3" customFormat="1" ht="12" customHeight="1" thickTop="1" x14ac:dyDescent="0.15">
      <c r="A239" s="38" t="s">
        <v>691</v>
      </c>
      <c r="B239" s="39" t="s">
        <v>334</v>
      </c>
      <c r="C239" s="40">
        <v>14</v>
      </c>
      <c r="D239" s="39" t="s">
        <v>547</v>
      </c>
      <c r="E239" s="40"/>
      <c r="F239" s="41">
        <f t="shared" ref="F239:L239" si="5">SUM(F225:F238)</f>
        <v>2910747</v>
      </c>
      <c r="G239" s="41">
        <f t="shared" si="5"/>
        <v>945617</v>
      </c>
      <c r="H239" s="41">
        <f t="shared" si="5"/>
        <v>491750</v>
      </c>
      <c r="I239" s="41">
        <f t="shared" si="5"/>
        <v>219724</v>
      </c>
      <c r="J239" s="41">
        <f t="shared" si="5"/>
        <v>60284</v>
      </c>
      <c r="K239" s="41">
        <f t="shared" si="5"/>
        <v>21234</v>
      </c>
      <c r="L239" s="41">
        <f t="shared" si="5"/>
        <v>4649356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696</v>
      </c>
      <c r="G240" s="177" t="s">
        <v>697</v>
      </c>
      <c r="H240" s="177" t="s">
        <v>828</v>
      </c>
      <c r="I240" s="177" t="s">
        <v>829</v>
      </c>
      <c r="J240" s="177" t="s">
        <v>830</v>
      </c>
      <c r="K240" s="177" t="s">
        <v>698</v>
      </c>
      <c r="L240" s="67"/>
      <c r="M240" s="8"/>
    </row>
    <row r="241" spans="1:13" s="3" customFormat="1" ht="12" customHeight="1" x14ac:dyDescent="0.15">
      <c r="A241" s="29" t="s">
        <v>475</v>
      </c>
      <c r="B241" s="7"/>
      <c r="C241" s="7"/>
      <c r="D241" s="7"/>
      <c r="E241" s="7"/>
      <c r="F241" s="103" t="s">
        <v>33</v>
      </c>
      <c r="G241" s="103" t="s">
        <v>34</v>
      </c>
      <c r="H241" s="103" t="s">
        <v>35</v>
      </c>
      <c r="I241" s="103" t="s">
        <v>36</v>
      </c>
      <c r="J241" s="103" t="s">
        <v>37</v>
      </c>
      <c r="K241" s="103" t="s">
        <v>38</v>
      </c>
      <c r="L241" s="103" t="s">
        <v>133</v>
      </c>
      <c r="M241" s="8"/>
    </row>
    <row r="242" spans="1:13" s="3" customFormat="1" ht="12" customHeight="1" x14ac:dyDescent="0.15">
      <c r="A242" s="1" t="s">
        <v>660</v>
      </c>
      <c r="B242" s="2" t="s">
        <v>476</v>
      </c>
      <c r="C242" s="2" t="s">
        <v>280</v>
      </c>
      <c r="D242" s="2" t="s">
        <v>547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477</v>
      </c>
      <c r="B243" s="2" t="s">
        <v>476</v>
      </c>
      <c r="C243" s="2" t="s">
        <v>300</v>
      </c>
      <c r="D243" s="2" t="s">
        <v>547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574</v>
      </c>
      <c r="B244" s="2" t="s">
        <v>476</v>
      </c>
      <c r="C244" s="2" t="s">
        <v>306</v>
      </c>
      <c r="D244" s="2" t="s">
        <v>547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575</v>
      </c>
      <c r="B245" s="2" t="s">
        <v>476</v>
      </c>
      <c r="C245" s="2" t="s">
        <v>452</v>
      </c>
      <c r="D245" s="2" t="s">
        <v>547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372</v>
      </c>
      <c r="B246" s="2" t="s">
        <v>476</v>
      </c>
      <c r="C246" s="2" t="s">
        <v>455</v>
      </c>
      <c r="D246" s="2" t="s">
        <v>547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576</v>
      </c>
      <c r="B247" s="2" t="s">
        <v>476</v>
      </c>
      <c r="C247" s="6">
        <v>6</v>
      </c>
      <c r="D247" s="2" t="s">
        <v>547</v>
      </c>
      <c r="E247" s="6">
        <v>4000</v>
      </c>
      <c r="F247" s="18"/>
      <c r="G247" s="18"/>
      <c r="H247" s="18"/>
      <c r="I247" s="18"/>
      <c r="J247" s="18">
        <v>19549</v>
      </c>
      <c r="K247" s="18"/>
      <c r="L247" s="19">
        <f t="shared" si="6"/>
        <v>19549</v>
      </c>
      <c r="M247" s="8"/>
    </row>
    <row r="248" spans="1:13" s="3" customFormat="1" ht="12" customHeight="1" thickTop="1" thickBot="1" x14ac:dyDescent="0.2">
      <c r="A248" s="38" t="s">
        <v>435</v>
      </c>
      <c r="B248" s="40">
        <v>10</v>
      </c>
      <c r="C248" s="40">
        <v>7</v>
      </c>
      <c r="D248" s="39" t="s">
        <v>547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19549</v>
      </c>
      <c r="K248" s="41">
        <f t="shared" si="7"/>
        <v>0</v>
      </c>
      <c r="L248" s="41">
        <f>SUM(F248:K248)</f>
        <v>19549</v>
      </c>
      <c r="M248" s="8"/>
    </row>
    <row r="249" spans="1:13" s="3" customFormat="1" ht="12" customHeight="1" thickTop="1" x14ac:dyDescent="0.15">
      <c r="A249" s="38" t="s">
        <v>436</v>
      </c>
      <c r="B249" s="40">
        <v>10</v>
      </c>
      <c r="C249" s="40">
        <v>8</v>
      </c>
      <c r="D249" s="39" t="s">
        <v>547</v>
      </c>
      <c r="E249" s="40"/>
      <c r="F249" s="41">
        <f t="shared" ref="F249:L249" si="8">F203+F221+F239+F248</f>
        <v>8788024</v>
      </c>
      <c r="G249" s="41">
        <f t="shared" si="8"/>
        <v>2923885</v>
      </c>
      <c r="H249" s="41">
        <f t="shared" si="8"/>
        <v>1201116</v>
      </c>
      <c r="I249" s="41">
        <f t="shared" si="8"/>
        <v>549342</v>
      </c>
      <c r="J249" s="41">
        <f t="shared" si="8"/>
        <v>177766</v>
      </c>
      <c r="K249" s="41">
        <f t="shared" si="8"/>
        <v>53858</v>
      </c>
      <c r="L249" s="41">
        <f t="shared" si="8"/>
        <v>13693991</v>
      </c>
      <c r="M249" s="8"/>
    </row>
    <row r="250" spans="1:13" s="3" customFormat="1" ht="12" customHeight="1" x14ac:dyDescent="0.15">
      <c r="A250" s="34" t="s">
        <v>478</v>
      </c>
      <c r="F250" s="13"/>
      <c r="G250" s="13"/>
      <c r="H250" s="13"/>
      <c r="I250" s="13"/>
      <c r="J250" s="13"/>
      <c r="K250" s="14" t="s">
        <v>277</v>
      </c>
      <c r="L250" s="14" t="s">
        <v>479</v>
      </c>
      <c r="M250" s="8"/>
    </row>
    <row r="251" spans="1:13" s="3" customFormat="1" ht="12" customHeight="1" x14ac:dyDescent="0.15">
      <c r="A251" s="30" t="s">
        <v>437</v>
      </c>
      <c r="E251" s="6">
        <v>5100</v>
      </c>
      <c r="F251" s="24" t="s">
        <v>279</v>
      </c>
      <c r="G251" s="24" t="s">
        <v>279</v>
      </c>
      <c r="H251" s="24" t="s">
        <v>279</v>
      </c>
      <c r="I251" s="24" t="s">
        <v>279</v>
      </c>
      <c r="J251" s="24" t="s">
        <v>279</v>
      </c>
      <c r="K251" s="24" t="s">
        <v>279</v>
      </c>
      <c r="L251" s="24" t="s">
        <v>279</v>
      </c>
      <c r="M251" s="8"/>
    </row>
    <row r="252" spans="1:13" s="3" customFormat="1" ht="12" customHeight="1" x14ac:dyDescent="0.15">
      <c r="A252" s="1" t="s">
        <v>505</v>
      </c>
      <c r="B252" s="2" t="s">
        <v>476</v>
      </c>
      <c r="C252" s="6">
        <v>9</v>
      </c>
      <c r="D252" s="2" t="s">
        <v>547</v>
      </c>
      <c r="E252" s="6">
        <v>5110</v>
      </c>
      <c r="F252" s="24" t="s">
        <v>279</v>
      </c>
      <c r="G252" s="24" t="s">
        <v>279</v>
      </c>
      <c r="H252" s="24" t="s">
        <v>279</v>
      </c>
      <c r="I252" s="24" t="s">
        <v>279</v>
      </c>
      <c r="J252" s="24" t="s">
        <v>279</v>
      </c>
      <c r="K252" s="18">
        <v>494700</v>
      </c>
      <c r="L252" s="19">
        <f>SUM(F252:K252)</f>
        <v>494700</v>
      </c>
      <c r="M252" s="8"/>
    </row>
    <row r="253" spans="1:13" s="3" customFormat="1" ht="12" customHeight="1" x14ac:dyDescent="0.15">
      <c r="A253" s="1" t="s">
        <v>517</v>
      </c>
      <c r="B253" s="2" t="s">
        <v>476</v>
      </c>
      <c r="C253" s="6">
        <v>10</v>
      </c>
      <c r="D253" s="2" t="s">
        <v>547</v>
      </c>
      <c r="E253" s="6">
        <v>5120</v>
      </c>
      <c r="F253" s="24" t="s">
        <v>279</v>
      </c>
      <c r="G253" s="24" t="s">
        <v>279</v>
      </c>
      <c r="H253" s="24" t="s">
        <v>279</v>
      </c>
      <c r="I253" s="24" t="s">
        <v>279</v>
      </c>
      <c r="J253" s="24" t="s">
        <v>279</v>
      </c>
      <c r="K253" s="18">
        <v>164381</v>
      </c>
      <c r="L253" s="19">
        <f>SUM(F253:K253)</f>
        <v>164381</v>
      </c>
      <c r="M253" s="8"/>
    </row>
    <row r="254" spans="1:13" s="3" customFormat="1" ht="12" customHeight="1" x14ac:dyDescent="0.15">
      <c r="A254" s="30" t="s">
        <v>480</v>
      </c>
      <c r="E254" s="6">
        <v>5200</v>
      </c>
      <c r="F254" s="24" t="s">
        <v>279</v>
      </c>
      <c r="G254" s="24" t="s">
        <v>279</v>
      </c>
      <c r="H254" s="24" t="s">
        <v>279</v>
      </c>
      <c r="I254" s="24" t="s">
        <v>279</v>
      </c>
      <c r="J254" s="24" t="s">
        <v>279</v>
      </c>
      <c r="K254" s="24" t="s">
        <v>279</v>
      </c>
      <c r="L254" s="24" t="s">
        <v>279</v>
      </c>
      <c r="M254" s="8"/>
    </row>
    <row r="255" spans="1:13" ht="12" customHeight="1" x14ac:dyDescent="0.2">
      <c r="A255" s="3" t="s">
        <v>518</v>
      </c>
      <c r="B255" s="6">
        <v>10</v>
      </c>
      <c r="C255" s="6">
        <v>11</v>
      </c>
      <c r="D255" s="2" t="s">
        <v>547</v>
      </c>
      <c r="E255" s="6">
        <v>5221</v>
      </c>
      <c r="F255" s="24" t="s">
        <v>279</v>
      </c>
      <c r="G255" s="24" t="s">
        <v>279</v>
      </c>
      <c r="H255" s="24" t="s">
        <v>279</v>
      </c>
      <c r="I255" s="24" t="s">
        <v>279</v>
      </c>
      <c r="J255" s="24" t="s">
        <v>279</v>
      </c>
      <c r="K255" s="18">
        <v>66526</v>
      </c>
      <c r="L255" s="19">
        <f>SUM(F255:K255)</f>
        <v>66526</v>
      </c>
    </row>
    <row r="256" spans="1:13" ht="12" customHeight="1" x14ac:dyDescent="0.2">
      <c r="A256" s="3" t="s">
        <v>599</v>
      </c>
      <c r="B256" s="6">
        <v>10</v>
      </c>
      <c r="C256" s="6">
        <v>12</v>
      </c>
      <c r="D256" s="2" t="s">
        <v>547</v>
      </c>
      <c r="E256" s="6">
        <v>5222</v>
      </c>
      <c r="F256" s="24" t="s">
        <v>279</v>
      </c>
      <c r="G256" s="24" t="s">
        <v>279</v>
      </c>
      <c r="H256" s="24" t="s">
        <v>279</v>
      </c>
      <c r="I256" s="24" t="s">
        <v>279</v>
      </c>
      <c r="J256" s="24" t="s">
        <v>279</v>
      </c>
      <c r="K256" s="18">
        <v>2703</v>
      </c>
      <c r="L256" s="19">
        <f t="shared" ref="L256:L262" si="9">SUM(F256:K256)</f>
        <v>2703</v>
      </c>
    </row>
    <row r="257" spans="1:13" ht="12" customHeight="1" x14ac:dyDescent="0.2">
      <c r="A257" s="3" t="s">
        <v>519</v>
      </c>
      <c r="B257" s="6">
        <v>10</v>
      </c>
      <c r="C257" s="6">
        <v>13</v>
      </c>
      <c r="D257" s="2" t="s">
        <v>547</v>
      </c>
      <c r="E257" s="6">
        <v>5230</v>
      </c>
      <c r="F257" s="24" t="s">
        <v>279</v>
      </c>
      <c r="G257" s="24" t="s">
        <v>279</v>
      </c>
      <c r="H257" s="24" t="s">
        <v>279</v>
      </c>
      <c r="I257" s="24" t="s">
        <v>279</v>
      </c>
      <c r="J257" s="24" t="s">
        <v>279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520</v>
      </c>
      <c r="B258" s="6">
        <v>10</v>
      </c>
      <c r="C258" s="6">
        <v>14</v>
      </c>
      <c r="D258" s="2" t="s">
        <v>547</v>
      </c>
      <c r="E258" s="6">
        <v>5250</v>
      </c>
      <c r="F258" s="24" t="s">
        <v>279</v>
      </c>
      <c r="G258" s="24" t="s">
        <v>279</v>
      </c>
      <c r="H258" s="24" t="s">
        <v>279</v>
      </c>
      <c r="I258" s="24" t="s">
        <v>279</v>
      </c>
      <c r="J258" s="24" t="s">
        <v>279</v>
      </c>
      <c r="K258" s="18">
        <v>75000</v>
      </c>
      <c r="L258" s="19">
        <f t="shared" si="9"/>
        <v>75000</v>
      </c>
    </row>
    <row r="259" spans="1:13" ht="12" customHeight="1" x14ac:dyDescent="0.2">
      <c r="A259" s="27" t="s">
        <v>676</v>
      </c>
      <c r="B259" s="6"/>
      <c r="C259" s="6"/>
      <c r="D259" s="6"/>
      <c r="E259" s="6">
        <v>5300</v>
      </c>
      <c r="F259" s="24" t="s">
        <v>279</v>
      </c>
      <c r="G259" s="24" t="s">
        <v>279</v>
      </c>
      <c r="H259" s="24" t="s">
        <v>279</v>
      </c>
      <c r="I259" s="24" t="s">
        <v>279</v>
      </c>
      <c r="J259" s="24" t="s">
        <v>279</v>
      </c>
      <c r="K259" s="24" t="s">
        <v>279</v>
      </c>
      <c r="L259" s="24" t="s">
        <v>279</v>
      </c>
    </row>
    <row r="260" spans="1:13" ht="12" customHeight="1" x14ac:dyDescent="0.2">
      <c r="A260" s="3" t="s">
        <v>521</v>
      </c>
      <c r="B260" s="6">
        <v>10</v>
      </c>
      <c r="C260" s="6">
        <v>15</v>
      </c>
      <c r="D260" s="2" t="s">
        <v>547</v>
      </c>
      <c r="E260" s="6">
        <v>5310</v>
      </c>
      <c r="F260" s="24" t="s">
        <v>279</v>
      </c>
      <c r="G260" s="24" t="s">
        <v>279</v>
      </c>
      <c r="H260" s="24" t="s">
        <v>279</v>
      </c>
      <c r="I260" s="24" t="s">
        <v>279</v>
      </c>
      <c r="J260" s="24" t="s">
        <v>279</v>
      </c>
      <c r="K260" s="18"/>
      <c r="L260" s="19">
        <f t="shared" si="9"/>
        <v>0</v>
      </c>
    </row>
    <row r="261" spans="1:13" ht="12" customHeight="1" thickBot="1" x14ac:dyDescent="0.25">
      <c r="A261" s="3" t="s">
        <v>522</v>
      </c>
      <c r="B261" s="6">
        <v>10</v>
      </c>
      <c r="C261" s="6">
        <v>16</v>
      </c>
      <c r="D261" s="2" t="s">
        <v>547</v>
      </c>
      <c r="E261" s="6">
        <v>5390</v>
      </c>
      <c r="F261" s="24" t="s">
        <v>279</v>
      </c>
      <c r="G261" s="24" t="s">
        <v>279</v>
      </c>
      <c r="H261" s="24" t="s">
        <v>279</v>
      </c>
      <c r="I261" s="24" t="s">
        <v>279</v>
      </c>
      <c r="J261" s="24" t="s">
        <v>279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400</v>
      </c>
      <c r="B262" s="40">
        <v>10</v>
      </c>
      <c r="C262" s="40">
        <v>17</v>
      </c>
      <c r="D262" s="39" t="s">
        <v>547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803310</v>
      </c>
      <c r="L262" s="41">
        <f t="shared" si="9"/>
        <v>803310</v>
      </c>
    </row>
    <row r="263" spans="1:13" ht="12" customHeight="1" thickTop="1" x14ac:dyDescent="0.2">
      <c r="A263" s="43" t="s">
        <v>438</v>
      </c>
      <c r="B263" s="40">
        <v>10</v>
      </c>
      <c r="C263" s="40">
        <v>18</v>
      </c>
      <c r="D263" s="39" t="s">
        <v>547</v>
      </c>
      <c r="E263" s="40"/>
      <c r="F263" s="42">
        <f t="shared" ref="F263:L263" si="11">F249+F262</f>
        <v>8788024</v>
      </c>
      <c r="G263" s="42">
        <f t="shared" si="11"/>
        <v>2923885</v>
      </c>
      <c r="H263" s="42">
        <f t="shared" si="11"/>
        <v>1201116</v>
      </c>
      <c r="I263" s="42">
        <f t="shared" si="11"/>
        <v>549342</v>
      </c>
      <c r="J263" s="42">
        <f t="shared" si="11"/>
        <v>177766</v>
      </c>
      <c r="K263" s="42">
        <f t="shared" si="11"/>
        <v>857168</v>
      </c>
      <c r="L263" s="42">
        <f t="shared" si="11"/>
        <v>14497301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440</v>
      </c>
      <c r="F265" s="177" t="s">
        <v>696</v>
      </c>
      <c r="G265" s="177" t="s">
        <v>697</v>
      </c>
      <c r="H265" s="177" t="s">
        <v>828</v>
      </c>
      <c r="I265" s="177" t="s">
        <v>829</v>
      </c>
      <c r="J265" s="177" t="s">
        <v>830</v>
      </c>
      <c r="K265" s="177" t="s">
        <v>698</v>
      </c>
      <c r="M265" s="8"/>
    </row>
    <row r="266" spans="1:13" s="34" customFormat="1" ht="12" customHeight="1" x14ac:dyDescent="0.15">
      <c r="A266" s="29" t="s">
        <v>425</v>
      </c>
      <c r="F266" s="103" t="s">
        <v>33</v>
      </c>
      <c r="G266" s="103" t="s">
        <v>34</v>
      </c>
      <c r="H266" s="103" t="s">
        <v>35</v>
      </c>
      <c r="I266" s="103" t="s">
        <v>36</v>
      </c>
      <c r="J266" s="103" t="s">
        <v>37</v>
      </c>
      <c r="K266" s="103" t="s">
        <v>38</v>
      </c>
      <c r="L266" s="103" t="s">
        <v>133</v>
      </c>
      <c r="M266" s="35"/>
    </row>
    <row r="267" spans="1:13" s="3" customFormat="1" ht="12" customHeight="1" x14ac:dyDescent="0.15">
      <c r="A267" s="30" t="s">
        <v>167</v>
      </c>
      <c r="F267" s="24" t="s">
        <v>279</v>
      </c>
      <c r="G267" s="24" t="s">
        <v>279</v>
      </c>
      <c r="H267" s="24" t="s">
        <v>279</v>
      </c>
      <c r="I267" s="24" t="s">
        <v>279</v>
      </c>
      <c r="J267" s="24" t="s">
        <v>279</v>
      </c>
      <c r="K267" s="24" t="s">
        <v>279</v>
      </c>
      <c r="L267" s="24" t="s">
        <v>279</v>
      </c>
      <c r="M267" s="8"/>
    </row>
    <row r="268" spans="1:13" s="3" customFormat="1" ht="12" customHeight="1" x14ac:dyDescent="0.15">
      <c r="A268" s="1" t="s">
        <v>556</v>
      </c>
      <c r="B268" s="2" t="s">
        <v>481</v>
      </c>
      <c r="C268" s="2" t="s">
        <v>281</v>
      </c>
      <c r="D268" s="2" t="s">
        <v>547</v>
      </c>
      <c r="E268" s="6">
        <v>1100</v>
      </c>
      <c r="F268" s="18">
        <f>64906+4410</f>
        <v>69316</v>
      </c>
      <c r="G268" s="18">
        <f>21173+667</f>
        <v>21840</v>
      </c>
      <c r="H268" s="18">
        <f>147+6074</f>
        <v>6221</v>
      </c>
      <c r="I268" s="18">
        <v>1029</v>
      </c>
      <c r="J268" s="18">
        <v>3064</v>
      </c>
      <c r="K268" s="18">
        <v>1200</v>
      </c>
      <c r="L268" s="19">
        <f>SUM(F268:K268)</f>
        <v>102670</v>
      </c>
      <c r="M268" s="8"/>
    </row>
    <row r="269" spans="1:13" s="3" customFormat="1" ht="12" customHeight="1" x14ac:dyDescent="0.15">
      <c r="A269" s="1" t="s">
        <v>557</v>
      </c>
      <c r="B269" s="2" t="s">
        <v>481</v>
      </c>
      <c r="C269" s="2" t="s">
        <v>282</v>
      </c>
      <c r="D269" s="2" t="s">
        <v>547</v>
      </c>
      <c r="E269" s="6">
        <v>1200</v>
      </c>
      <c r="F269" s="18">
        <f>4423+76063</f>
        <v>80486</v>
      </c>
      <c r="G269" s="18">
        <f>338+24151</f>
        <v>24489</v>
      </c>
      <c r="H269" s="18">
        <f>200+3861</f>
        <v>4061</v>
      </c>
      <c r="I269" s="18">
        <v>1139</v>
      </c>
      <c r="J269" s="18">
        <f>1069+22608</f>
        <v>23677</v>
      </c>
      <c r="K269" s="18"/>
      <c r="L269" s="19">
        <f>SUM(F269:K269)</f>
        <v>133852</v>
      </c>
      <c r="M269" s="8"/>
    </row>
    <row r="270" spans="1:13" s="3" customFormat="1" ht="12" customHeight="1" x14ac:dyDescent="0.15">
      <c r="A270" s="1" t="s">
        <v>558</v>
      </c>
      <c r="B270" s="2" t="s">
        <v>481</v>
      </c>
      <c r="C270" s="2" t="s">
        <v>283</v>
      </c>
      <c r="D270" s="2" t="s">
        <v>547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559</v>
      </c>
      <c r="B271" s="2" t="s">
        <v>481</v>
      </c>
      <c r="C271" s="2" t="s">
        <v>284</v>
      </c>
      <c r="D271" s="2" t="s">
        <v>547</v>
      </c>
      <c r="E271" s="6">
        <v>1400</v>
      </c>
      <c r="F271" s="18"/>
      <c r="G271" s="18"/>
      <c r="H271" s="18">
        <v>3900</v>
      </c>
      <c r="I271" s="18"/>
      <c r="J271" s="18"/>
      <c r="K271" s="18"/>
      <c r="L271" s="19">
        <f>SUM(F271:K271)</f>
        <v>3900</v>
      </c>
      <c r="M271" s="8"/>
    </row>
    <row r="272" spans="1:13" s="3" customFormat="1" ht="12" customHeight="1" x14ac:dyDescent="0.15">
      <c r="A272" s="30" t="s">
        <v>326</v>
      </c>
      <c r="E272" s="6"/>
      <c r="F272" s="24" t="s">
        <v>279</v>
      </c>
      <c r="G272" s="24" t="s">
        <v>279</v>
      </c>
      <c r="H272" s="24" t="s">
        <v>279</v>
      </c>
      <c r="I272" s="24" t="s">
        <v>279</v>
      </c>
      <c r="J272" s="24" t="s">
        <v>279</v>
      </c>
      <c r="K272" s="24" t="s">
        <v>279</v>
      </c>
      <c r="L272" s="24" t="s">
        <v>279</v>
      </c>
      <c r="M272" s="8"/>
    </row>
    <row r="273" spans="1:13" s="3" customFormat="1" ht="12" customHeight="1" x14ac:dyDescent="0.15">
      <c r="A273" s="1" t="s">
        <v>560</v>
      </c>
      <c r="B273" s="2" t="s">
        <v>481</v>
      </c>
      <c r="C273" s="2" t="s">
        <v>285</v>
      </c>
      <c r="D273" s="2" t="s">
        <v>547</v>
      </c>
      <c r="E273" s="6">
        <v>2100</v>
      </c>
      <c r="F273" s="18">
        <v>2668</v>
      </c>
      <c r="G273" s="18">
        <v>404</v>
      </c>
      <c r="H273" s="18">
        <f>2361+1737</f>
        <v>4098</v>
      </c>
      <c r="I273" s="18">
        <v>117</v>
      </c>
      <c r="J273" s="18">
        <v>922</v>
      </c>
      <c r="K273" s="18"/>
      <c r="L273" s="19">
        <f t="shared" ref="L273:L279" si="12">SUM(F273:K273)</f>
        <v>8209</v>
      </c>
      <c r="M273" s="8"/>
    </row>
    <row r="274" spans="1:13" s="3" customFormat="1" ht="12" customHeight="1" x14ac:dyDescent="0.15">
      <c r="A274" s="1" t="s">
        <v>561</v>
      </c>
      <c r="B274" s="2" t="s">
        <v>481</v>
      </c>
      <c r="C274" s="2" t="s">
        <v>286</v>
      </c>
      <c r="D274" s="2" t="s">
        <v>547</v>
      </c>
      <c r="E274" s="6">
        <v>2200</v>
      </c>
      <c r="F274" s="18">
        <v>8661</v>
      </c>
      <c r="G274" s="18">
        <v>1285</v>
      </c>
      <c r="H274" s="18">
        <v>10363</v>
      </c>
      <c r="I274" s="18">
        <v>3948</v>
      </c>
      <c r="J274" s="18">
        <v>7834</v>
      </c>
      <c r="K274" s="18">
        <v>490</v>
      </c>
      <c r="L274" s="19">
        <f t="shared" si="12"/>
        <v>32581</v>
      </c>
      <c r="M274" s="8"/>
    </row>
    <row r="275" spans="1:13" s="3" customFormat="1" ht="12" customHeight="1" x14ac:dyDescent="0.15">
      <c r="A275" s="1" t="s">
        <v>419</v>
      </c>
      <c r="B275" s="2" t="s">
        <v>481</v>
      </c>
      <c r="C275" s="2" t="s">
        <v>287</v>
      </c>
      <c r="D275" s="2" t="s">
        <v>547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420</v>
      </c>
      <c r="B276" s="2" t="s">
        <v>481</v>
      </c>
      <c r="C276" s="2" t="s">
        <v>288</v>
      </c>
      <c r="D276" s="2" t="s">
        <v>547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421</v>
      </c>
      <c r="B277" s="2" t="s">
        <v>481</v>
      </c>
      <c r="C277" s="2" t="s">
        <v>289</v>
      </c>
      <c r="D277" s="2" t="s">
        <v>547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422</v>
      </c>
      <c r="B278" s="2" t="s">
        <v>481</v>
      </c>
      <c r="C278" s="2" t="s">
        <v>290</v>
      </c>
      <c r="D278" s="2" t="s">
        <v>547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567</v>
      </c>
      <c r="B279" s="2" t="s">
        <v>481</v>
      </c>
      <c r="C279" s="2" t="s">
        <v>291</v>
      </c>
      <c r="D279" s="2" t="s">
        <v>547</v>
      </c>
      <c r="E279" s="6">
        <v>2700</v>
      </c>
      <c r="F279" s="18"/>
      <c r="G279" s="18"/>
      <c r="H279" s="18">
        <v>1896</v>
      </c>
      <c r="I279" s="18">
        <f>172+756</f>
        <v>928</v>
      </c>
      <c r="J279" s="18">
        <v>936</v>
      </c>
      <c r="K279" s="18"/>
      <c r="L279" s="19">
        <f t="shared" si="12"/>
        <v>3760</v>
      </c>
      <c r="M279" s="8"/>
    </row>
    <row r="280" spans="1:13" s="3" customFormat="1" ht="12" customHeight="1" x14ac:dyDescent="0.15">
      <c r="A280" s="1" t="s">
        <v>568</v>
      </c>
      <c r="B280" s="2" t="s">
        <v>481</v>
      </c>
      <c r="C280" s="2" t="s">
        <v>327</v>
      </c>
      <c r="D280" s="2" t="s">
        <v>547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424</v>
      </c>
      <c r="B281" s="2" t="s">
        <v>481</v>
      </c>
      <c r="C281" s="2" t="s">
        <v>328</v>
      </c>
      <c r="D281" s="2" t="s">
        <v>547</v>
      </c>
      <c r="E281" s="6">
        <v>2900</v>
      </c>
      <c r="F281" s="24" t="s">
        <v>279</v>
      </c>
      <c r="G281" s="24" t="s">
        <v>279</v>
      </c>
      <c r="H281" s="24" t="s">
        <v>279</v>
      </c>
      <c r="I281" s="24" t="s">
        <v>279</v>
      </c>
      <c r="J281" s="24" t="s">
        <v>279</v>
      </c>
      <c r="K281" s="24" t="s">
        <v>279</v>
      </c>
      <c r="L281" s="24" t="s">
        <v>279</v>
      </c>
      <c r="M281" s="8"/>
    </row>
    <row r="282" spans="1:13" s="3" customFormat="1" ht="12" customHeight="1" thickTop="1" x14ac:dyDescent="0.2">
      <c r="A282" s="38" t="s">
        <v>399</v>
      </c>
      <c r="B282" s="39" t="s">
        <v>481</v>
      </c>
      <c r="C282" s="39" t="s">
        <v>329</v>
      </c>
      <c r="D282" s="39" t="s">
        <v>547</v>
      </c>
      <c r="E282" s="39"/>
      <c r="F282" s="42">
        <f t="shared" ref="F282:L282" si="13">SUM(F268:F281)</f>
        <v>161131</v>
      </c>
      <c r="G282" s="42">
        <f t="shared" si="13"/>
        <v>48018</v>
      </c>
      <c r="H282" s="42">
        <f t="shared" si="13"/>
        <v>30539</v>
      </c>
      <c r="I282" s="42">
        <f t="shared" si="13"/>
        <v>7161</v>
      </c>
      <c r="J282" s="42">
        <f t="shared" si="13"/>
        <v>36433</v>
      </c>
      <c r="K282" s="42">
        <f t="shared" si="13"/>
        <v>1690</v>
      </c>
      <c r="L282" s="41">
        <f t="shared" si="13"/>
        <v>284972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440</v>
      </c>
      <c r="B284" s="2" t="s">
        <v>457</v>
      </c>
      <c r="C284" s="2" t="s">
        <v>457</v>
      </c>
      <c r="D284" s="2"/>
      <c r="E284" s="2"/>
      <c r="F284" s="177" t="s">
        <v>696</v>
      </c>
      <c r="G284" s="177" t="s">
        <v>697</v>
      </c>
      <c r="H284" s="177" t="s">
        <v>828</v>
      </c>
      <c r="I284" s="177" t="s">
        <v>829</v>
      </c>
      <c r="J284" s="177" t="s">
        <v>830</v>
      </c>
      <c r="K284" s="177" t="s">
        <v>698</v>
      </c>
      <c r="L284" s="17"/>
      <c r="M284" s="8"/>
    </row>
    <row r="285" spans="1:13" s="3" customFormat="1" ht="12" customHeight="1" x14ac:dyDescent="0.15">
      <c r="A285" s="29" t="s">
        <v>426</v>
      </c>
      <c r="B285" s="7"/>
      <c r="C285" s="7"/>
      <c r="D285" s="7"/>
      <c r="E285" s="7"/>
      <c r="F285" s="103" t="s">
        <v>33</v>
      </c>
      <c r="G285" s="103" t="s">
        <v>34</v>
      </c>
      <c r="H285" s="103" t="s">
        <v>35</v>
      </c>
      <c r="I285" s="103" t="s">
        <v>36</v>
      </c>
      <c r="J285" s="103" t="s">
        <v>37</v>
      </c>
      <c r="K285" s="103" t="s">
        <v>38</v>
      </c>
      <c r="L285" s="103" t="s">
        <v>133</v>
      </c>
      <c r="M285" s="8"/>
    </row>
    <row r="286" spans="1:13" s="3" customFormat="1" ht="12" customHeight="1" x14ac:dyDescent="0.15">
      <c r="A286" s="30" t="s">
        <v>167</v>
      </c>
      <c r="F286" s="24" t="s">
        <v>279</v>
      </c>
      <c r="G286" s="24" t="s">
        <v>279</v>
      </c>
      <c r="H286" s="24" t="s">
        <v>279</v>
      </c>
      <c r="I286" s="24" t="s">
        <v>279</v>
      </c>
      <c r="J286" s="24" t="s">
        <v>279</v>
      </c>
      <c r="K286" s="24" t="s">
        <v>279</v>
      </c>
      <c r="L286" s="24" t="s">
        <v>279</v>
      </c>
      <c r="M286" s="8"/>
    </row>
    <row r="287" spans="1:13" s="3" customFormat="1" ht="12" customHeight="1" x14ac:dyDescent="0.15">
      <c r="A287" s="1" t="s">
        <v>556</v>
      </c>
      <c r="B287" s="2" t="s">
        <v>482</v>
      </c>
      <c r="C287" s="2" t="s">
        <v>281</v>
      </c>
      <c r="D287" s="2" t="s">
        <v>547</v>
      </c>
      <c r="E287" s="6">
        <v>1100</v>
      </c>
      <c r="F287" s="18"/>
      <c r="G287" s="18"/>
      <c r="H287" s="18">
        <v>51</v>
      </c>
      <c r="I287" s="18"/>
      <c r="J287" s="18"/>
      <c r="K287" s="18"/>
      <c r="L287" s="19">
        <f>SUM(F287:K287)</f>
        <v>51</v>
      </c>
      <c r="M287" s="8"/>
    </row>
    <row r="288" spans="1:13" s="3" customFormat="1" ht="12" customHeight="1" x14ac:dyDescent="0.15">
      <c r="A288" s="1" t="s">
        <v>557</v>
      </c>
      <c r="B288" s="2" t="s">
        <v>482</v>
      </c>
      <c r="C288" s="2" t="s">
        <v>282</v>
      </c>
      <c r="D288" s="2" t="s">
        <v>547</v>
      </c>
      <c r="E288" s="6">
        <v>1200</v>
      </c>
      <c r="F288" s="18">
        <v>23998</v>
      </c>
      <c r="G288" s="18">
        <v>7620</v>
      </c>
      <c r="H288" s="18">
        <v>1218</v>
      </c>
      <c r="I288" s="18">
        <v>359</v>
      </c>
      <c r="J288" s="18">
        <v>7133</v>
      </c>
      <c r="K288" s="18"/>
      <c r="L288" s="19">
        <f>SUM(F288:K288)</f>
        <v>40328</v>
      </c>
      <c r="M288" s="8"/>
    </row>
    <row r="289" spans="1:13" s="3" customFormat="1" ht="12" customHeight="1" x14ac:dyDescent="0.15">
      <c r="A289" s="1" t="s">
        <v>558</v>
      </c>
      <c r="B289" s="2" t="s">
        <v>482</v>
      </c>
      <c r="C289" s="2" t="s">
        <v>283</v>
      </c>
      <c r="D289" s="2" t="s">
        <v>547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559</v>
      </c>
      <c r="B290" s="2" t="s">
        <v>482</v>
      </c>
      <c r="C290" s="2" t="s">
        <v>284</v>
      </c>
      <c r="D290" s="2" t="s">
        <v>547</v>
      </c>
      <c r="E290" s="6">
        <v>1400</v>
      </c>
      <c r="F290" s="18"/>
      <c r="G290" s="18"/>
      <c r="H290" s="18">
        <v>3900</v>
      </c>
      <c r="I290" s="18"/>
      <c r="J290" s="18"/>
      <c r="K290" s="18"/>
      <c r="L290" s="19">
        <f>SUM(F290:K290)</f>
        <v>3900</v>
      </c>
      <c r="M290" s="8"/>
    </row>
    <row r="291" spans="1:13" s="3" customFormat="1" ht="12" customHeight="1" x14ac:dyDescent="0.15">
      <c r="A291" s="30" t="s">
        <v>326</v>
      </c>
      <c r="E291" s="6"/>
      <c r="F291" s="24" t="s">
        <v>279</v>
      </c>
      <c r="G291" s="24" t="s">
        <v>279</v>
      </c>
      <c r="H291" s="24" t="s">
        <v>279</v>
      </c>
      <c r="I291" s="24" t="s">
        <v>279</v>
      </c>
      <c r="J291" s="24" t="s">
        <v>279</v>
      </c>
      <c r="K291" s="24" t="s">
        <v>279</v>
      </c>
      <c r="L291" s="24" t="s">
        <v>279</v>
      </c>
      <c r="M291" s="8"/>
    </row>
    <row r="292" spans="1:13" s="3" customFormat="1" ht="12" customHeight="1" x14ac:dyDescent="0.15">
      <c r="A292" s="1" t="s">
        <v>560</v>
      </c>
      <c r="B292" s="2" t="s">
        <v>482</v>
      </c>
      <c r="C292" s="2" t="s">
        <v>285</v>
      </c>
      <c r="D292" s="2" t="s">
        <v>547</v>
      </c>
      <c r="E292" s="6">
        <v>2100</v>
      </c>
      <c r="F292" s="18">
        <v>842</v>
      </c>
      <c r="G292" s="18">
        <v>127</v>
      </c>
      <c r="H292" s="18">
        <f>548+745</f>
        <v>1293</v>
      </c>
      <c r="I292" s="18">
        <v>37</v>
      </c>
      <c r="J292" s="18">
        <v>291</v>
      </c>
      <c r="K292" s="18"/>
      <c r="L292" s="19">
        <f t="shared" ref="L292:L298" si="14">SUM(F292:K292)</f>
        <v>2590</v>
      </c>
      <c r="M292" s="8"/>
    </row>
    <row r="293" spans="1:13" s="3" customFormat="1" ht="12" customHeight="1" x14ac:dyDescent="0.15">
      <c r="A293" s="1" t="s">
        <v>561</v>
      </c>
      <c r="B293" s="2" t="s">
        <v>482</v>
      </c>
      <c r="C293" s="2" t="s">
        <v>286</v>
      </c>
      <c r="D293" s="2" t="s">
        <v>547</v>
      </c>
      <c r="E293" s="6">
        <v>2200</v>
      </c>
      <c r="F293" s="18">
        <v>2733</v>
      </c>
      <c r="G293" s="18">
        <v>405</v>
      </c>
      <c r="H293" s="18">
        <v>3269</v>
      </c>
      <c r="I293" s="18">
        <v>1246</v>
      </c>
      <c r="J293" s="18">
        <v>2472</v>
      </c>
      <c r="K293" s="18">
        <v>170</v>
      </c>
      <c r="L293" s="19">
        <f t="shared" si="14"/>
        <v>10295</v>
      </c>
      <c r="M293" s="8"/>
    </row>
    <row r="294" spans="1:13" s="3" customFormat="1" ht="12" customHeight="1" x14ac:dyDescent="0.15">
      <c r="A294" s="1" t="s">
        <v>419</v>
      </c>
      <c r="B294" s="2" t="s">
        <v>482</v>
      </c>
      <c r="C294" s="2" t="s">
        <v>287</v>
      </c>
      <c r="D294" s="2" t="s">
        <v>547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420</v>
      </c>
      <c r="B295" s="2" t="s">
        <v>482</v>
      </c>
      <c r="C295" s="2" t="s">
        <v>288</v>
      </c>
      <c r="D295" s="2" t="s">
        <v>547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421</v>
      </c>
      <c r="B296" s="2" t="s">
        <v>482</v>
      </c>
      <c r="C296" s="2" t="s">
        <v>289</v>
      </c>
      <c r="D296" s="2" t="s">
        <v>547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422</v>
      </c>
      <c r="B297" s="2" t="s">
        <v>482</v>
      </c>
      <c r="C297" s="2" t="s">
        <v>290</v>
      </c>
      <c r="D297" s="2" t="s">
        <v>547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567</v>
      </c>
      <c r="B298" s="2" t="s">
        <v>482</v>
      </c>
      <c r="C298" s="2" t="s">
        <v>291</v>
      </c>
      <c r="D298" s="2" t="s">
        <v>547</v>
      </c>
      <c r="E298" s="6">
        <v>2700</v>
      </c>
      <c r="F298" s="18"/>
      <c r="G298" s="18"/>
      <c r="H298" s="18"/>
      <c r="I298" s="18"/>
      <c r="J298" s="18">
        <v>154</v>
      </c>
      <c r="K298" s="18"/>
      <c r="L298" s="19">
        <f t="shared" si="14"/>
        <v>154</v>
      </c>
      <c r="M298" s="8"/>
    </row>
    <row r="299" spans="1:13" s="3" customFormat="1" ht="12" customHeight="1" x14ac:dyDescent="0.15">
      <c r="A299" s="1" t="s">
        <v>568</v>
      </c>
      <c r="B299" s="2" t="s">
        <v>482</v>
      </c>
      <c r="C299" s="2" t="s">
        <v>327</v>
      </c>
      <c r="D299" s="2" t="s">
        <v>547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424</v>
      </c>
      <c r="B300" s="2" t="s">
        <v>482</v>
      </c>
      <c r="C300" s="2" t="s">
        <v>328</v>
      </c>
      <c r="D300" s="2" t="s">
        <v>547</v>
      </c>
      <c r="E300" s="6">
        <v>2900</v>
      </c>
      <c r="F300" s="24" t="s">
        <v>279</v>
      </c>
      <c r="G300" s="24" t="s">
        <v>279</v>
      </c>
      <c r="H300" s="24" t="s">
        <v>279</v>
      </c>
      <c r="I300" s="24" t="s">
        <v>279</v>
      </c>
      <c r="J300" s="24" t="s">
        <v>279</v>
      </c>
      <c r="K300" s="24" t="s">
        <v>279</v>
      </c>
      <c r="L300" s="24" t="s">
        <v>279</v>
      </c>
      <c r="M300" s="8"/>
    </row>
    <row r="301" spans="1:13" s="3" customFormat="1" ht="12" customHeight="1" thickTop="1" x14ac:dyDescent="0.2">
      <c r="A301" s="38" t="s">
        <v>433</v>
      </c>
      <c r="B301" s="39" t="s">
        <v>482</v>
      </c>
      <c r="C301" s="40">
        <v>14</v>
      </c>
      <c r="D301" s="39" t="s">
        <v>547</v>
      </c>
      <c r="E301" s="40"/>
      <c r="F301" s="42">
        <f t="shared" ref="F301:L301" si="15">SUM(F287:F300)</f>
        <v>27573</v>
      </c>
      <c r="G301" s="42">
        <f t="shared" si="15"/>
        <v>8152</v>
      </c>
      <c r="H301" s="42">
        <f t="shared" si="15"/>
        <v>9731</v>
      </c>
      <c r="I301" s="42">
        <f t="shared" si="15"/>
        <v>1642</v>
      </c>
      <c r="J301" s="42">
        <f t="shared" si="15"/>
        <v>10050</v>
      </c>
      <c r="K301" s="42">
        <f t="shared" si="15"/>
        <v>170</v>
      </c>
      <c r="L301" s="41">
        <f t="shared" si="15"/>
        <v>57318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440</v>
      </c>
      <c r="F303" s="177" t="s">
        <v>696</v>
      </c>
      <c r="G303" s="177" t="s">
        <v>697</v>
      </c>
      <c r="H303" s="177" t="s">
        <v>828</v>
      </c>
      <c r="I303" s="177" t="s">
        <v>829</v>
      </c>
      <c r="J303" s="177" t="s">
        <v>830</v>
      </c>
      <c r="K303" s="177" t="s">
        <v>698</v>
      </c>
    </row>
    <row r="304" spans="1:13" s="3" customFormat="1" ht="12" customHeight="1" x14ac:dyDescent="0.15">
      <c r="A304" s="29" t="s">
        <v>427</v>
      </c>
      <c r="F304" s="103" t="s">
        <v>33</v>
      </c>
      <c r="G304" s="103" t="s">
        <v>34</v>
      </c>
      <c r="H304" s="103" t="s">
        <v>35</v>
      </c>
      <c r="I304" s="103" t="s">
        <v>36</v>
      </c>
      <c r="J304" s="103" t="s">
        <v>37</v>
      </c>
      <c r="K304" s="103" t="s">
        <v>38</v>
      </c>
      <c r="L304" s="103" t="s">
        <v>133</v>
      </c>
      <c r="M304" s="8"/>
    </row>
    <row r="305" spans="1:13" s="3" customFormat="1" ht="12" customHeight="1" x14ac:dyDescent="0.15">
      <c r="A305" s="30" t="s">
        <v>167</v>
      </c>
      <c r="F305" s="24" t="s">
        <v>279</v>
      </c>
      <c r="G305" s="24" t="s">
        <v>279</v>
      </c>
      <c r="H305" s="24" t="s">
        <v>279</v>
      </c>
      <c r="I305" s="24" t="s">
        <v>279</v>
      </c>
      <c r="J305" s="24" t="s">
        <v>279</v>
      </c>
      <c r="K305" s="24" t="s">
        <v>279</v>
      </c>
      <c r="L305" s="24" t="s">
        <v>279</v>
      </c>
      <c r="M305" s="8"/>
    </row>
    <row r="306" spans="1:13" s="3" customFormat="1" ht="12" customHeight="1" x14ac:dyDescent="0.15">
      <c r="A306" s="1" t="s">
        <v>556</v>
      </c>
      <c r="B306" s="2" t="s">
        <v>483</v>
      </c>
      <c r="C306" s="2" t="s">
        <v>281</v>
      </c>
      <c r="D306" s="2" t="s">
        <v>547</v>
      </c>
      <c r="E306" s="6">
        <v>1100</v>
      </c>
      <c r="F306" s="18"/>
      <c r="G306" s="18"/>
      <c r="H306" s="18">
        <f>102+16862-1</f>
        <v>16963</v>
      </c>
      <c r="I306" s="18">
        <v>5719</v>
      </c>
      <c r="J306" s="18">
        <v>1117</v>
      </c>
      <c r="K306" s="18">
        <v>5200</v>
      </c>
      <c r="L306" s="19">
        <f>SUM(F306:K306)</f>
        <v>28999</v>
      </c>
      <c r="M306" s="8"/>
    </row>
    <row r="307" spans="1:13" s="3" customFormat="1" ht="12" customHeight="1" x14ac:dyDescent="0.15">
      <c r="A307" s="1" t="s">
        <v>557</v>
      </c>
      <c r="B307" s="2" t="s">
        <v>483</v>
      </c>
      <c r="C307" s="2" t="s">
        <v>282</v>
      </c>
      <c r="D307" s="2" t="s">
        <v>547</v>
      </c>
      <c r="E307" s="6">
        <v>1200</v>
      </c>
      <c r="F307" s="18">
        <v>44908</v>
      </c>
      <c r="G307" s="18">
        <v>14259</v>
      </c>
      <c r="H307" s="18">
        <v>2280</v>
      </c>
      <c r="I307" s="18">
        <v>672</v>
      </c>
      <c r="J307" s="18">
        <v>13348</v>
      </c>
      <c r="K307" s="18"/>
      <c r="L307" s="19">
        <f>SUM(F307:K307)</f>
        <v>75467</v>
      </c>
      <c r="M307" s="8"/>
    </row>
    <row r="308" spans="1:13" s="3" customFormat="1" ht="12" customHeight="1" x14ac:dyDescent="0.15">
      <c r="A308" s="1" t="s">
        <v>558</v>
      </c>
      <c r="B308" s="2" t="s">
        <v>483</v>
      </c>
      <c r="C308" s="2" t="s">
        <v>283</v>
      </c>
      <c r="D308" s="2" t="s">
        <v>547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559</v>
      </c>
      <c r="B309" s="2" t="s">
        <v>483</v>
      </c>
      <c r="C309" s="2" t="s">
        <v>284</v>
      </c>
      <c r="D309" s="2" t="s">
        <v>547</v>
      </c>
      <c r="E309" s="6">
        <v>1400</v>
      </c>
      <c r="F309" s="18"/>
      <c r="G309" s="18"/>
      <c r="H309" s="18"/>
      <c r="I309" s="18"/>
      <c r="J309" s="18">
        <v>797</v>
      </c>
      <c r="K309" s="18"/>
      <c r="L309" s="19">
        <f>SUM(F309:K309)</f>
        <v>797</v>
      </c>
      <c r="M309" s="8"/>
    </row>
    <row r="310" spans="1:13" s="3" customFormat="1" ht="12" customHeight="1" x14ac:dyDescent="0.15">
      <c r="A310" s="30" t="s">
        <v>326</v>
      </c>
      <c r="C310" s="23"/>
      <c r="E310" s="6"/>
      <c r="F310" s="24" t="s">
        <v>279</v>
      </c>
      <c r="G310" s="24" t="s">
        <v>279</v>
      </c>
      <c r="H310" s="24" t="s">
        <v>279</v>
      </c>
      <c r="I310" s="24" t="s">
        <v>279</v>
      </c>
      <c r="J310" s="24" t="s">
        <v>279</v>
      </c>
      <c r="K310" s="24" t="s">
        <v>279</v>
      </c>
      <c r="L310" s="24" t="s">
        <v>279</v>
      </c>
      <c r="M310" s="8"/>
    </row>
    <row r="311" spans="1:13" s="3" customFormat="1" ht="12" customHeight="1" x14ac:dyDescent="0.15">
      <c r="A311" s="1" t="s">
        <v>560</v>
      </c>
      <c r="B311" s="2" t="s">
        <v>483</v>
      </c>
      <c r="C311" s="2" t="s">
        <v>285</v>
      </c>
      <c r="D311" s="2" t="s">
        <v>547</v>
      </c>
      <c r="E311" s="6">
        <v>2100</v>
      </c>
      <c r="F311" s="18">
        <v>1575</v>
      </c>
      <c r="G311" s="18">
        <v>239</v>
      </c>
      <c r="H311" s="18">
        <f>1026+1394</f>
        <v>2420</v>
      </c>
      <c r="I311" s="18">
        <v>69</v>
      </c>
      <c r="J311" s="18">
        <v>544</v>
      </c>
      <c r="K311" s="18"/>
      <c r="L311" s="19">
        <f t="shared" ref="L311:L317" si="16">SUM(F311:K311)</f>
        <v>4847</v>
      </c>
      <c r="M311" s="8"/>
    </row>
    <row r="312" spans="1:13" s="3" customFormat="1" ht="12" customHeight="1" x14ac:dyDescent="0.15">
      <c r="A312" s="1" t="s">
        <v>561</v>
      </c>
      <c r="B312" s="2" t="s">
        <v>483</v>
      </c>
      <c r="C312" s="2" t="s">
        <v>286</v>
      </c>
      <c r="D312" s="2" t="s">
        <v>547</v>
      </c>
      <c r="E312" s="6">
        <v>2200</v>
      </c>
      <c r="F312" s="18">
        <v>5114</v>
      </c>
      <c r="G312" s="18">
        <v>758</v>
      </c>
      <c r="H312" s="18">
        <v>6118</v>
      </c>
      <c r="I312" s="18">
        <v>2331</v>
      </c>
      <c r="J312" s="18">
        <f>4625+1331</f>
        <v>5956</v>
      </c>
      <c r="K312" s="18">
        <v>340</v>
      </c>
      <c r="L312" s="19">
        <f t="shared" si="16"/>
        <v>20617</v>
      </c>
      <c r="M312" s="8"/>
    </row>
    <row r="313" spans="1:13" s="3" customFormat="1" ht="12" customHeight="1" x14ac:dyDescent="0.15">
      <c r="A313" s="1" t="s">
        <v>419</v>
      </c>
      <c r="B313" s="2" t="s">
        <v>483</v>
      </c>
      <c r="C313" s="2" t="s">
        <v>287</v>
      </c>
      <c r="D313" s="2" t="s">
        <v>547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420</v>
      </c>
      <c r="B314" s="2" t="s">
        <v>483</v>
      </c>
      <c r="C314" s="2" t="s">
        <v>288</v>
      </c>
      <c r="D314" s="2" t="s">
        <v>547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421</v>
      </c>
      <c r="B315" s="2" t="s">
        <v>483</v>
      </c>
      <c r="C315" s="2" t="s">
        <v>289</v>
      </c>
      <c r="D315" s="2" t="s">
        <v>547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422</v>
      </c>
      <c r="B316" s="2" t="s">
        <v>483</v>
      </c>
      <c r="C316" s="2" t="s">
        <v>290</v>
      </c>
      <c r="D316" s="2" t="s">
        <v>547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567</v>
      </c>
      <c r="B317" s="2" t="s">
        <v>483</v>
      </c>
      <c r="C317" s="2" t="s">
        <v>291</v>
      </c>
      <c r="D317" s="2" t="s">
        <v>547</v>
      </c>
      <c r="E317" s="6">
        <v>2700</v>
      </c>
      <c r="F317" s="18"/>
      <c r="G317" s="18"/>
      <c r="H317" s="18">
        <v>829</v>
      </c>
      <c r="I317" s="18"/>
      <c r="J317" s="18">
        <v>300</v>
      </c>
      <c r="K317" s="18"/>
      <c r="L317" s="19">
        <f t="shared" si="16"/>
        <v>1129</v>
      </c>
      <c r="M317" s="8"/>
    </row>
    <row r="318" spans="1:13" s="3" customFormat="1" ht="12" customHeight="1" x14ac:dyDescent="0.15">
      <c r="A318" s="1" t="s">
        <v>568</v>
      </c>
      <c r="B318" s="2" t="s">
        <v>483</v>
      </c>
      <c r="C318" s="2" t="s">
        <v>327</v>
      </c>
      <c r="D318" s="2" t="s">
        <v>547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424</v>
      </c>
      <c r="B319" s="2" t="s">
        <v>483</v>
      </c>
      <c r="C319" s="2" t="s">
        <v>328</v>
      </c>
      <c r="D319" s="2" t="s">
        <v>547</v>
      </c>
      <c r="E319" s="6">
        <v>2900</v>
      </c>
      <c r="F319" s="24" t="s">
        <v>279</v>
      </c>
      <c r="G319" s="24" t="s">
        <v>279</v>
      </c>
      <c r="H319" s="24" t="s">
        <v>279</v>
      </c>
      <c r="I319" s="24" t="s">
        <v>279</v>
      </c>
      <c r="J319" s="24" t="s">
        <v>279</v>
      </c>
      <c r="K319" s="24" t="s">
        <v>279</v>
      </c>
      <c r="L319" s="24" t="s">
        <v>279</v>
      </c>
      <c r="M319" s="8"/>
    </row>
    <row r="320" spans="1:13" s="3" customFormat="1" ht="12" customHeight="1" thickTop="1" x14ac:dyDescent="0.2">
      <c r="A320" s="38" t="s">
        <v>691</v>
      </c>
      <c r="B320" s="39" t="s">
        <v>483</v>
      </c>
      <c r="C320" s="40">
        <v>14</v>
      </c>
      <c r="D320" s="39" t="s">
        <v>547</v>
      </c>
      <c r="E320" s="40"/>
      <c r="F320" s="42">
        <f t="shared" ref="F320:L320" si="17">SUM(F306:F319)</f>
        <v>51597</v>
      </c>
      <c r="G320" s="42">
        <f t="shared" si="17"/>
        <v>15256</v>
      </c>
      <c r="H320" s="42">
        <f t="shared" si="17"/>
        <v>28610</v>
      </c>
      <c r="I320" s="42">
        <f t="shared" si="17"/>
        <v>8791</v>
      </c>
      <c r="J320" s="42">
        <f t="shared" si="17"/>
        <v>22062</v>
      </c>
      <c r="K320" s="42">
        <f t="shared" si="17"/>
        <v>5540</v>
      </c>
      <c r="L320" s="41">
        <f t="shared" si="17"/>
        <v>131856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484</v>
      </c>
      <c r="B322" s="2"/>
      <c r="C322" s="6"/>
      <c r="D322" s="6"/>
      <c r="E322" s="6"/>
      <c r="F322" s="177" t="s">
        <v>696</v>
      </c>
      <c r="G322" s="177" t="s">
        <v>697</v>
      </c>
      <c r="H322" s="177" t="s">
        <v>828</v>
      </c>
      <c r="I322" s="177" t="s">
        <v>829</v>
      </c>
      <c r="J322" s="177" t="s">
        <v>830</v>
      </c>
      <c r="K322" s="177" t="s">
        <v>698</v>
      </c>
      <c r="L322" s="19"/>
      <c r="M322" s="8"/>
    </row>
    <row r="323" spans="1:13" s="3" customFormat="1" ht="12" customHeight="1" x14ac:dyDescent="0.15">
      <c r="A323" s="29" t="s">
        <v>343</v>
      </c>
      <c r="F323" s="103" t="s">
        <v>33</v>
      </c>
      <c r="G323" s="103" t="s">
        <v>34</v>
      </c>
      <c r="H323" s="103" t="s">
        <v>35</v>
      </c>
      <c r="I323" s="103" t="s">
        <v>36</v>
      </c>
      <c r="J323" s="103" t="s">
        <v>37</v>
      </c>
      <c r="K323" s="103" t="s">
        <v>38</v>
      </c>
      <c r="L323" s="103" t="s">
        <v>133</v>
      </c>
      <c r="M323" s="8"/>
    </row>
    <row r="324" spans="1:13" s="3" customFormat="1" ht="12" customHeight="1" x14ac:dyDescent="0.15">
      <c r="A324" s="1" t="s">
        <v>660</v>
      </c>
      <c r="B324" s="6">
        <v>14</v>
      </c>
      <c r="C324" s="2" t="s">
        <v>280</v>
      </c>
      <c r="D324" s="2" t="s">
        <v>547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477</v>
      </c>
      <c r="B325" s="6">
        <v>14</v>
      </c>
      <c r="C325" s="2" t="s">
        <v>300</v>
      </c>
      <c r="D325" s="2" t="s">
        <v>547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574</v>
      </c>
      <c r="B326" s="6">
        <v>14</v>
      </c>
      <c r="C326" s="2" t="s">
        <v>306</v>
      </c>
      <c r="D326" s="2" t="s">
        <v>547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575</v>
      </c>
      <c r="B327" s="6">
        <v>14</v>
      </c>
      <c r="C327" s="2" t="s">
        <v>452</v>
      </c>
      <c r="D327" s="2" t="s">
        <v>547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576</v>
      </c>
      <c r="B328" s="6">
        <v>14</v>
      </c>
      <c r="C328" s="37">
        <v>5</v>
      </c>
      <c r="D328" s="2" t="s">
        <v>547</v>
      </c>
      <c r="E328" s="6">
        <v>4000</v>
      </c>
      <c r="F328" s="18"/>
      <c r="G328" s="18"/>
      <c r="H328" s="18">
        <v>8084</v>
      </c>
      <c r="I328" s="18"/>
      <c r="J328" s="18">
        <v>20959</v>
      </c>
      <c r="K328" s="18"/>
      <c r="L328" s="19">
        <f t="shared" si="18"/>
        <v>29043</v>
      </c>
      <c r="M328" s="8"/>
    </row>
    <row r="329" spans="1:13" s="3" customFormat="1" ht="12" customHeight="1" thickTop="1" thickBot="1" x14ac:dyDescent="0.2">
      <c r="A329" s="50" t="s">
        <v>441</v>
      </c>
      <c r="B329" s="40">
        <v>14</v>
      </c>
      <c r="C329" s="51">
        <v>6</v>
      </c>
      <c r="D329" s="48" t="s">
        <v>547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8084</v>
      </c>
      <c r="I329" s="41">
        <f t="shared" si="19"/>
        <v>0</v>
      </c>
      <c r="J329" s="41">
        <f t="shared" si="19"/>
        <v>20959</v>
      </c>
      <c r="K329" s="41">
        <f t="shared" si="19"/>
        <v>0</v>
      </c>
      <c r="L329" s="41">
        <f t="shared" si="18"/>
        <v>29043</v>
      </c>
      <c r="M329" s="8"/>
    </row>
    <row r="330" spans="1:13" s="3" customFormat="1" ht="12" customHeight="1" thickTop="1" x14ac:dyDescent="0.15">
      <c r="A330" s="38" t="s">
        <v>442</v>
      </c>
      <c r="B330" s="40">
        <v>14</v>
      </c>
      <c r="C330" s="40">
        <v>7</v>
      </c>
      <c r="D330" s="39" t="s">
        <v>547</v>
      </c>
      <c r="E330" s="40"/>
      <c r="F330" s="41">
        <f t="shared" ref="F330:L330" si="20">F282+F301+F320+F329</f>
        <v>240301</v>
      </c>
      <c r="G330" s="41">
        <f t="shared" si="20"/>
        <v>71426</v>
      </c>
      <c r="H330" s="41">
        <f t="shared" si="20"/>
        <v>76964</v>
      </c>
      <c r="I330" s="41">
        <f t="shared" si="20"/>
        <v>17594</v>
      </c>
      <c r="J330" s="41">
        <f t="shared" si="20"/>
        <v>89504</v>
      </c>
      <c r="K330" s="41">
        <f t="shared" si="20"/>
        <v>7400</v>
      </c>
      <c r="L330" s="41">
        <f t="shared" si="20"/>
        <v>503189</v>
      </c>
      <c r="M330" s="8"/>
    </row>
    <row r="331" spans="1:13" s="3" customFormat="1" ht="12" customHeight="1" x14ac:dyDescent="0.15">
      <c r="A331" s="29" t="s">
        <v>478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437</v>
      </c>
      <c r="E332" s="6">
        <v>5100</v>
      </c>
      <c r="F332" s="24" t="s">
        <v>279</v>
      </c>
      <c r="G332" s="24" t="s">
        <v>279</v>
      </c>
      <c r="H332" s="24" t="s">
        <v>279</v>
      </c>
      <c r="I332" s="24" t="s">
        <v>279</v>
      </c>
      <c r="J332" s="24" t="s">
        <v>279</v>
      </c>
      <c r="K332" s="24" t="s">
        <v>279</v>
      </c>
      <c r="L332" s="24" t="s">
        <v>279</v>
      </c>
      <c r="M332" s="8"/>
    </row>
    <row r="333" spans="1:13" s="3" customFormat="1" ht="12" customHeight="1" x14ac:dyDescent="0.15">
      <c r="A333" s="1" t="s">
        <v>505</v>
      </c>
      <c r="B333" s="6">
        <v>14</v>
      </c>
      <c r="C333" s="37">
        <v>8</v>
      </c>
      <c r="E333" s="6">
        <v>5100</v>
      </c>
      <c r="F333" s="24" t="s">
        <v>279</v>
      </c>
      <c r="G333" s="24" t="s">
        <v>279</v>
      </c>
      <c r="H333" s="24" t="s">
        <v>279</v>
      </c>
      <c r="I333" s="24" t="s">
        <v>279</v>
      </c>
      <c r="J333" s="24" t="s">
        <v>279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517</v>
      </c>
      <c r="B334" s="6">
        <v>14</v>
      </c>
      <c r="C334" s="37">
        <v>9</v>
      </c>
      <c r="E334" s="6">
        <v>5120</v>
      </c>
      <c r="F334" s="24" t="s">
        <v>279</v>
      </c>
      <c r="G334" s="24" t="s">
        <v>279</v>
      </c>
      <c r="H334" s="24" t="s">
        <v>279</v>
      </c>
      <c r="I334" s="24" t="s">
        <v>279</v>
      </c>
      <c r="J334" s="24" t="s">
        <v>279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480</v>
      </c>
      <c r="B335" s="6">
        <v>14</v>
      </c>
      <c r="E335" s="6">
        <v>5200</v>
      </c>
      <c r="F335" s="24" t="s">
        <v>279</v>
      </c>
      <c r="G335" s="24" t="s">
        <v>279</v>
      </c>
      <c r="H335" s="24" t="s">
        <v>279</v>
      </c>
      <c r="I335" s="24" t="s">
        <v>279</v>
      </c>
      <c r="J335" s="24" t="s">
        <v>279</v>
      </c>
      <c r="K335" s="24" t="s">
        <v>279</v>
      </c>
      <c r="L335" s="24" t="s">
        <v>279</v>
      </c>
      <c r="M335" s="8"/>
    </row>
    <row r="336" spans="1:13" s="3" customFormat="1" ht="12" customHeight="1" x14ac:dyDescent="0.15">
      <c r="A336" s="3" t="s">
        <v>523</v>
      </c>
      <c r="B336" s="6">
        <v>14</v>
      </c>
      <c r="C336" s="6">
        <v>10</v>
      </c>
      <c r="D336" s="2" t="s">
        <v>547</v>
      </c>
      <c r="E336" s="6">
        <v>5210</v>
      </c>
      <c r="F336" s="24" t="s">
        <v>279</v>
      </c>
      <c r="G336" s="24" t="s">
        <v>279</v>
      </c>
      <c r="H336" s="24" t="s">
        <v>279</v>
      </c>
      <c r="I336" s="24" t="s">
        <v>279</v>
      </c>
      <c r="J336" s="24" t="s">
        <v>279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600</v>
      </c>
      <c r="B337" s="6">
        <v>14</v>
      </c>
      <c r="C337" s="6">
        <v>11</v>
      </c>
      <c r="D337" s="2" t="s">
        <v>547</v>
      </c>
      <c r="E337" s="6">
        <v>5221</v>
      </c>
      <c r="F337" s="24" t="s">
        <v>279</v>
      </c>
      <c r="G337" s="24" t="s">
        <v>279</v>
      </c>
      <c r="H337" s="24" t="s">
        <v>279</v>
      </c>
      <c r="I337" s="24" t="s">
        <v>279</v>
      </c>
      <c r="J337" s="24" t="s">
        <v>279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524</v>
      </c>
      <c r="B338" s="6">
        <v>14</v>
      </c>
      <c r="C338" s="6">
        <v>12</v>
      </c>
      <c r="D338" s="2" t="s">
        <v>547</v>
      </c>
      <c r="E338" s="6">
        <v>5230</v>
      </c>
      <c r="F338" s="24" t="s">
        <v>279</v>
      </c>
      <c r="G338" s="24" t="s">
        <v>279</v>
      </c>
      <c r="H338" s="24" t="s">
        <v>279</v>
      </c>
      <c r="I338" s="24" t="s">
        <v>279</v>
      </c>
      <c r="J338" s="24" t="s">
        <v>279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525</v>
      </c>
      <c r="B339" s="6">
        <v>14</v>
      </c>
      <c r="C339" s="6">
        <v>13</v>
      </c>
      <c r="D339" s="2" t="s">
        <v>547</v>
      </c>
      <c r="E339" s="6">
        <v>5250</v>
      </c>
      <c r="F339" s="24" t="s">
        <v>279</v>
      </c>
      <c r="G339" s="24" t="s">
        <v>279</v>
      </c>
      <c r="H339" s="24" t="s">
        <v>279</v>
      </c>
      <c r="I339" s="24" t="s">
        <v>279</v>
      </c>
      <c r="J339" s="24" t="s">
        <v>279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676</v>
      </c>
      <c r="B340" s="2"/>
      <c r="C340" s="6"/>
      <c r="D340" s="6"/>
      <c r="E340" s="6">
        <v>5300</v>
      </c>
      <c r="F340" s="24" t="s">
        <v>279</v>
      </c>
      <c r="G340" s="24" t="s">
        <v>279</v>
      </c>
      <c r="H340" s="24" t="s">
        <v>279</v>
      </c>
      <c r="I340" s="24" t="s">
        <v>279</v>
      </c>
      <c r="J340" s="24" t="s">
        <v>279</v>
      </c>
      <c r="K340" s="24" t="s">
        <v>279</v>
      </c>
      <c r="L340" s="24" t="s">
        <v>279</v>
      </c>
      <c r="M340" s="8"/>
    </row>
    <row r="341" spans="1:43" s="3" customFormat="1" ht="12" customHeight="1" x14ac:dyDescent="0.15">
      <c r="A341" s="1" t="s">
        <v>521</v>
      </c>
      <c r="B341" s="6">
        <v>14</v>
      </c>
      <c r="C341" s="6">
        <v>14</v>
      </c>
      <c r="D341" s="2" t="s">
        <v>547</v>
      </c>
      <c r="E341" s="6">
        <v>5310</v>
      </c>
      <c r="F341" s="24" t="s">
        <v>279</v>
      </c>
      <c r="G341" s="24" t="s">
        <v>279</v>
      </c>
      <c r="H341" s="24" t="s">
        <v>279</v>
      </c>
      <c r="I341" s="24" t="s">
        <v>279</v>
      </c>
      <c r="J341" s="24" t="s">
        <v>279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522</v>
      </c>
      <c r="B342" s="6">
        <v>14</v>
      </c>
      <c r="C342" s="37">
        <v>15</v>
      </c>
      <c r="D342" s="2" t="s">
        <v>547</v>
      </c>
      <c r="E342" s="6">
        <v>5390</v>
      </c>
      <c r="F342" s="24" t="s">
        <v>279</v>
      </c>
      <c r="G342" s="24" t="s">
        <v>279</v>
      </c>
      <c r="H342" s="24" t="s">
        <v>279</v>
      </c>
      <c r="I342" s="24" t="s">
        <v>279</v>
      </c>
      <c r="J342" s="24" t="s">
        <v>279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400</v>
      </c>
      <c r="B343" s="40">
        <v>14</v>
      </c>
      <c r="C343" s="51">
        <v>16</v>
      </c>
      <c r="D343" s="39" t="s">
        <v>547</v>
      </c>
      <c r="E343" s="40"/>
      <c r="F343" s="45" t="s">
        <v>279</v>
      </c>
      <c r="G343" s="45" t="s">
        <v>279</v>
      </c>
      <c r="H343" s="45" t="s">
        <v>279</v>
      </c>
      <c r="I343" s="45" t="s">
        <v>279</v>
      </c>
      <c r="J343" s="45" t="s">
        <v>279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443</v>
      </c>
      <c r="B344" s="40">
        <v>14</v>
      </c>
      <c r="C344" s="40">
        <v>17</v>
      </c>
      <c r="D344" s="39" t="s">
        <v>547</v>
      </c>
      <c r="E344" s="40"/>
      <c r="F344" s="41">
        <f>F330</f>
        <v>240301</v>
      </c>
      <c r="G344" s="41">
        <f>G330</f>
        <v>71426</v>
      </c>
      <c r="H344" s="41">
        <f>H330</f>
        <v>76964</v>
      </c>
      <c r="I344" s="41">
        <f>I330</f>
        <v>17594</v>
      </c>
      <c r="J344" s="41">
        <f>J330</f>
        <v>89504</v>
      </c>
      <c r="K344" s="47">
        <f>K330+K343</f>
        <v>7400</v>
      </c>
      <c r="L344" s="41">
        <f>L330+L343</f>
        <v>503189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696</v>
      </c>
      <c r="G346" s="177" t="s">
        <v>697</v>
      </c>
      <c r="H346" s="177" t="s">
        <v>828</v>
      </c>
      <c r="I346" s="177" t="s">
        <v>829</v>
      </c>
      <c r="J346" s="177" t="s">
        <v>830</v>
      </c>
      <c r="K346" s="177" t="s">
        <v>698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272</v>
      </c>
      <c r="F347" s="103" t="s">
        <v>33</v>
      </c>
      <c r="G347" s="103" t="s">
        <v>34</v>
      </c>
      <c r="H347" s="103" t="s">
        <v>35</v>
      </c>
      <c r="I347" s="103" t="s">
        <v>36</v>
      </c>
      <c r="J347" s="103" t="s">
        <v>37</v>
      </c>
      <c r="K347" s="103" t="s">
        <v>38</v>
      </c>
      <c r="L347" s="103" t="s">
        <v>133</v>
      </c>
      <c r="M347" s="8"/>
    </row>
    <row r="348" spans="1:43" s="3" customFormat="1" ht="12" customHeight="1" x14ac:dyDescent="0.15">
      <c r="A348" s="27" t="s">
        <v>434</v>
      </c>
      <c r="B348" s="7"/>
      <c r="C348" s="7"/>
      <c r="D348" s="7"/>
      <c r="E348" s="6">
        <v>3000</v>
      </c>
      <c r="F348" s="24" t="s">
        <v>279</v>
      </c>
      <c r="G348" s="24" t="s">
        <v>279</v>
      </c>
      <c r="H348" s="24" t="s">
        <v>279</v>
      </c>
      <c r="I348" s="24" t="s">
        <v>279</v>
      </c>
      <c r="J348" s="24" t="s">
        <v>279</v>
      </c>
      <c r="K348" s="24" t="s">
        <v>279</v>
      </c>
      <c r="L348" s="24" t="s">
        <v>279</v>
      </c>
      <c r="M348" s="8"/>
    </row>
    <row r="349" spans="1:43" s="3" customFormat="1" ht="12" customHeight="1" x14ac:dyDescent="0.15">
      <c r="A349" s="30" t="s">
        <v>346</v>
      </c>
      <c r="B349" s="2"/>
      <c r="C349" s="2"/>
      <c r="D349" s="2"/>
      <c r="E349" s="6">
        <v>3100</v>
      </c>
      <c r="F349" s="24" t="s">
        <v>279</v>
      </c>
      <c r="G349" s="24" t="s">
        <v>279</v>
      </c>
      <c r="H349" s="24" t="s">
        <v>279</v>
      </c>
      <c r="I349" s="24" t="s">
        <v>279</v>
      </c>
      <c r="J349" s="24" t="s">
        <v>279</v>
      </c>
      <c r="K349" s="24" t="s">
        <v>279</v>
      </c>
      <c r="L349" s="24" t="s">
        <v>279</v>
      </c>
      <c r="M349" s="8"/>
    </row>
    <row r="350" spans="1:43" s="3" customFormat="1" ht="12" customHeight="1" x14ac:dyDescent="0.15">
      <c r="A350" s="3" t="s">
        <v>526</v>
      </c>
      <c r="B350" s="2" t="s">
        <v>348</v>
      </c>
      <c r="C350" s="6">
        <v>1</v>
      </c>
      <c r="D350" s="2" t="s">
        <v>547</v>
      </c>
      <c r="E350" s="6"/>
      <c r="F350" s="18">
        <v>90952</v>
      </c>
      <c r="G350" s="18">
        <v>32365</v>
      </c>
      <c r="H350" s="18">
        <f>1054+1071+1461-1</f>
        <v>3585</v>
      </c>
      <c r="I350" s="18">
        <v>57638</v>
      </c>
      <c r="J350" s="18">
        <v>8961</v>
      </c>
      <c r="K350" s="18">
        <v>205</v>
      </c>
      <c r="L350" s="13">
        <f>SUM(F350:K350)</f>
        <v>193706</v>
      </c>
      <c r="M350" s="8"/>
    </row>
    <row r="351" spans="1:43" s="3" customFormat="1" ht="12" customHeight="1" x14ac:dyDescent="0.15">
      <c r="A351" s="1" t="s">
        <v>654</v>
      </c>
      <c r="B351" s="2" t="s">
        <v>348</v>
      </c>
      <c r="C351" s="6">
        <v>2</v>
      </c>
      <c r="D351" s="2" t="s">
        <v>547</v>
      </c>
      <c r="E351" s="6"/>
      <c r="F351" s="18">
        <v>23485</v>
      </c>
      <c r="G351" s="18">
        <v>8181</v>
      </c>
      <c r="H351" s="18">
        <f>333+881+461</f>
        <v>1675</v>
      </c>
      <c r="I351" s="18">
        <v>26222</v>
      </c>
      <c r="J351" s="18">
        <v>1433</v>
      </c>
      <c r="K351" s="18">
        <v>45</v>
      </c>
      <c r="L351" s="19">
        <f>SUM(F351:K351)</f>
        <v>61041</v>
      </c>
      <c r="M351" s="8"/>
    </row>
    <row r="352" spans="1:43" ht="12" customHeight="1" x14ac:dyDescent="0.2">
      <c r="A352" s="3" t="s">
        <v>655</v>
      </c>
      <c r="B352" s="2" t="s">
        <v>348</v>
      </c>
      <c r="C352" s="6">
        <v>3</v>
      </c>
      <c r="D352" s="2" t="s">
        <v>547</v>
      </c>
      <c r="E352" s="6"/>
      <c r="F352" s="18">
        <v>45135</v>
      </c>
      <c r="G352" s="18">
        <v>15606</v>
      </c>
      <c r="H352" s="18">
        <f>623+1712+862+1</f>
        <v>3198</v>
      </c>
      <c r="I352" s="18">
        <v>50814</v>
      </c>
      <c r="J352" s="18">
        <v>2682</v>
      </c>
      <c r="K352" s="18">
        <v>85</v>
      </c>
      <c r="L352" s="19">
        <f>SUM(F352:K352)</f>
        <v>117520</v>
      </c>
    </row>
    <row r="353" spans="1:13" s="3" customFormat="1" ht="12" customHeight="1" thickBot="1" x14ac:dyDescent="0.2">
      <c r="A353" s="1" t="s">
        <v>625</v>
      </c>
      <c r="B353" s="2" t="s">
        <v>348</v>
      </c>
      <c r="C353" s="6">
        <v>4</v>
      </c>
      <c r="D353" s="2" t="s">
        <v>547</v>
      </c>
      <c r="E353" s="6">
        <v>5200</v>
      </c>
      <c r="F353" s="24" t="s">
        <v>279</v>
      </c>
      <c r="G353" s="24" t="s">
        <v>279</v>
      </c>
      <c r="H353" s="24" t="s">
        <v>279</v>
      </c>
      <c r="I353" s="24" t="s">
        <v>279</v>
      </c>
      <c r="J353" s="24" t="s">
        <v>279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443</v>
      </c>
      <c r="B354" s="39" t="s">
        <v>348</v>
      </c>
      <c r="C354" s="40">
        <v>5</v>
      </c>
      <c r="D354" s="39" t="s">
        <v>547</v>
      </c>
      <c r="E354" s="40"/>
      <c r="F354" s="47">
        <f t="shared" ref="F354:L354" si="22">SUM(F350:F353)</f>
        <v>159572</v>
      </c>
      <c r="G354" s="47">
        <f t="shared" si="22"/>
        <v>56152</v>
      </c>
      <c r="H354" s="47">
        <f t="shared" si="22"/>
        <v>8458</v>
      </c>
      <c r="I354" s="47">
        <f t="shared" si="22"/>
        <v>134674</v>
      </c>
      <c r="J354" s="47">
        <f t="shared" si="22"/>
        <v>13076</v>
      </c>
      <c r="K354" s="47">
        <f t="shared" si="22"/>
        <v>335</v>
      </c>
      <c r="L354" s="47">
        <f t="shared" si="22"/>
        <v>372267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350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255</v>
      </c>
      <c r="G357" s="57" t="s">
        <v>256</v>
      </c>
      <c r="H357" s="57" t="s">
        <v>257</v>
      </c>
      <c r="I357" s="57" t="s">
        <v>258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347</v>
      </c>
      <c r="G358" s="60" t="s">
        <v>351</v>
      </c>
      <c r="H358" s="60" t="s">
        <v>490</v>
      </c>
      <c r="I358" s="60" t="s">
        <v>471</v>
      </c>
      <c r="J358" s="24" t="s">
        <v>279</v>
      </c>
      <c r="K358" s="24" t="s">
        <v>279</v>
      </c>
      <c r="L358" s="24" t="s">
        <v>279</v>
      </c>
      <c r="M358" s="8"/>
    </row>
    <row r="359" spans="1:13" s="3" customFormat="1" ht="12" customHeight="1" x14ac:dyDescent="0.15">
      <c r="A359" s="58" t="s">
        <v>352</v>
      </c>
      <c r="B359" s="2" t="s">
        <v>348</v>
      </c>
      <c r="C359" s="2" t="s">
        <v>286</v>
      </c>
      <c r="D359" s="2" t="s">
        <v>548</v>
      </c>
      <c r="E359" s="2"/>
      <c r="F359" s="18">
        <v>51822</v>
      </c>
      <c r="G359" s="18">
        <v>24376</v>
      </c>
      <c r="H359" s="18">
        <v>47317</v>
      </c>
      <c r="I359" s="56">
        <f>SUM(F359:H359)</f>
        <v>123515</v>
      </c>
      <c r="J359" s="24" t="s">
        <v>279</v>
      </c>
      <c r="K359" s="24" t="s">
        <v>279</v>
      </c>
      <c r="L359" s="24" t="s">
        <v>279</v>
      </c>
      <c r="M359" s="8"/>
    </row>
    <row r="360" spans="1:13" s="3" customFormat="1" ht="12" customHeight="1" thickBot="1" x14ac:dyDescent="0.2">
      <c r="A360" s="61" t="s">
        <v>353</v>
      </c>
      <c r="B360" s="62" t="s">
        <v>348</v>
      </c>
      <c r="C360" s="62" t="s">
        <v>287</v>
      </c>
      <c r="D360" s="2" t="s">
        <v>548</v>
      </c>
      <c r="E360" s="62"/>
      <c r="F360" s="63">
        <v>5782</v>
      </c>
      <c r="G360" s="63">
        <v>1879</v>
      </c>
      <c r="H360" s="63">
        <v>3498</v>
      </c>
      <c r="I360" s="56">
        <f>SUM(F360:H360)</f>
        <v>11159</v>
      </c>
      <c r="J360" s="24" t="s">
        <v>279</v>
      </c>
      <c r="K360" s="24" t="s">
        <v>279</v>
      </c>
      <c r="L360" s="24" t="s">
        <v>279</v>
      </c>
      <c r="M360" s="8"/>
    </row>
    <row r="361" spans="1:13" s="3" customFormat="1" ht="12" customHeight="1" thickTop="1" x14ac:dyDescent="0.15">
      <c r="A361" s="34" t="s">
        <v>471</v>
      </c>
      <c r="B361" s="2" t="s">
        <v>348</v>
      </c>
      <c r="C361" s="2" t="s">
        <v>288</v>
      </c>
      <c r="D361" s="39" t="s">
        <v>548</v>
      </c>
      <c r="E361" s="2"/>
      <c r="F361" s="47">
        <f>SUM(F359:F360)</f>
        <v>57604</v>
      </c>
      <c r="G361" s="47">
        <f>SUM(G359:G360)</f>
        <v>26255</v>
      </c>
      <c r="H361" s="47">
        <f>SUM(H359:H360)</f>
        <v>50815</v>
      </c>
      <c r="I361" s="47">
        <f>SUM(I359:I360)</f>
        <v>134674</v>
      </c>
      <c r="J361" s="24" t="s">
        <v>279</v>
      </c>
      <c r="K361" s="24" t="s">
        <v>279</v>
      </c>
      <c r="L361" s="24" t="s">
        <v>279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274</v>
      </c>
      <c r="B363" s="2"/>
      <c r="C363" s="2"/>
      <c r="D363" s="2"/>
      <c r="E363" s="2"/>
      <c r="F363" s="177" t="s">
        <v>696</v>
      </c>
      <c r="G363" s="177" t="s">
        <v>697</v>
      </c>
      <c r="H363" s="177" t="s">
        <v>828</v>
      </c>
      <c r="I363" s="177" t="s">
        <v>829</v>
      </c>
      <c r="J363" s="177" t="s">
        <v>830</v>
      </c>
      <c r="K363" s="177" t="s">
        <v>698</v>
      </c>
      <c r="L363" s="13"/>
      <c r="M363" s="8"/>
    </row>
    <row r="364" spans="1:13" s="3" customFormat="1" ht="12" customHeight="1" x14ac:dyDescent="0.15">
      <c r="A364" s="34" t="s">
        <v>345</v>
      </c>
      <c r="B364" s="2"/>
      <c r="C364" s="2"/>
      <c r="D364" s="2"/>
      <c r="E364" s="2"/>
      <c r="F364" s="103" t="s">
        <v>33</v>
      </c>
      <c r="G364" s="103" t="s">
        <v>34</v>
      </c>
      <c r="H364" s="103" t="s">
        <v>35</v>
      </c>
      <c r="I364" s="103" t="s">
        <v>36</v>
      </c>
      <c r="J364" s="103" t="s">
        <v>37</v>
      </c>
      <c r="K364" s="103" t="s">
        <v>38</v>
      </c>
      <c r="L364" s="103" t="s">
        <v>133</v>
      </c>
      <c r="M364" s="8"/>
    </row>
    <row r="365" spans="1:13" s="3" customFormat="1" ht="12" customHeight="1" x14ac:dyDescent="0.15">
      <c r="A365" s="27" t="s">
        <v>354</v>
      </c>
      <c r="B365" s="2"/>
      <c r="C365" s="2"/>
      <c r="D365" s="2"/>
      <c r="E365" s="6">
        <v>4000</v>
      </c>
      <c r="F365" s="24" t="s">
        <v>279</v>
      </c>
      <c r="G365" s="24" t="s">
        <v>279</v>
      </c>
      <c r="H365" s="24" t="s">
        <v>279</v>
      </c>
      <c r="I365" s="24" t="s">
        <v>279</v>
      </c>
      <c r="J365" s="24" t="s">
        <v>279</v>
      </c>
      <c r="K365" s="24" t="s">
        <v>279</v>
      </c>
      <c r="L365" s="24" t="s">
        <v>279</v>
      </c>
      <c r="M365" s="8"/>
    </row>
    <row r="366" spans="1:13" s="3" customFormat="1" ht="12" customHeight="1" x14ac:dyDescent="0.15">
      <c r="A366" s="1" t="s">
        <v>656</v>
      </c>
      <c r="B366" s="2" t="s">
        <v>348</v>
      </c>
      <c r="C366" s="2" t="s">
        <v>289</v>
      </c>
      <c r="D366" s="2" t="s">
        <v>547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657</v>
      </c>
      <c r="B367" s="2" t="s">
        <v>348</v>
      </c>
      <c r="C367" s="2" t="s">
        <v>290</v>
      </c>
      <c r="D367" s="2" t="s">
        <v>547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658</v>
      </c>
      <c r="B368" s="2" t="s">
        <v>348</v>
      </c>
      <c r="C368" s="2" t="s">
        <v>291</v>
      </c>
      <c r="D368" s="2" t="s">
        <v>547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659</v>
      </c>
      <c r="B369" s="2" t="s">
        <v>348</v>
      </c>
      <c r="C369" s="2" t="s">
        <v>327</v>
      </c>
      <c r="D369" s="2" t="s">
        <v>547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533</v>
      </c>
      <c r="B370" s="2" t="s">
        <v>348</v>
      </c>
      <c r="C370" s="2" t="s">
        <v>328</v>
      </c>
      <c r="D370" s="2" t="s">
        <v>547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534</v>
      </c>
      <c r="B371" s="2" t="s">
        <v>348</v>
      </c>
      <c r="C371" s="2" t="s">
        <v>329</v>
      </c>
      <c r="D371" s="2" t="s">
        <v>547</v>
      </c>
      <c r="E371" s="6">
        <v>4600</v>
      </c>
      <c r="F371" s="18"/>
      <c r="G371" s="18"/>
      <c r="H371" s="18">
        <v>0</v>
      </c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495</v>
      </c>
      <c r="B372" s="2" t="s">
        <v>348</v>
      </c>
      <c r="C372" s="2" t="s">
        <v>331</v>
      </c>
      <c r="D372" s="2" t="s">
        <v>547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625</v>
      </c>
      <c r="B373" s="2" t="s">
        <v>348</v>
      </c>
      <c r="C373" s="2" t="s">
        <v>332</v>
      </c>
      <c r="D373" s="2" t="s">
        <v>547</v>
      </c>
      <c r="E373" s="6">
        <v>5200</v>
      </c>
      <c r="F373" s="24" t="s">
        <v>279</v>
      </c>
      <c r="G373" s="24" t="s">
        <v>279</v>
      </c>
      <c r="H373" s="24" t="s">
        <v>279</v>
      </c>
      <c r="I373" s="24" t="s">
        <v>279</v>
      </c>
      <c r="J373" s="24" t="s">
        <v>279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443</v>
      </c>
      <c r="B374" s="39" t="s">
        <v>348</v>
      </c>
      <c r="C374" s="39" t="s">
        <v>333</v>
      </c>
      <c r="D374" s="39" t="s">
        <v>547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597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458</v>
      </c>
      <c r="B377" s="2"/>
      <c r="C377" s="2"/>
      <c r="D377" s="2"/>
      <c r="E377" s="2"/>
      <c r="F377" s="16"/>
      <c r="G377" s="16" t="s">
        <v>355</v>
      </c>
      <c r="H377" s="16" t="s">
        <v>356</v>
      </c>
      <c r="I377" s="16" t="s">
        <v>301</v>
      </c>
      <c r="J377" s="56"/>
      <c r="K377" s="56"/>
      <c r="L377" s="56"/>
      <c r="M377" s="8"/>
    </row>
    <row r="378" spans="1:13" s="3" customFormat="1" ht="12" customHeight="1" x14ac:dyDescent="0.15">
      <c r="A378" s="26" t="s">
        <v>357</v>
      </c>
      <c r="B378" s="2"/>
      <c r="C378" s="2"/>
      <c r="D378" s="2"/>
      <c r="F378" s="16" t="s">
        <v>358</v>
      </c>
      <c r="G378" s="16" t="s">
        <v>359</v>
      </c>
      <c r="H378" s="16" t="s">
        <v>360</v>
      </c>
      <c r="I378" s="16" t="s">
        <v>361</v>
      </c>
      <c r="J378" s="56"/>
      <c r="K378" s="56"/>
      <c r="L378" s="77" t="s">
        <v>471</v>
      </c>
      <c r="M378" s="8"/>
    </row>
    <row r="379" spans="1:13" s="3" customFormat="1" ht="12" customHeight="1" x14ac:dyDescent="0.15">
      <c r="A379" s="79" t="s">
        <v>535</v>
      </c>
      <c r="B379" s="2" t="s">
        <v>362</v>
      </c>
      <c r="C379" s="6">
        <v>1</v>
      </c>
      <c r="D379" s="2" t="s">
        <v>548</v>
      </c>
      <c r="F379" s="18"/>
      <c r="G379" s="18"/>
      <c r="H379" s="18"/>
      <c r="I379" s="18"/>
      <c r="J379" s="24" t="s">
        <v>279</v>
      </c>
      <c r="K379" s="24" t="s">
        <v>279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536</v>
      </c>
      <c r="B380" s="2" t="s">
        <v>362</v>
      </c>
      <c r="C380" s="6">
        <v>2</v>
      </c>
      <c r="D380" s="2" t="s">
        <v>548</v>
      </c>
      <c r="E380" s="6"/>
      <c r="F380" s="18"/>
      <c r="G380" s="18"/>
      <c r="H380" s="18"/>
      <c r="I380" s="18"/>
      <c r="J380" s="24" t="s">
        <v>279</v>
      </c>
      <c r="K380" s="24" t="s">
        <v>279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537</v>
      </c>
      <c r="B381" s="2" t="s">
        <v>362</v>
      </c>
      <c r="C381" s="6">
        <v>3</v>
      </c>
      <c r="D381" s="2" t="s">
        <v>548</v>
      </c>
      <c r="E381" s="6"/>
      <c r="F381" s="18"/>
      <c r="G381" s="18">
        <v>75000</v>
      </c>
      <c r="H381" s="18">
        <v>377</v>
      </c>
      <c r="I381" s="18"/>
      <c r="J381" s="24" t="s">
        <v>279</v>
      </c>
      <c r="K381" s="24" t="s">
        <v>279</v>
      </c>
      <c r="L381" s="56">
        <f t="shared" si="25"/>
        <v>75377</v>
      </c>
      <c r="M381" s="8"/>
    </row>
    <row r="382" spans="1:13" s="3" customFormat="1" ht="12" customHeight="1" x14ac:dyDescent="0.15">
      <c r="A382" s="79" t="s">
        <v>538</v>
      </c>
      <c r="B382" s="2" t="s">
        <v>362</v>
      </c>
      <c r="C382" s="6">
        <v>4</v>
      </c>
      <c r="D382" s="2" t="s">
        <v>548</v>
      </c>
      <c r="E382" s="6"/>
      <c r="F382" s="18"/>
      <c r="G382" s="18"/>
      <c r="H382" s="18"/>
      <c r="I382" s="18"/>
      <c r="J382" s="24" t="s">
        <v>279</v>
      </c>
      <c r="K382" s="24" t="s">
        <v>279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539</v>
      </c>
      <c r="B383" s="2" t="s">
        <v>362</v>
      </c>
      <c r="C383" s="6">
        <v>5</v>
      </c>
      <c r="D383" s="2" t="s">
        <v>548</v>
      </c>
      <c r="E383" s="6"/>
      <c r="F383" s="18"/>
      <c r="G383" s="18"/>
      <c r="H383" s="18"/>
      <c r="I383" s="18"/>
      <c r="J383" s="24" t="s">
        <v>279</v>
      </c>
      <c r="K383" s="24" t="s">
        <v>279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540</v>
      </c>
      <c r="B384" s="2" t="s">
        <v>362</v>
      </c>
      <c r="C384" s="6">
        <v>6</v>
      </c>
      <c r="D384" s="2" t="s">
        <v>548</v>
      </c>
      <c r="E384" s="6"/>
      <c r="F384" s="18"/>
      <c r="G384" s="18"/>
      <c r="H384" s="18"/>
      <c r="I384" s="18"/>
      <c r="J384" s="24" t="s">
        <v>279</v>
      </c>
      <c r="K384" s="24" t="s">
        <v>279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445</v>
      </c>
      <c r="B385" s="2" t="s">
        <v>362</v>
      </c>
      <c r="C385" s="6">
        <v>7</v>
      </c>
      <c r="D385" s="2" t="s">
        <v>548</v>
      </c>
      <c r="E385" s="40">
        <v>5251</v>
      </c>
      <c r="F385" s="139">
        <f>SUM(F379:F384)</f>
        <v>0</v>
      </c>
      <c r="G385" s="139">
        <f>SUM(G379:G384)</f>
        <v>75000</v>
      </c>
      <c r="H385" s="139">
        <f>SUM(H379:H384)</f>
        <v>377</v>
      </c>
      <c r="I385" s="65">
        <f>SUM(I379:I384)</f>
        <v>0</v>
      </c>
      <c r="J385" s="45" t="s">
        <v>279</v>
      </c>
      <c r="K385" s="45" t="s">
        <v>279</v>
      </c>
      <c r="L385" s="47">
        <f>SUM(L379:L384)</f>
        <v>75377</v>
      </c>
      <c r="M385" s="8"/>
    </row>
    <row r="386" spans="1:13" s="3" customFormat="1" ht="12" customHeight="1" x14ac:dyDescent="0.15">
      <c r="A386" s="78" t="s">
        <v>363</v>
      </c>
      <c r="B386" s="2"/>
      <c r="C386" s="6"/>
      <c r="D386" s="6"/>
      <c r="F386" s="24" t="s">
        <v>279</v>
      </c>
      <c r="G386" s="24" t="s">
        <v>279</v>
      </c>
      <c r="H386" s="24" t="s">
        <v>279</v>
      </c>
      <c r="I386" s="24" t="s">
        <v>279</v>
      </c>
      <c r="J386" s="24" t="s">
        <v>279</v>
      </c>
      <c r="K386" s="24" t="s">
        <v>279</v>
      </c>
      <c r="L386" s="24" t="s">
        <v>279</v>
      </c>
      <c r="M386" s="8"/>
    </row>
    <row r="387" spans="1:13" s="3" customFormat="1" ht="12" customHeight="1" x14ac:dyDescent="0.15">
      <c r="A387" s="79" t="s">
        <v>541</v>
      </c>
      <c r="B387" s="2" t="s">
        <v>362</v>
      </c>
      <c r="C387" s="6">
        <v>8</v>
      </c>
      <c r="D387" s="2" t="s">
        <v>548</v>
      </c>
      <c r="E387" s="6"/>
      <c r="F387" s="18"/>
      <c r="G387" s="18"/>
      <c r="H387" s="18"/>
      <c r="I387" s="18"/>
      <c r="J387" s="24" t="s">
        <v>279</v>
      </c>
      <c r="K387" s="24" t="s">
        <v>279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673</v>
      </c>
      <c r="B388" s="2" t="s">
        <v>362</v>
      </c>
      <c r="C388" s="6">
        <v>9</v>
      </c>
      <c r="D388" s="2" t="s">
        <v>548</v>
      </c>
      <c r="E388" s="6"/>
      <c r="F388" s="18"/>
      <c r="G388" s="18"/>
      <c r="H388" s="18"/>
      <c r="I388" s="18"/>
      <c r="J388" s="24" t="s">
        <v>279</v>
      </c>
      <c r="K388" s="24" t="s">
        <v>279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500</v>
      </c>
      <c r="B389" s="2" t="s">
        <v>362</v>
      </c>
      <c r="C389" s="6">
        <v>10</v>
      </c>
      <c r="D389" s="2" t="s">
        <v>548</v>
      </c>
      <c r="E389" s="6"/>
      <c r="F389" s="18"/>
      <c r="G389" s="18"/>
      <c r="H389" s="18">
        <v>841</v>
      </c>
      <c r="I389" s="18"/>
      <c r="J389" s="24" t="s">
        <v>279</v>
      </c>
      <c r="K389" s="24" t="s">
        <v>279</v>
      </c>
      <c r="L389" s="56">
        <f t="shared" si="26"/>
        <v>841</v>
      </c>
      <c r="M389" s="8"/>
    </row>
    <row r="390" spans="1:13" s="3" customFormat="1" ht="12" customHeight="1" x14ac:dyDescent="0.15">
      <c r="A390" s="79" t="s">
        <v>674</v>
      </c>
      <c r="B390" s="2" t="s">
        <v>362</v>
      </c>
      <c r="C390" s="6">
        <v>11</v>
      </c>
      <c r="D390" s="2" t="s">
        <v>548</v>
      </c>
      <c r="E390" s="6"/>
      <c r="F390" s="18"/>
      <c r="G390" s="18"/>
      <c r="H390" s="18"/>
      <c r="I390" s="18"/>
      <c r="J390" s="24" t="s">
        <v>279</v>
      </c>
      <c r="K390" s="24" t="s">
        <v>279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675</v>
      </c>
      <c r="B391" s="2" t="s">
        <v>362</v>
      </c>
      <c r="C391" s="6">
        <v>12</v>
      </c>
      <c r="D391" s="2" t="s">
        <v>548</v>
      </c>
      <c r="E391" s="6"/>
      <c r="F391" s="18"/>
      <c r="G391" s="18"/>
      <c r="H391" s="18"/>
      <c r="I391" s="18"/>
      <c r="J391" s="24" t="s">
        <v>279</v>
      </c>
      <c r="K391" s="24" t="s">
        <v>279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495</v>
      </c>
      <c r="B392" s="2" t="s">
        <v>362</v>
      </c>
      <c r="C392" s="6">
        <v>13</v>
      </c>
      <c r="D392" s="2" t="s">
        <v>548</v>
      </c>
      <c r="E392" s="6"/>
      <c r="F392" s="18"/>
      <c r="G392" s="18"/>
      <c r="H392" s="18"/>
      <c r="I392" s="18"/>
      <c r="J392" s="24" t="s">
        <v>279</v>
      </c>
      <c r="K392" s="24" t="s">
        <v>279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444</v>
      </c>
      <c r="B393" s="2" t="s">
        <v>362</v>
      </c>
      <c r="C393" s="6">
        <v>14</v>
      </c>
      <c r="D393" s="2" t="s">
        <v>548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841</v>
      </c>
      <c r="I393" s="47">
        <f>SUM(I387:I392)</f>
        <v>0</v>
      </c>
      <c r="J393" s="45" t="s">
        <v>279</v>
      </c>
      <c r="K393" s="45" t="s">
        <v>279</v>
      </c>
      <c r="L393" s="47">
        <f>SUM(L387:L392)</f>
        <v>841</v>
      </c>
      <c r="M393" s="8"/>
    </row>
    <row r="394" spans="1:13" s="3" customFormat="1" ht="12" customHeight="1" x14ac:dyDescent="0.15">
      <c r="A394" s="78" t="s">
        <v>364</v>
      </c>
      <c r="B394" s="2"/>
      <c r="C394" s="2"/>
      <c r="D394" s="2"/>
      <c r="F394" s="24" t="s">
        <v>279</v>
      </c>
      <c r="G394" s="24" t="s">
        <v>279</v>
      </c>
      <c r="H394" s="24" t="s">
        <v>279</v>
      </c>
      <c r="I394" s="24" t="s">
        <v>279</v>
      </c>
      <c r="J394" s="24" t="s">
        <v>279</v>
      </c>
      <c r="K394" s="24" t="s">
        <v>279</v>
      </c>
      <c r="L394" s="24" t="s">
        <v>279</v>
      </c>
      <c r="M394" s="8"/>
    </row>
    <row r="395" spans="1:13" s="3" customFormat="1" ht="12" customHeight="1" x14ac:dyDescent="0.15">
      <c r="A395" s="110"/>
      <c r="B395" s="2" t="s">
        <v>362</v>
      </c>
      <c r="C395" s="6">
        <v>15</v>
      </c>
      <c r="D395" s="2" t="s">
        <v>548</v>
      </c>
      <c r="E395" s="6"/>
      <c r="F395" s="18"/>
      <c r="G395" s="18"/>
      <c r="H395" s="18"/>
      <c r="I395" s="18"/>
      <c r="J395" s="24" t="s">
        <v>279</v>
      </c>
      <c r="K395" s="24" t="s">
        <v>279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362</v>
      </c>
      <c r="C396" s="6">
        <v>16</v>
      </c>
      <c r="D396" s="2" t="s">
        <v>548</v>
      </c>
      <c r="E396" s="6"/>
      <c r="F396" s="18"/>
      <c r="G396" s="18"/>
      <c r="H396" s="18"/>
      <c r="I396" s="18"/>
      <c r="J396" s="24" t="s">
        <v>279</v>
      </c>
      <c r="K396" s="24" t="s">
        <v>279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362</v>
      </c>
      <c r="C397" s="6">
        <v>17</v>
      </c>
      <c r="D397" s="2" t="s">
        <v>548</v>
      </c>
      <c r="E397" s="6"/>
      <c r="F397" s="18"/>
      <c r="G397" s="18"/>
      <c r="H397" s="18"/>
      <c r="I397" s="18"/>
      <c r="J397" s="24" t="s">
        <v>279</v>
      </c>
      <c r="K397" s="24" t="s">
        <v>279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362</v>
      </c>
      <c r="C398" s="6">
        <v>18</v>
      </c>
      <c r="D398" s="2" t="s">
        <v>548</v>
      </c>
      <c r="E398" s="6"/>
      <c r="F398" s="18"/>
      <c r="G398" s="18"/>
      <c r="H398" s="18"/>
      <c r="I398" s="18"/>
      <c r="J398" s="24" t="s">
        <v>279</v>
      </c>
      <c r="K398" s="24" t="s">
        <v>279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446</v>
      </c>
      <c r="B399" s="2" t="s">
        <v>362</v>
      </c>
      <c r="C399" s="6">
        <v>19</v>
      </c>
      <c r="D399" s="2" t="s">
        <v>548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279</v>
      </c>
      <c r="K399" s="49" t="s">
        <v>279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401</v>
      </c>
      <c r="B400" s="2" t="s">
        <v>362</v>
      </c>
      <c r="C400" s="6">
        <v>20</v>
      </c>
      <c r="D400" s="6"/>
      <c r="E400" s="40"/>
      <c r="F400" s="47">
        <f>F385+F393+F399</f>
        <v>0</v>
      </c>
      <c r="G400" s="47">
        <f>G385+G393+G399</f>
        <v>75000</v>
      </c>
      <c r="H400" s="47">
        <f>H385+H393+H399</f>
        <v>1218</v>
      </c>
      <c r="I400" s="47">
        <f>I385+I393+I399</f>
        <v>0</v>
      </c>
      <c r="J400" s="24" t="s">
        <v>279</v>
      </c>
      <c r="K400" s="24" t="s">
        <v>279</v>
      </c>
      <c r="L400" s="47">
        <f>L385+L393+L399</f>
        <v>76218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696</v>
      </c>
      <c r="G401" s="177" t="s">
        <v>697</v>
      </c>
      <c r="H401" s="177" t="s">
        <v>828</v>
      </c>
      <c r="I401" s="177" t="s">
        <v>829</v>
      </c>
      <c r="J401" s="177" t="s">
        <v>830</v>
      </c>
      <c r="K401" s="177" t="s">
        <v>698</v>
      </c>
      <c r="L401" s="56"/>
      <c r="M401" s="8"/>
    </row>
    <row r="402" spans="1:21" s="3" customFormat="1" ht="12" customHeight="1" x14ac:dyDescent="0.15">
      <c r="A402" s="26" t="s">
        <v>597</v>
      </c>
      <c r="B402" s="76"/>
      <c r="C402" s="76"/>
      <c r="D402" s="76"/>
      <c r="E402" s="76"/>
      <c r="F402" s="66"/>
      <c r="G402" s="16" t="s">
        <v>365</v>
      </c>
      <c r="H402" s="16" t="s">
        <v>366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459</v>
      </c>
      <c r="B403" s="2"/>
      <c r="C403" s="2"/>
      <c r="D403" s="2"/>
      <c r="E403" s="2"/>
      <c r="F403" s="16" t="s">
        <v>467</v>
      </c>
      <c r="G403" s="16" t="s">
        <v>468</v>
      </c>
      <c r="H403" s="16" t="s">
        <v>367</v>
      </c>
      <c r="I403" s="16" t="s">
        <v>469</v>
      </c>
      <c r="J403" s="56" t="s">
        <v>470</v>
      </c>
      <c r="K403" s="56" t="s">
        <v>480</v>
      </c>
      <c r="L403" s="77" t="s">
        <v>471</v>
      </c>
      <c r="M403" s="8"/>
    </row>
    <row r="404" spans="1:21" s="3" customFormat="1" ht="12" customHeight="1" x14ac:dyDescent="0.15">
      <c r="A404" s="26" t="s">
        <v>357</v>
      </c>
      <c r="B404" s="2"/>
      <c r="C404" s="2"/>
      <c r="D404" s="2"/>
      <c r="F404" s="24" t="s">
        <v>279</v>
      </c>
      <c r="G404" s="24" t="s">
        <v>279</v>
      </c>
      <c r="H404" s="24" t="s">
        <v>279</v>
      </c>
      <c r="I404" s="24" t="s">
        <v>279</v>
      </c>
      <c r="J404" s="24" t="s">
        <v>279</v>
      </c>
      <c r="K404" s="24" t="s">
        <v>279</v>
      </c>
      <c r="L404" s="24" t="s">
        <v>279</v>
      </c>
      <c r="M404" s="8"/>
    </row>
    <row r="405" spans="1:21" s="3" customFormat="1" ht="12" customHeight="1" x14ac:dyDescent="0.15">
      <c r="A405" s="79" t="s">
        <v>535</v>
      </c>
      <c r="B405" s="6">
        <v>17</v>
      </c>
      <c r="C405" s="6">
        <v>1</v>
      </c>
      <c r="D405" s="2" t="s">
        <v>548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536</v>
      </c>
      <c r="B406" s="6">
        <v>17</v>
      </c>
      <c r="C406" s="6">
        <v>2</v>
      </c>
      <c r="D406" s="2" t="s">
        <v>548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537</v>
      </c>
      <c r="B407" s="6">
        <v>17</v>
      </c>
      <c r="C407" s="6">
        <v>3</v>
      </c>
      <c r="D407" s="2" t="s">
        <v>548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538</v>
      </c>
      <c r="B408" s="6">
        <v>17</v>
      </c>
      <c r="C408" s="6">
        <v>4</v>
      </c>
      <c r="D408" s="2" t="s">
        <v>548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539</v>
      </c>
      <c r="B409" s="6">
        <v>17</v>
      </c>
      <c r="C409" s="6">
        <v>5</v>
      </c>
      <c r="D409" s="2" t="s">
        <v>548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540</v>
      </c>
      <c r="B410" s="6">
        <v>17</v>
      </c>
      <c r="C410" s="6">
        <v>6</v>
      </c>
      <c r="D410" s="2" t="s">
        <v>548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445</v>
      </c>
      <c r="B411" s="6">
        <v>17</v>
      </c>
      <c r="C411" s="6">
        <v>7</v>
      </c>
      <c r="D411" s="2" t="s">
        <v>548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363</v>
      </c>
      <c r="B412" s="2"/>
      <c r="C412" s="6"/>
      <c r="D412" s="6"/>
      <c r="F412" s="24" t="s">
        <v>279</v>
      </c>
      <c r="G412" s="24" t="s">
        <v>279</v>
      </c>
      <c r="H412" s="24" t="s">
        <v>279</v>
      </c>
      <c r="I412" s="24" t="s">
        <v>279</v>
      </c>
      <c r="J412" s="24" t="s">
        <v>279</v>
      </c>
      <c r="K412" s="24" t="s">
        <v>279</v>
      </c>
      <c r="L412" s="24" t="s">
        <v>279</v>
      </c>
      <c r="M412" s="8"/>
    </row>
    <row r="413" spans="1:21" s="3" customFormat="1" ht="12" customHeight="1" x14ac:dyDescent="0.15">
      <c r="A413" s="79" t="s">
        <v>541</v>
      </c>
      <c r="B413" s="6">
        <v>17</v>
      </c>
      <c r="C413" s="6">
        <v>8</v>
      </c>
      <c r="D413" s="2" t="s">
        <v>548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673</v>
      </c>
      <c r="B414" s="6">
        <v>17</v>
      </c>
      <c r="C414" s="6">
        <v>9</v>
      </c>
      <c r="D414" s="2" t="s">
        <v>548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500</v>
      </c>
      <c r="B415" s="6">
        <v>17</v>
      </c>
      <c r="C415" s="6">
        <v>10</v>
      </c>
      <c r="D415" s="2" t="s">
        <v>548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674</v>
      </c>
      <c r="B416" s="6">
        <v>17</v>
      </c>
      <c r="C416" s="6">
        <v>11</v>
      </c>
      <c r="D416" s="2" t="s">
        <v>548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675</v>
      </c>
      <c r="B417" s="6">
        <v>17</v>
      </c>
      <c r="C417" s="6">
        <v>12</v>
      </c>
      <c r="D417" s="2" t="s">
        <v>548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495</v>
      </c>
      <c r="B418" s="6">
        <v>17</v>
      </c>
      <c r="C418" s="6">
        <v>13</v>
      </c>
      <c r="D418" s="2" t="s">
        <v>548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444</v>
      </c>
      <c r="B419" s="6">
        <v>17</v>
      </c>
      <c r="C419" s="6">
        <v>14</v>
      </c>
      <c r="D419" s="2" t="s">
        <v>548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364</v>
      </c>
      <c r="B420" s="2"/>
      <c r="C420" s="2"/>
      <c r="D420" s="2"/>
      <c r="F420" s="24" t="s">
        <v>279</v>
      </c>
      <c r="G420" s="24" t="s">
        <v>279</v>
      </c>
      <c r="H420" s="24" t="s">
        <v>279</v>
      </c>
      <c r="I420" s="24" t="s">
        <v>279</v>
      </c>
      <c r="J420" s="24" t="s">
        <v>279</v>
      </c>
      <c r="K420" s="24" t="s">
        <v>279</v>
      </c>
      <c r="L420" s="24" t="s">
        <v>279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548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548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548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548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446</v>
      </c>
      <c r="B425" s="6">
        <v>17</v>
      </c>
      <c r="C425" s="6">
        <v>19</v>
      </c>
      <c r="D425" s="2" t="s">
        <v>548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402</v>
      </c>
      <c r="B426" s="6">
        <v>17</v>
      </c>
      <c r="C426" s="6">
        <v>20</v>
      </c>
      <c r="D426" s="2" t="s">
        <v>548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128</v>
      </c>
      <c r="K428" s="56"/>
      <c r="L428" s="13"/>
      <c r="M428" s="8"/>
    </row>
    <row r="429" spans="1:21" s="3" customFormat="1" ht="12" customHeight="1" x14ac:dyDescent="0.15">
      <c r="A429" s="34" t="s">
        <v>129</v>
      </c>
      <c r="F429" s="23" t="s">
        <v>130</v>
      </c>
      <c r="G429" s="23" t="s">
        <v>131</v>
      </c>
      <c r="H429" s="23" t="s">
        <v>132</v>
      </c>
      <c r="I429" s="23" t="s">
        <v>133</v>
      </c>
      <c r="M429" s="8"/>
    </row>
    <row r="430" spans="1:21" s="3" customFormat="1" ht="12" customHeight="1" x14ac:dyDescent="0.15">
      <c r="A430" s="34" t="s">
        <v>134</v>
      </c>
      <c r="B430" s="23"/>
      <c r="C430" s="23"/>
      <c r="D430" s="23"/>
      <c r="E430" s="23"/>
      <c r="F430" s="24" t="s">
        <v>279</v>
      </c>
      <c r="G430" s="24" t="s">
        <v>279</v>
      </c>
      <c r="H430" s="24" t="s">
        <v>279</v>
      </c>
      <c r="I430" s="24" t="s">
        <v>279</v>
      </c>
      <c r="J430" s="24" t="s">
        <v>279</v>
      </c>
      <c r="K430" s="24" t="s">
        <v>279</v>
      </c>
      <c r="L430" s="24" t="s">
        <v>279</v>
      </c>
      <c r="M430" s="8"/>
    </row>
    <row r="431" spans="1:21" s="3" customFormat="1" ht="12" customHeight="1" x14ac:dyDescent="0.15">
      <c r="A431" s="3" t="s">
        <v>677</v>
      </c>
      <c r="B431" s="23">
        <v>18</v>
      </c>
      <c r="C431" s="6">
        <v>1</v>
      </c>
      <c r="D431" s="2" t="s">
        <v>548</v>
      </c>
      <c r="E431" s="6">
        <v>100</v>
      </c>
      <c r="F431" s="18">
        <v>175867</v>
      </c>
      <c r="G431" s="18">
        <v>168334</v>
      </c>
      <c r="H431" s="18"/>
      <c r="I431" s="56">
        <f t="shared" ref="I431:I437" si="33">SUM(F431:H431)</f>
        <v>344201</v>
      </c>
      <c r="J431" s="24" t="s">
        <v>279</v>
      </c>
      <c r="K431" s="24" t="s">
        <v>279</v>
      </c>
      <c r="L431" s="24" t="s">
        <v>279</v>
      </c>
      <c r="M431" s="8"/>
    </row>
    <row r="432" spans="1:21" s="3" customFormat="1" ht="12" customHeight="1" x14ac:dyDescent="0.15">
      <c r="A432" s="69" t="s">
        <v>678</v>
      </c>
      <c r="B432" s="23">
        <v>18</v>
      </c>
      <c r="C432" s="6">
        <v>2</v>
      </c>
      <c r="D432" s="2" t="s">
        <v>548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279</v>
      </c>
      <c r="K432" s="24" t="s">
        <v>279</v>
      </c>
      <c r="L432" s="24" t="s">
        <v>279</v>
      </c>
      <c r="M432" s="8"/>
    </row>
    <row r="433" spans="1:13" s="3" customFormat="1" ht="12" customHeight="1" x14ac:dyDescent="0.15">
      <c r="A433" s="69" t="s">
        <v>601</v>
      </c>
      <c r="B433" s="23">
        <v>18</v>
      </c>
      <c r="C433" s="6">
        <v>3</v>
      </c>
      <c r="D433" s="2" t="s">
        <v>548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279</v>
      </c>
      <c r="K433" s="24" t="s">
        <v>279</v>
      </c>
      <c r="L433" s="24" t="s">
        <v>279</v>
      </c>
      <c r="M433" s="8"/>
    </row>
    <row r="434" spans="1:13" s="3" customFormat="1" ht="12" customHeight="1" x14ac:dyDescent="0.15">
      <c r="A434" s="69" t="s">
        <v>602</v>
      </c>
      <c r="B434" s="23">
        <v>18</v>
      </c>
      <c r="C434" s="6">
        <v>4</v>
      </c>
      <c r="D434" s="2" t="s">
        <v>548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279</v>
      </c>
      <c r="K434" s="24" t="s">
        <v>279</v>
      </c>
      <c r="L434" s="24" t="s">
        <v>279</v>
      </c>
      <c r="M434" s="8"/>
    </row>
    <row r="435" spans="1:13" s="3" customFormat="1" ht="12" customHeight="1" x14ac:dyDescent="0.15">
      <c r="A435" s="69" t="s">
        <v>552</v>
      </c>
      <c r="B435" s="23">
        <v>18</v>
      </c>
      <c r="C435" s="6">
        <v>5</v>
      </c>
      <c r="D435" s="2" t="s">
        <v>548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279</v>
      </c>
      <c r="K435" s="24" t="s">
        <v>279</v>
      </c>
      <c r="L435" s="24" t="s">
        <v>279</v>
      </c>
      <c r="M435" s="8"/>
    </row>
    <row r="436" spans="1:13" s="3" customFormat="1" ht="12" customHeight="1" x14ac:dyDescent="0.15">
      <c r="A436" s="69" t="s">
        <v>603</v>
      </c>
      <c r="B436" s="23">
        <v>18</v>
      </c>
      <c r="C436" s="6">
        <v>6</v>
      </c>
      <c r="D436" s="2" t="s">
        <v>548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279</v>
      </c>
      <c r="K436" s="24" t="s">
        <v>279</v>
      </c>
      <c r="L436" s="24" t="s">
        <v>279</v>
      </c>
      <c r="M436" s="8"/>
    </row>
    <row r="437" spans="1:13" s="3" customFormat="1" ht="12" customHeight="1" x14ac:dyDescent="0.15">
      <c r="A437" s="69" t="s">
        <v>604</v>
      </c>
      <c r="B437" s="23">
        <v>18</v>
      </c>
      <c r="C437" s="6">
        <v>7</v>
      </c>
      <c r="D437" s="2" t="s">
        <v>548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279</v>
      </c>
      <c r="K437" s="24" t="s">
        <v>279</v>
      </c>
      <c r="L437" s="24" t="s">
        <v>279</v>
      </c>
      <c r="M437" s="8"/>
    </row>
    <row r="438" spans="1:13" s="3" customFormat="1" ht="12" customHeight="1" thickBot="1" x14ac:dyDescent="0.2">
      <c r="A438" s="70" t="s">
        <v>385</v>
      </c>
      <c r="B438" s="23">
        <v>18</v>
      </c>
      <c r="C438" s="37">
        <v>8</v>
      </c>
      <c r="D438" s="2" t="s">
        <v>548</v>
      </c>
      <c r="E438" s="37"/>
      <c r="F438" s="13">
        <f>SUM(F431:F437)</f>
        <v>175867</v>
      </c>
      <c r="G438" s="13">
        <f>SUM(G431:G437)</f>
        <v>168334</v>
      </c>
      <c r="H438" s="13">
        <f>SUM(H431:H437)</f>
        <v>0</v>
      </c>
      <c r="I438" s="13">
        <f>SUM(I431:I437)</f>
        <v>344201</v>
      </c>
      <c r="J438" s="24" t="s">
        <v>279</v>
      </c>
      <c r="K438" s="24" t="s">
        <v>279</v>
      </c>
      <c r="L438" s="24" t="s">
        <v>279</v>
      </c>
      <c r="M438" s="8"/>
    </row>
    <row r="439" spans="1:13" s="3" customFormat="1" ht="12" customHeight="1" thickTop="1" x14ac:dyDescent="0.15">
      <c r="A439" s="38" t="s">
        <v>135</v>
      </c>
      <c r="B439" s="44"/>
      <c r="C439" s="40"/>
      <c r="D439" s="40"/>
      <c r="E439" s="40"/>
      <c r="F439" s="45" t="s">
        <v>279</v>
      </c>
      <c r="G439" s="45" t="s">
        <v>279</v>
      </c>
      <c r="H439" s="45" t="s">
        <v>279</v>
      </c>
      <c r="I439" s="45" t="s">
        <v>279</v>
      </c>
      <c r="J439" s="24" t="s">
        <v>279</v>
      </c>
      <c r="K439" s="24" t="s">
        <v>279</v>
      </c>
      <c r="L439" s="24" t="s">
        <v>279</v>
      </c>
      <c r="M439" s="8"/>
    </row>
    <row r="440" spans="1:13" s="3" customFormat="1" ht="12" customHeight="1" x14ac:dyDescent="0.15">
      <c r="A440" s="69" t="s">
        <v>683</v>
      </c>
      <c r="B440" s="23">
        <v>18</v>
      </c>
      <c r="C440" s="6">
        <v>9</v>
      </c>
      <c r="D440" s="2" t="s">
        <v>548</v>
      </c>
      <c r="E440" s="6">
        <v>400</v>
      </c>
      <c r="F440" s="18"/>
      <c r="G440" s="18"/>
      <c r="H440" s="18"/>
      <c r="I440" s="56">
        <f>SUM(F440:H440)</f>
        <v>0</v>
      </c>
      <c r="J440" s="24" t="s">
        <v>279</v>
      </c>
      <c r="K440" s="24" t="s">
        <v>279</v>
      </c>
      <c r="L440" s="24" t="s">
        <v>279</v>
      </c>
      <c r="M440" s="8"/>
    </row>
    <row r="441" spans="1:13" s="3" customFormat="1" ht="12" customHeight="1" x14ac:dyDescent="0.15">
      <c r="A441" s="69" t="s">
        <v>743</v>
      </c>
      <c r="B441" s="23">
        <v>18</v>
      </c>
      <c r="C441" s="6">
        <v>10</v>
      </c>
      <c r="D441" s="2" t="s">
        <v>548</v>
      </c>
      <c r="E441" s="6">
        <v>410</v>
      </c>
      <c r="F441" s="18"/>
      <c r="G441" s="18"/>
      <c r="H441" s="18"/>
      <c r="I441" s="56">
        <f>SUM(F441:H441)</f>
        <v>0</v>
      </c>
      <c r="J441" s="24" t="s">
        <v>279</v>
      </c>
      <c r="K441" s="24" t="s">
        <v>279</v>
      </c>
      <c r="L441" s="24" t="s">
        <v>279</v>
      </c>
      <c r="M441" s="8"/>
    </row>
    <row r="442" spans="1:13" s="3" customFormat="1" ht="12" customHeight="1" x14ac:dyDescent="0.15">
      <c r="A442" s="69" t="s">
        <v>684</v>
      </c>
      <c r="B442" s="23">
        <v>18</v>
      </c>
      <c r="C442" s="6">
        <v>11</v>
      </c>
      <c r="D442" s="2" t="s">
        <v>548</v>
      </c>
      <c r="E442" s="6">
        <v>420</v>
      </c>
      <c r="F442" s="18"/>
      <c r="G442" s="18"/>
      <c r="H442" s="18"/>
      <c r="I442" s="56">
        <f>SUM(F442:H442)</f>
        <v>0</v>
      </c>
      <c r="J442" s="24" t="s">
        <v>279</v>
      </c>
      <c r="K442" s="24" t="s">
        <v>279</v>
      </c>
      <c r="L442" s="24" t="s">
        <v>279</v>
      </c>
      <c r="M442" s="8"/>
    </row>
    <row r="443" spans="1:13" s="3" customFormat="1" ht="12" customHeight="1" x14ac:dyDescent="0.15">
      <c r="A443" s="69" t="s">
        <v>744</v>
      </c>
      <c r="B443" s="23">
        <v>18</v>
      </c>
      <c r="C443" s="6">
        <v>12</v>
      </c>
      <c r="D443" s="2" t="s">
        <v>548</v>
      </c>
      <c r="E443" s="6">
        <v>490</v>
      </c>
      <c r="F443" s="18"/>
      <c r="G443" s="18"/>
      <c r="H443" s="18"/>
      <c r="I443" s="56">
        <f>SUM(F443:H443)</f>
        <v>0</v>
      </c>
      <c r="J443" s="24" t="s">
        <v>279</v>
      </c>
      <c r="K443" s="24" t="s">
        <v>279</v>
      </c>
      <c r="L443" s="24" t="s">
        <v>279</v>
      </c>
      <c r="M443" s="8"/>
    </row>
    <row r="444" spans="1:13" s="3" customFormat="1" ht="12" customHeight="1" thickBot="1" x14ac:dyDescent="0.2">
      <c r="A444" s="74" t="s">
        <v>403</v>
      </c>
      <c r="B444" s="73">
        <v>18</v>
      </c>
      <c r="C444" s="71">
        <v>13</v>
      </c>
      <c r="D444" s="2" t="s">
        <v>548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279</v>
      </c>
      <c r="K444" s="24" t="s">
        <v>279</v>
      </c>
      <c r="L444" s="24" t="s">
        <v>279</v>
      </c>
      <c r="M444" s="8"/>
    </row>
    <row r="445" spans="1:13" s="3" customFormat="1" ht="12" customHeight="1" thickTop="1" x14ac:dyDescent="0.15">
      <c r="A445" s="90" t="s">
        <v>136</v>
      </c>
      <c r="B445" s="36"/>
      <c r="C445" s="75"/>
      <c r="D445" s="75"/>
      <c r="E445" s="75"/>
      <c r="F445" s="24" t="s">
        <v>279</v>
      </c>
      <c r="G445" s="24" t="s">
        <v>279</v>
      </c>
      <c r="H445" s="24" t="s">
        <v>279</v>
      </c>
      <c r="I445" s="24" t="s">
        <v>279</v>
      </c>
      <c r="J445" s="24" t="s">
        <v>279</v>
      </c>
      <c r="K445" s="24" t="s">
        <v>279</v>
      </c>
      <c r="L445" s="24" t="s">
        <v>279</v>
      </c>
      <c r="M445" s="8"/>
    </row>
    <row r="446" spans="1:13" s="3" customFormat="1" ht="12" customHeight="1" x14ac:dyDescent="0.15">
      <c r="A446" s="1" t="s">
        <v>745</v>
      </c>
      <c r="B446" s="23">
        <v>18</v>
      </c>
      <c r="C446" s="6">
        <v>14</v>
      </c>
      <c r="D446" s="2" t="s">
        <v>548</v>
      </c>
      <c r="E446" s="6">
        <v>753</v>
      </c>
      <c r="F446" s="18"/>
      <c r="G446" s="18"/>
      <c r="H446" s="18"/>
      <c r="I446" s="56">
        <f>SUM(F446:H446)</f>
        <v>0</v>
      </c>
      <c r="J446" s="24" t="s">
        <v>279</v>
      </c>
      <c r="K446" s="24" t="s">
        <v>279</v>
      </c>
      <c r="L446" s="24" t="s">
        <v>279</v>
      </c>
      <c r="M446" s="8"/>
    </row>
    <row r="447" spans="1:13" s="3" customFormat="1" ht="12" customHeight="1" x14ac:dyDescent="0.15">
      <c r="A447" s="1" t="s">
        <v>746</v>
      </c>
      <c r="B447" s="23">
        <v>18</v>
      </c>
      <c r="C447" s="6">
        <v>15</v>
      </c>
      <c r="D447" s="2" t="s">
        <v>548</v>
      </c>
      <c r="E447" s="6">
        <v>754</v>
      </c>
      <c r="F447" s="18"/>
      <c r="G447" s="18"/>
      <c r="H447" s="18"/>
      <c r="I447" s="56">
        <f>SUM(F447:H447)</f>
        <v>0</v>
      </c>
      <c r="J447" s="24" t="s">
        <v>279</v>
      </c>
      <c r="K447" s="24" t="s">
        <v>279</v>
      </c>
      <c r="L447" s="24" t="s">
        <v>279</v>
      </c>
      <c r="M447" s="8"/>
    </row>
    <row r="448" spans="1:13" s="3" customFormat="1" ht="12" customHeight="1" x14ac:dyDescent="0.15">
      <c r="A448" s="1" t="s">
        <v>609</v>
      </c>
      <c r="B448" s="23">
        <v>18</v>
      </c>
      <c r="C448" s="6">
        <v>16</v>
      </c>
      <c r="D448" s="2" t="s">
        <v>548</v>
      </c>
      <c r="E448" s="6">
        <v>756</v>
      </c>
      <c r="F448" s="18"/>
      <c r="G448" s="18"/>
      <c r="H448" s="18"/>
      <c r="I448" s="56">
        <f>SUM(F448:H448)</f>
        <v>0</v>
      </c>
      <c r="J448" s="24" t="s">
        <v>279</v>
      </c>
      <c r="K448" s="24" t="s">
        <v>279</v>
      </c>
      <c r="L448" s="24" t="s">
        <v>279</v>
      </c>
      <c r="M448" s="8"/>
    </row>
    <row r="449" spans="1:23" s="3" customFormat="1" ht="12" customHeight="1" thickBot="1" x14ac:dyDescent="0.2">
      <c r="A449" s="1" t="s">
        <v>570</v>
      </c>
      <c r="B449" s="23">
        <v>18</v>
      </c>
      <c r="C449" s="6">
        <v>17</v>
      </c>
      <c r="D449" s="2" t="s">
        <v>548</v>
      </c>
      <c r="E449" s="6">
        <v>760</v>
      </c>
      <c r="F449" s="18">
        <v>175867</v>
      </c>
      <c r="G449" s="18">
        <v>168334</v>
      </c>
      <c r="H449" s="18"/>
      <c r="I449" s="56">
        <f>SUM(F449:H449)</f>
        <v>344201</v>
      </c>
      <c r="J449" s="24" t="s">
        <v>279</v>
      </c>
      <c r="K449" s="24" t="s">
        <v>279</v>
      </c>
      <c r="L449" s="24" t="s">
        <v>279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388</v>
      </c>
      <c r="B450" s="81">
        <v>18</v>
      </c>
      <c r="C450" s="51">
        <v>18</v>
      </c>
      <c r="D450" s="48" t="s">
        <v>548</v>
      </c>
      <c r="E450" s="51"/>
      <c r="F450" s="83">
        <f>SUM(F446:F449)</f>
        <v>175867</v>
      </c>
      <c r="G450" s="83">
        <f>SUM(G446:G449)</f>
        <v>168334</v>
      </c>
      <c r="H450" s="83">
        <f>SUM(H446:H449)</f>
        <v>0</v>
      </c>
      <c r="I450" s="83">
        <f>SUM(I446:I449)</f>
        <v>344201</v>
      </c>
      <c r="J450" s="24" t="s">
        <v>279</v>
      </c>
      <c r="K450" s="24" t="s">
        <v>279</v>
      </c>
      <c r="L450" s="24" t="s">
        <v>279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404</v>
      </c>
      <c r="B451" s="44">
        <v>18</v>
      </c>
      <c r="C451" s="82">
        <v>19</v>
      </c>
      <c r="D451" s="157" t="s">
        <v>548</v>
      </c>
      <c r="E451" s="82"/>
      <c r="F451" s="42">
        <f>F444+F450</f>
        <v>175867</v>
      </c>
      <c r="G451" s="42">
        <f>G444+G450</f>
        <v>168334</v>
      </c>
      <c r="H451" s="42">
        <f>H444+H450</f>
        <v>0</v>
      </c>
      <c r="I451" s="42">
        <f>I444+I450</f>
        <v>344201</v>
      </c>
      <c r="J451" s="24" t="s">
        <v>279</v>
      </c>
      <c r="K451" s="24" t="s">
        <v>279</v>
      </c>
      <c r="L451" s="24" t="s">
        <v>279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144</v>
      </c>
      <c r="B453" s="75"/>
      <c r="C453" s="80"/>
      <c r="D453" s="80"/>
      <c r="E453" s="80"/>
      <c r="F453" s="23" t="s">
        <v>264</v>
      </c>
      <c r="G453" s="23" t="s">
        <v>265</v>
      </c>
      <c r="H453" s="23" t="s">
        <v>266</v>
      </c>
      <c r="I453" s="23" t="s">
        <v>267</v>
      </c>
      <c r="J453" s="23" t="s">
        <v>268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145</v>
      </c>
      <c r="G454" s="84" t="s">
        <v>146</v>
      </c>
      <c r="H454" s="84" t="s">
        <v>147</v>
      </c>
      <c r="I454" s="84" t="s">
        <v>148</v>
      </c>
      <c r="J454" s="84" t="s">
        <v>152</v>
      </c>
      <c r="K454" s="53"/>
      <c r="L454" s="53"/>
    </row>
    <row r="455" spans="1:23" s="52" customFormat="1" ht="12" customHeight="1" x14ac:dyDescent="0.2">
      <c r="A455" s="189" t="s">
        <v>878</v>
      </c>
      <c r="B455" s="105">
        <v>19</v>
      </c>
      <c r="C455" s="111">
        <v>1</v>
      </c>
      <c r="D455" s="2" t="s">
        <v>548</v>
      </c>
      <c r="E455" s="111"/>
      <c r="F455" s="18">
        <v>479145</v>
      </c>
      <c r="G455" s="18">
        <v>0</v>
      </c>
      <c r="H455" s="18">
        <v>0</v>
      </c>
      <c r="I455" s="18">
        <v>0</v>
      </c>
      <c r="J455" s="18">
        <v>267983</v>
      </c>
      <c r="K455" s="24" t="s">
        <v>279</v>
      </c>
      <c r="L455" s="24" t="s">
        <v>279</v>
      </c>
    </row>
    <row r="456" spans="1:23" s="52" customFormat="1" ht="12" customHeight="1" x14ac:dyDescent="0.2">
      <c r="A456" s="24" t="s">
        <v>279</v>
      </c>
      <c r="B456" s="24" t="s">
        <v>279</v>
      </c>
      <c r="C456" s="24" t="s">
        <v>279</v>
      </c>
      <c r="D456" s="24"/>
      <c r="E456" s="24"/>
      <c r="F456" s="24" t="s">
        <v>279</v>
      </c>
      <c r="G456" s="24" t="s">
        <v>279</v>
      </c>
      <c r="H456" s="24" t="s">
        <v>279</v>
      </c>
      <c r="I456" s="24" t="s">
        <v>279</v>
      </c>
      <c r="J456" s="24" t="s">
        <v>279</v>
      </c>
      <c r="K456" s="24" t="s">
        <v>279</v>
      </c>
      <c r="L456" s="24" t="s">
        <v>279</v>
      </c>
    </row>
    <row r="457" spans="1:23" s="52" customFormat="1" ht="12" customHeight="1" x14ac:dyDescent="0.2">
      <c r="A457" s="94" t="s">
        <v>153</v>
      </c>
      <c r="B457" s="24" t="s">
        <v>279</v>
      </c>
      <c r="C457" s="24" t="s">
        <v>279</v>
      </c>
      <c r="D457" s="24"/>
      <c r="E457" s="24"/>
      <c r="F457" s="24" t="s">
        <v>279</v>
      </c>
      <c r="G457" s="24" t="s">
        <v>279</v>
      </c>
      <c r="H457" s="24" t="s">
        <v>279</v>
      </c>
      <c r="I457" s="24" t="s">
        <v>279</v>
      </c>
      <c r="J457" s="24" t="s">
        <v>279</v>
      </c>
      <c r="K457" s="24" t="s">
        <v>279</v>
      </c>
      <c r="L457" s="24" t="s">
        <v>279</v>
      </c>
    </row>
    <row r="458" spans="1:23" s="52" customFormat="1" ht="12" customHeight="1" x14ac:dyDescent="0.2">
      <c r="A458" s="93" t="s">
        <v>610</v>
      </c>
      <c r="B458" s="75">
        <v>19</v>
      </c>
      <c r="C458" s="80">
        <v>2</v>
      </c>
      <c r="D458" s="2" t="s">
        <v>548</v>
      </c>
      <c r="E458" s="80"/>
      <c r="F458" s="18">
        <f>+F185</f>
        <v>14583021</v>
      </c>
      <c r="G458" s="18">
        <f>+G185</f>
        <v>372267</v>
      </c>
      <c r="H458" s="18">
        <f>+H185</f>
        <v>503889</v>
      </c>
      <c r="I458" s="18"/>
      <c r="J458" s="18">
        <f>+L400</f>
        <v>76218</v>
      </c>
      <c r="K458" s="24" t="s">
        <v>279</v>
      </c>
      <c r="L458" s="24" t="s">
        <v>279</v>
      </c>
    </row>
    <row r="459" spans="1:23" s="52" customFormat="1" ht="12" customHeight="1" x14ac:dyDescent="0.2">
      <c r="A459" s="93" t="s">
        <v>611</v>
      </c>
      <c r="B459" s="75">
        <v>19</v>
      </c>
      <c r="C459" s="80">
        <v>3</v>
      </c>
      <c r="D459" s="2" t="s">
        <v>548</v>
      </c>
      <c r="E459" s="80"/>
      <c r="F459" s="18"/>
      <c r="G459" s="18"/>
      <c r="H459" s="18"/>
      <c r="I459" s="18"/>
      <c r="J459" s="18"/>
      <c r="K459" s="24" t="s">
        <v>279</v>
      </c>
      <c r="L459" s="24" t="s">
        <v>279</v>
      </c>
    </row>
    <row r="460" spans="1:23" s="52" customFormat="1" ht="12" customHeight="1" x14ac:dyDescent="0.2">
      <c r="A460" s="92" t="s">
        <v>405</v>
      </c>
      <c r="B460" s="75">
        <v>19</v>
      </c>
      <c r="C460" s="80">
        <v>4</v>
      </c>
      <c r="D460" s="2" t="s">
        <v>548</v>
      </c>
      <c r="E460" s="80"/>
      <c r="F460" s="53">
        <f>SUM(F458:F459)</f>
        <v>14583021</v>
      </c>
      <c r="G460" s="53">
        <f>SUM(G458:G459)</f>
        <v>372267</v>
      </c>
      <c r="H460" s="53">
        <f>SUM(H458:H459)</f>
        <v>503889</v>
      </c>
      <c r="I460" s="53">
        <f>SUM(I458:I459)</f>
        <v>0</v>
      </c>
      <c r="J460" s="53">
        <f>SUM(J458:J459)</f>
        <v>76218</v>
      </c>
      <c r="K460" s="24" t="s">
        <v>279</v>
      </c>
      <c r="L460" s="24" t="s">
        <v>279</v>
      </c>
    </row>
    <row r="461" spans="1:23" s="52" customFormat="1" ht="12" customHeight="1" x14ac:dyDescent="0.2">
      <c r="A461" s="94" t="s">
        <v>154</v>
      </c>
      <c r="B461" s="24" t="s">
        <v>279</v>
      </c>
      <c r="C461" s="24" t="s">
        <v>279</v>
      </c>
      <c r="D461" s="24"/>
      <c r="E461" s="24"/>
      <c r="F461" s="24" t="s">
        <v>279</v>
      </c>
      <c r="G461" s="24" t="s">
        <v>279</v>
      </c>
      <c r="H461" s="24" t="s">
        <v>279</v>
      </c>
      <c r="I461" s="24" t="s">
        <v>279</v>
      </c>
      <c r="J461" s="24" t="s">
        <v>279</v>
      </c>
      <c r="K461" s="24" t="s">
        <v>279</v>
      </c>
      <c r="L461" s="24" t="s">
        <v>279</v>
      </c>
    </row>
    <row r="462" spans="1:23" s="52" customFormat="1" ht="12" customHeight="1" x14ac:dyDescent="0.2">
      <c r="A462" s="93" t="s">
        <v>612</v>
      </c>
      <c r="B462" s="75">
        <v>19</v>
      </c>
      <c r="C462" s="80">
        <v>5</v>
      </c>
      <c r="D462" s="2" t="s">
        <v>548</v>
      </c>
      <c r="E462" s="80"/>
      <c r="F462" s="18">
        <f>+L263</f>
        <v>14497301</v>
      </c>
      <c r="G462" s="18">
        <f>+L354</f>
        <v>372267</v>
      </c>
      <c r="H462" s="18">
        <f>+L344</f>
        <v>503189</v>
      </c>
      <c r="I462" s="18"/>
      <c r="J462" s="18">
        <v>0</v>
      </c>
      <c r="K462" s="24" t="s">
        <v>279</v>
      </c>
      <c r="L462" s="24" t="s">
        <v>279</v>
      </c>
    </row>
    <row r="463" spans="1:23" s="52" customFormat="1" ht="12" customHeight="1" x14ac:dyDescent="0.2">
      <c r="A463" s="93" t="s">
        <v>613</v>
      </c>
      <c r="B463" s="75">
        <v>19</v>
      </c>
      <c r="C463" s="80">
        <v>6</v>
      </c>
      <c r="D463" s="2" t="s">
        <v>548</v>
      </c>
      <c r="E463" s="80"/>
      <c r="F463" s="18"/>
      <c r="G463" s="18"/>
      <c r="H463" s="18"/>
      <c r="I463" s="18"/>
      <c r="J463" s="18"/>
      <c r="K463" s="24" t="s">
        <v>279</v>
      </c>
      <c r="L463" s="24" t="s">
        <v>279</v>
      </c>
    </row>
    <row r="464" spans="1:23" s="52" customFormat="1" ht="12" customHeight="1" x14ac:dyDescent="0.2">
      <c r="A464" s="92" t="s">
        <v>542</v>
      </c>
      <c r="B464" s="75">
        <v>19</v>
      </c>
      <c r="C464" s="80">
        <v>7</v>
      </c>
      <c r="D464" s="2" t="s">
        <v>548</v>
      </c>
      <c r="E464" s="80"/>
      <c r="F464" s="53">
        <f>SUM(F462:F463)</f>
        <v>14497301</v>
      </c>
      <c r="G464" s="53">
        <f>SUM(G462:G463)</f>
        <v>372267</v>
      </c>
      <c r="H464" s="53">
        <f>SUM(H462:H463)</f>
        <v>503189</v>
      </c>
      <c r="I464" s="53">
        <f>SUM(I462:I463)</f>
        <v>0</v>
      </c>
      <c r="J464" s="53">
        <f>SUM(J462:J463)</f>
        <v>0</v>
      </c>
      <c r="K464" s="24" t="s">
        <v>279</v>
      </c>
      <c r="L464" s="24" t="s">
        <v>279</v>
      </c>
    </row>
    <row r="465" spans="1:12" s="52" customFormat="1" ht="12" customHeight="1" x14ac:dyDescent="0.2">
      <c r="A465" s="24" t="s">
        <v>279</v>
      </c>
      <c r="B465" s="24" t="s">
        <v>279</v>
      </c>
      <c r="C465" s="24" t="s">
        <v>279</v>
      </c>
      <c r="D465" s="24"/>
      <c r="E465" s="24"/>
      <c r="F465" s="24" t="s">
        <v>279</v>
      </c>
      <c r="G465" s="24" t="s">
        <v>279</v>
      </c>
      <c r="H465" s="24" t="s">
        <v>279</v>
      </c>
      <c r="I465" s="24" t="s">
        <v>279</v>
      </c>
      <c r="J465" s="24" t="s">
        <v>279</v>
      </c>
      <c r="K465" s="24" t="s">
        <v>279</v>
      </c>
      <c r="L465" s="24" t="s">
        <v>279</v>
      </c>
    </row>
    <row r="466" spans="1:12" s="52" customFormat="1" ht="12" customHeight="1" x14ac:dyDescent="0.2">
      <c r="A466" s="190" t="s">
        <v>879</v>
      </c>
      <c r="B466" s="75">
        <v>19</v>
      </c>
      <c r="C466" s="115">
        <v>8</v>
      </c>
      <c r="D466" s="2" t="s">
        <v>548</v>
      </c>
      <c r="E466" s="115"/>
      <c r="F466" s="53">
        <f>(F455+F460)- F464</f>
        <v>564865</v>
      </c>
      <c r="G466" s="53">
        <f>(G455+G460)- G464</f>
        <v>0</v>
      </c>
      <c r="H466" s="53">
        <f>(H455+H460)- H464</f>
        <v>700</v>
      </c>
      <c r="I466" s="53">
        <f>(I455+I460)- I464</f>
        <v>0</v>
      </c>
      <c r="J466" s="53">
        <f>(J455+J460)- J464</f>
        <v>344201</v>
      </c>
      <c r="K466" s="24" t="s">
        <v>279</v>
      </c>
      <c r="L466" s="24" t="s">
        <v>279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661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699</v>
      </c>
      <c r="B469" s="112"/>
      <c r="C469" s="112"/>
      <c r="D469" s="112"/>
      <c r="E469" s="112"/>
      <c r="F469" s="112"/>
      <c r="G469" s="112"/>
      <c r="H469" s="112"/>
      <c r="I469" s="112" t="s">
        <v>155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382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652</v>
      </c>
      <c r="J471" s="112"/>
      <c r="K471" s="95"/>
      <c r="L471" s="95"/>
    </row>
    <row r="472" spans="1:12" s="52" customFormat="1" ht="12" customHeight="1" x14ac:dyDescent="0.2">
      <c r="A472" s="95" t="s">
        <v>700</v>
      </c>
      <c r="B472" s="112"/>
      <c r="C472" s="112"/>
      <c r="D472" s="112"/>
      <c r="E472" s="112"/>
      <c r="F472" s="112"/>
      <c r="G472" s="112"/>
      <c r="H472" s="112"/>
      <c r="I472" s="112" t="s">
        <v>447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156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448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590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157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880</v>
      </c>
      <c r="B478" s="105"/>
      <c r="C478" s="115"/>
      <c r="D478" s="115"/>
      <c r="E478" s="115"/>
      <c r="F478" s="15" t="s">
        <v>255</v>
      </c>
      <c r="G478" s="15" t="s">
        <v>256</v>
      </c>
      <c r="H478" s="15" t="s">
        <v>257</v>
      </c>
      <c r="I478" s="15" t="s">
        <v>258</v>
      </c>
      <c r="J478" s="15" t="s">
        <v>259</v>
      </c>
      <c r="K478" s="15" t="s">
        <v>260</v>
      </c>
      <c r="L478" s="116"/>
    </row>
    <row r="479" spans="1:12" s="52" customFormat="1" ht="12" customHeight="1" x14ac:dyDescent="0.2">
      <c r="A479" s="96" t="s">
        <v>0</v>
      </c>
      <c r="B479" s="105"/>
      <c r="C479" s="115"/>
      <c r="D479" s="115"/>
      <c r="E479" s="115"/>
      <c r="F479" s="117" t="s">
        <v>1</v>
      </c>
      <c r="G479" s="117" t="s">
        <v>2</v>
      </c>
      <c r="H479" s="117" t="s">
        <v>3</v>
      </c>
      <c r="I479" s="117" t="s">
        <v>4</v>
      </c>
      <c r="J479" s="117" t="s">
        <v>5</v>
      </c>
      <c r="K479" s="117" t="s">
        <v>471</v>
      </c>
      <c r="L479" s="116"/>
    </row>
    <row r="480" spans="1:12" s="52" customFormat="1" ht="12" customHeight="1" x14ac:dyDescent="0.2">
      <c r="A480" s="22" t="s">
        <v>614</v>
      </c>
      <c r="B480" s="75">
        <v>20</v>
      </c>
      <c r="C480" s="115">
        <v>1</v>
      </c>
      <c r="D480" s="2" t="s">
        <v>548</v>
      </c>
      <c r="E480" s="115"/>
      <c r="F480" s="154">
        <v>5</v>
      </c>
      <c r="G480" s="154">
        <v>10</v>
      </c>
      <c r="H480" s="154"/>
      <c r="I480" s="154"/>
      <c r="J480" s="154"/>
      <c r="K480" s="24" t="s">
        <v>279</v>
      </c>
      <c r="L480" s="24" t="s">
        <v>279</v>
      </c>
    </row>
    <row r="481" spans="1:12" s="52" customFormat="1" ht="12" customHeight="1" x14ac:dyDescent="0.2">
      <c r="A481" s="22" t="s">
        <v>750</v>
      </c>
      <c r="B481" s="75">
        <v>20</v>
      </c>
      <c r="C481" s="115">
        <v>2</v>
      </c>
      <c r="D481" s="2" t="s">
        <v>548</v>
      </c>
      <c r="E481" s="115"/>
      <c r="F481" s="155" t="s">
        <v>82</v>
      </c>
      <c r="G481" s="155" t="s">
        <v>84</v>
      </c>
      <c r="H481" s="155"/>
      <c r="I481" s="155"/>
      <c r="J481" s="155"/>
      <c r="K481" s="24" t="s">
        <v>279</v>
      </c>
      <c r="L481" s="24" t="s">
        <v>279</v>
      </c>
    </row>
    <row r="482" spans="1:12" s="52" customFormat="1" ht="12" customHeight="1" x14ac:dyDescent="0.2">
      <c r="A482" s="22" t="s">
        <v>751</v>
      </c>
      <c r="B482" s="75">
        <v>20</v>
      </c>
      <c r="C482" s="115">
        <v>3</v>
      </c>
      <c r="D482" s="2" t="s">
        <v>548</v>
      </c>
      <c r="E482" s="115"/>
      <c r="F482" s="155" t="s">
        <v>83</v>
      </c>
      <c r="G482" s="155" t="s">
        <v>85</v>
      </c>
      <c r="H482" s="155"/>
      <c r="I482" s="155"/>
      <c r="J482" s="155"/>
      <c r="K482" s="24" t="s">
        <v>279</v>
      </c>
      <c r="L482" s="24" t="s">
        <v>279</v>
      </c>
    </row>
    <row r="483" spans="1:12" s="52" customFormat="1" ht="12" customHeight="1" x14ac:dyDescent="0.2">
      <c r="A483" s="22" t="s">
        <v>752</v>
      </c>
      <c r="B483" s="75">
        <v>20</v>
      </c>
      <c r="C483" s="115">
        <v>4</v>
      </c>
      <c r="D483" s="2" t="s">
        <v>548</v>
      </c>
      <c r="E483" s="115"/>
      <c r="F483" s="18">
        <v>548500</v>
      </c>
      <c r="G483" s="18">
        <v>4745000</v>
      </c>
      <c r="H483" s="18"/>
      <c r="I483" s="18"/>
      <c r="J483" s="18"/>
      <c r="K483" s="24" t="s">
        <v>279</v>
      </c>
      <c r="L483" s="24" t="s">
        <v>279</v>
      </c>
    </row>
    <row r="484" spans="1:12" s="52" customFormat="1" ht="12" customHeight="1" x14ac:dyDescent="0.2">
      <c r="A484" s="22" t="s">
        <v>753</v>
      </c>
      <c r="B484" s="75">
        <v>20</v>
      </c>
      <c r="C484" s="115">
        <v>5</v>
      </c>
      <c r="D484" s="2" t="s">
        <v>548</v>
      </c>
      <c r="E484" s="115"/>
      <c r="F484" s="18">
        <v>3</v>
      </c>
      <c r="G484" s="18" t="s">
        <v>86</v>
      </c>
      <c r="H484" s="18"/>
      <c r="I484" s="18"/>
      <c r="J484" s="18"/>
      <c r="K484" s="24" t="s">
        <v>279</v>
      </c>
      <c r="L484" s="24" t="s">
        <v>279</v>
      </c>
    </row>
    <row r="485" spans="1:12" s="52" customFormat="1" ht="12" customHeight="1" x14ac:dyDescent="0.2">
      <c r="A485" s="22" t="s">
        <v>754</v>
      </c>
      <c r="B485" s="75">
        <v>20</v>
      </c>
      <c r="C485" s="115">
        <v>6</v>
      </c>
      <c r="D485" s="2" t="s">
        <v>548</v>
      </c>
      <c r="E485" s="115"/>
      <c r="F485" s="18">
        <v>109700</v>
      </c>
      <c r="G485" s="18">
        <v>4085000</v>
      </c>
      <c r="H485" s="18"/>
      <c r="I485" s="18"/>
      <c r="J485" s="18"/>
      <c r="K485" s="53">
        <f>SUM(F485:J485)</f>
        <v>4194700</v>
      </c>
      <c r="L485" s="24" t="s">
        <v>279</v>
      </c>
    </row>
    <row r="486" spans="1:12" s="52" customFormat="1" ht="12" customHeight="1" x14ac:dyDescent="0.2">
      <c r="A486" s="22" t="s">
        <v>755</v>
      </c>
      <c r="B486" s="75">
        <v>20</v>
      </c>
      <c r="C486" s="115">
        <v>7</v>
      </c>
      <c r="D486" s="2" t="s">
        <v>548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279</v>
      </c>
    </row>
    <row r="487" spans="1:12" s="52" customFormat="1" ht="12" customHeight="1" x14ac:dyDescent="0.2">
      <c r="A487" s="22" t="s">
        <v>756</v>
      </c>
      <c r="B487" s="75">
        <v>20</v>
      </c>
      <c r="C487" s="115">
        <v>8</v>
      </c>
      <c r="D487" s="2" t="s">
        <v>548</v>
      </c>
      <c r="E487" s="115"/>
      <c r="F487" s="18">
        <v>109700</v>
      </c>
      <c r="G487" s="18">
        <f>494700-109700</f>
        <v>385000</v>
      </c>
      <c r="H487" s="18"/>
      <c r="I487" s="18"/>
      <c r="J487" s="18"/>
      <c r="K487" s="53">
        <f t="shared" si="34"/>
        <v>494700</v>
      </c>
      <c r="L487" s="24" t="s">
        <v>279</v>
      </c>
    </row>
    <row r="488" spans="1:12" s="52" customFormat="1" ht="12" customHeight="1" x14ac:dyDescent="0.2">
      <c r="A488" s="201" t="s">
        <v>623</v>
      </c>
      <c r="B488" s="202">
        <v>20</v>
      </c>
      <c r="C488" s="203">
        <v>9</v>
      </c>
      <c r="D488" s="204" t="s">
        <v>548</v>
      </c>
      <c r="E488" s="203"/>
      <c r="F488" s="205">
        <v>0</v>
      </c>
      <c r="G488" s="205">
        <f>+G485-G487</f>
        <v>3700000</v>
      </c>
      <c r="H488" s="205"/>
      <c r="I488" s="205"/>
      <c r="J488" s="205"/>
      <c r="K488" s="206">
        <f t="shared" si="34"/>
        <v>3700000</v>
      </c>
      <c r="L488" s="207" t="s">
        <v>279</v>
      </c>
    </row>
    <row r="489" spans="1:12" s="52" customFormat="1" ht="12" customHeight="1" thickBot="1" x14ac:dyDescent="0.25">
      <c r="A489" s="22" t="s">
        <v>624</v>
      </c>
      <c r="B489" s="75">
        <v>20</v>
      </c>
      <c r="C489" s="115">
        <v>10</v>
      </c>
      <c r="D489" s="2" t="s">
        <v>548</v>
      </c>
      <c r="E489" s="115"/>
      <c r="F489" s="18">
        <v>0</v>
      </c>
      <c r="G489" s="18">
        <f>842993-164680</f>
        <v>678313</v>
      </c>
      <c r="H489" s="18"/>
      <c r="I489" s="18"/>
      <c r="J489" s="18"/>
      <c r="K489" s="53">
        <f t="shared" si="34"/>
        <v>678313</v>
      </c>
      <c r="L489" s="24" t="s">
        <v>279</v>
      </c>
    </row>
    <row r="490" spans="1:12" s="52" customFormat="1" ht="12" customHeight="1" thickTop="1" x14ac:dyDescent="0.2">
      <c r="A490" s="139" t="s">
        <v>626</v>
      </c>
      <c r="B490" s="44">
        <v>20</v>
      </c>
      <c r="C490" s="196">
        <v>11</v>
      </c>
      <c r="D490" s="39" t="s">
        <v>548</v>
      </c>
      <c r="E490" s="196"/>
      <c r="F490" s="42">
        <f>SUM(F488:F489)</f>
        <v>0</v>
      </c>
      <c r="G490" s="42">
        <f>SUM(G488:G489)</f>
        <v>4378313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4378313</v>
      </c>
      <c r="L490" s="45" t="s">
        <v>279</v>
      </c>
    </row>
    <row r="491" spans="1:12" s="52" customFormat="1" ht="12" customHeight="1" x14ac:dyDescent="0.2">
      <c r="A491" s="201" t="s">
        <v>653</v>
      </c>
      <c r="B491" s="202">
        <v>20</v>
      </c>
      <c r="C491" s="203">
        <v>12</v>
      </c>
      <c r="D491" s="204" t="s">
        <v>548</v>
      </c>
      <c r="E491" s="203"/>
      <c r="F491" s="205">
        <v>0</v>
      </c>
      <c r="G491" s="205">
        <v>400000</v>
      </c>
      <c r="H491" s="205"/>
      <c r="I491" s="205"/>
      <c r="J491" s="205"/>
      <c r="K491" s="206">
        <f t="shared" si="34"/>
        <v>400000</v>
      </c>
      <c r="L491" s="207" t="s">
        <v>279</v>
      </c>
    </row>
    <row r="492" spans="1:12" s="52" customFormat="1" ht="12" customHeight="1" thickBot="1" x14ac:dyDescent="0.25">
      <c r="A492" s="22" t="s">
        <v>760</v>
      </c>
      <c r="B492" s="75">
        <v>20</v>
      </c>
      <c r="C492" s="115">
        <v>13</v>
      </c>
      <c r="D492" s="2" t="s">
        <v>548</v>
      </c>
      <c r="E492" s="115"/>
      <c r="F492" s="18">
        <v>0</v>
      </c>
      <c r="G492" s="18">
        <v>147325</v>
      </c>
      <c r="H492" s="18"/>
      <c r="I492" s="18"/>
      <c r="J492" s="18"/>
      <c r="K492" s="53">
        <f t="shared" si="34"/>
        <v>147325</v>
      </c>
      <c r="L492" s="24" t="s">
        <v>279</v>
      </c>
    </row>
    <row r="493" spans="1:12" s="52" customFormat="1" ht="12" customHeight="1" thickTop="1" x14ac:dyDescent="0.2">
      <c r="A493" s="139" t="s">
        <v>628</v>
      </c>
      <c r="B493" s="44">
        <v>20</v>
      </c>
      <c r="C493" s="196">
        <v>14</v>
      </c>
      <c r="D493" s="39" t="s">
        <v>548</v>
      </c>
      <c r="E493" s="196"/>
      <c r="F493" s="42">
        <f>SUM(F491:F492)</f>
        <v>0</v>
      </c>
      <c r="G493" s="42">
        <f>SUM(G491:G492)</f>
        <v>547325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547325</v>
      </c>
      <c r="L493" s="45" t="s">
        <v>279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20</v>
      </c>
      <c r="G496" s="103" t="s">
        <v>21</v>
      </c>
      <c r="H496" s="103" t="s">
        <v>22</v>
      </c>
      <c r="I496" s="106" t="s">
        <v>23</v>
      </c>
      <c r="J496" s="24" t="s">
        <v>279</v>
      </c>
      <c r="K496" s="24" t="s">
        <v>279</v>
      </c>
      <c r="L496" s="24" t="s">
        <v>279</v>
      </c>
    </row>
    <row r="497" spans="1:12" s="52" customFormat="1" ht="12" customHeight="1" x14ac:dyDescent="0.2">
      <c r="A497" s="96" t="s">
        <v>19</v>
      </c>
      <c r="B497" s="105">
        <v>20</v>
      </c>
      <c r="C497" s="115">
        <v>15</v>
      </c>
      <c r="D497" s="2" t="s">
        <v>548</v>
      </c>
      <c r="E497" s="115"/>
      <c r="F497" s="144"/>
      <c r="G497" s="144"/>
      <c r="H497" s="144"/>
      <c r="I497" s="144"/>
      <c r="J497" s="24" t="s">
        <v>279</v>
      </c>
      <c r="K497" s="24" t="s">
        <v>279</v>
      </c>
      <c r="L497" s="24" t="s">
        <v>279</v>
      </c>
    </row>
    <row r="498" spans="1:12" s="52" customFormat="1" ht="12" customHeight="1" x14ac:dyDescent="0.2">
      <c r="A498" s="96" t="s">
        <v>24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881</v>
      </c>
      <c r="B499" s="22"/>
      <c r="C499" s="22"/>
      <c r="D499" s="22"/>
      <c r="E499" s="22"/>
      <c r="F499" s="122" t="s">
        <v>25</v>
      </c>
      <c r="G499" s="122"/>
      <c r="H499" s="123" t="s">
        <v>26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27</v>
      </c>
      <c r="G500" s="113" t="s">
        <v>28</v>
      </c>
      <c r="H500" s="114" t="s">
        <v>27</v>
      </c>
      <c r="I500" s="114" t="s">
        <v>28</v>
      </c>
      <c r="J500" s="53"/>
      <c r="K500" s="53"/>
      <c r="L500" s="53"/>
    </row>
    <row r="501" spans="1:12" s="52" customFormat="1" ht="12" customHeight="1" x14ac:dyDescent="0.2">
      <c r="A501" s="22" t="s">
        <v>629</v>
      </c>
      <c r="B501" s="75">
        <v>20</v>
      </c>
      <c r="C501" s="115">
        <v>16</v>
      </c>
      <c r="D501" s="2" t="s">
        <v>548</v>
      </c>
      <c r="E501" s="115">
        <v>210</v>
      </c>
      <c r="F501" s="18"/>
      <c r="G501" s="24" t="s">
        <v>279</v>
      </c>
      <c r="H501" s="18"/>
      <c r="I501" s="24" t="s">
        <v>279</v>
      </c>
      <c r="J501" s="24" t="s">
        <v>279</v>
      </c>
      <c r="K501" s="24" t="s">
        <v>279</v>
      </c>
      <c r="L501" s="24" t="s">
        <v>279</v>
      </c>
    </row>
    <row r="502" spans="1:12" s="52" customFormat="1" ht="12" customHeight="1" x14ac:dyDescent="0.2">
      <c r="A502" s="22" t="s">
        <v>630</v>
      </c>
      <c r="B502" s="75">
        <v>20</v>
      </c>
      <c r="C502" s="115">
        <v>17</v>
      </c>
      <c r="D502" s="2" t="s">
        <v>548</v>
      </c>
      <c r="E502" s="115">
        <v>220</v>
      </c>
      <c r="F502" s="18"/>
      <c r="G502" s="24" t="s">
        <v>279</v>
      </c>
      <c r="H502" s="18"/>
      <c r="I502" s="24" t="s">
        <v>279</v>
      </c>
      <c r="J502" s="24" t="s">
        <v>279</v>
      </c>
      <c r="K502" s="24" t="s">
        <v>279</v>
      </c>
      <c r="L502" s="24" t="s">
        <v>279</v>
      </c>
    </row>
    <row r="503" spans="1:12" s="52" customFormat="1" ht="12" customHeight="1" x14ac:dyDescent="0.2">
      <c r="A503" s="22" t="s">
        <v>631</v>
      </c>
      <c r="B503" s="75">
        <v>20</v>
      </c>
      <c r="C503" s="115">
        <v>18</v>
      </c>
      <c r="D503" s="2" t="s">
        <v>548</v>
      </c>
      <c r="E503" s="115">
        <v>230</v>
      </c>
      <c r="F503" s="18"/>
      <c r="G503" s="24" t="s">
        <v>279</v>
      </c>
      <c r="H503" s="18"/>
      <c r="I503" s="24" t="s">
        <v>279</v>
      </c>
      <c r="J503" s="24" t="s">
        <v>279</v>
      </c>
      <c r="K503" s="24" t="s">
        <v>279</v>
      </c>
      <c r="L503" s="24" t="s">
        <v>279</v>
      </c>
    </row>
    <row r="504" spans="1:12" s="52" customFormat="1" ht="12" customHeight="1" x14ac:dyDescent="0.2">
      <c r="A504" s="22" t="s">
        <v>632</v>
      </c>
      <c r="B504" s="75">
        <v>20</v>
      </c>
      <c r="C504" s="115">
        <v>19</v>
      </c>
      <c r="D504" s="2" t="s">
        <v>548</v>
      </c>
      <c r="E504" s="115">
        <v>240</v>
      </c>
      <c r="F504" s="18"/>
      <c r="G504" s="24" t="s">
        <v>279</v>
      </c>
      <c r="H504" s="18"/>
      <c r="I504" s="24" t="s">
        <v>279</v>
      </c>
      <c r="J504" s="24" t="s">
        <v>279</v>
      </c>
      <c r="K504" s="24" t="s">
        <v>279</v>
      </c>
      <c r="L504" s="24" t="s">
        <v>279</v>
      </c>
    </row>
    <row r="505" spans="1:12" s="52" customFormat="1" ht="12" customHeight="1" x14ac:dyDescent="0.2">
      <c r="A505" s="22" t="s">
        <v>633</v>
      </c>
      <c r="B505" s="75">
        <v>20</v>
      </c>
      <c r="C505" s="115">
        <v>20</v>
      </c>
      <c r="D505" s="2" t="s">
        <v>548</v>
      </c>
      <c r="E505" s="115">
        <v>250</v>
      </c>
      <c r="F505" s="18"/>
      <c r="G505" s="24" t="s">
        <v>279</v>
      </c>
      <c r="H505" s="18"/>
      <c r="I505" s="24" t="s">
        <v>279</v>
      </c>
      <c r="J505" s="24" t="s">
        <v>279</v>
      </c>
      <c r="K505" s="24" t="s">
        <v>279</v>
      </c>
      <c r="L505" s="24" t="s">
        <v>279</v>
      </c>
    </row>
    <row r="506" spans="1:12" s="52" customFormat="1" ht="12" customHeight="1" thickBot="1" x14ac:dyDescent="0.25">
      <c r="A506" s="22" t="s">
        <v>634</v>
      </c>
      <c r="B506" s="75">
        <v>20</v>
      </c>
      <c r="C506" s="115">
        <v>21</v>
      </c>
      <c r="D506" s="2" t="s">
        <v>548</v>
      </c>
      <c r="E506" s="115">
        <v>710</v>
      </c>
      <c r="F506" s="24" t="s">
        <v>279</v>
      </c>
      <c r="G506" s="18"/>
      <c r="H506" s="24" t="s">
        <v>279</v>
      </c>
      <c r="I506" s="18"/>
      <c r="J506" s="24" t="s">
        <v>279</v>
      </c>
      <c r="K506" s="24" t="s">
        <v>279</v>
      </c>
      <c r="L506" s="24" t="s">
        <v>279</v>
      </c>
    </row>
    <row r="507" spans="1:12" s="52" customFormat="1" ht="12" customHeight="1" thickTop="1" x14ac:dyDescent="0.2">
      <c r="A507" s="96" t="s">
        <v>543</v>
      </c>
      <c r="B507" s="75">
        <v>20</v>
      </c>
      <c r="C507" s="115">
        <v>22</v>
      </c>
      <c r="D507" s="2" t="s">
        <v>548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279</v>
      </c>
      <c r="K507" s="24" t="s">
        <v>279</v>
      </c>
      <c r="L507" s="24" t="s">
        <v>279</v>
      </c>
    </row>
    <row r="508" spans="1:12" s="52" customFormat="1" ht="12" customHeight="1" x14ac:dyDescent="0.2">
      <c r="A508" s="96" t="s">
        <v>702</v>
      </c>
      <c r="B508" s="105"/>
      <c r="C508" s="115"/>
      <c r="D508" s="115"/>
      <c r="E508" s="115"/>
      <c r="F508" s="177" t="s">
        <v>696</v>
      </c>
      <c r="G508" s="177" t="s">
        <v>697</v>
      </c>
      <c r="H508" s="177" t="s">
        <v>828</v>
      </c>
      <c r="I508" s="177" t="s">
        <v>829</v>
      </c>
      <c r="J508" s="177" t="s">
        <v>830</v>
      </c>
      <c r="K508" s="177" t="s">
        <v>698</v>
      </c>
      <c r="L508" s="106"/>
    </row>
    <row r="509" spans="1:12" s="52" customFormat="1" ht="12" customHeight="1" x14ac:dyDescent="0.2">
      <c r="A509" s="178" t="s">
        <v>701</v>
      </c>
      <c r="B509" s="105"/>
      <c r="C509" s="115"/>
      <c r="D509" s="115"/>
      <c r="E509" s="115"/>
      <c r="F509" s="103" t="s">
        <v>33</v>
      </c>
      <c r="G509" s="103" t="s">
        <v>34</v>
      </c>
      <c r="H509" s="106" t="s">
        <v>35</v>
      </c>
      <c r="I509" s="106" t="s">
        <v>36</v>
      </c>
      <c r="J509" s="106" t="s">
        <v>37</v>
      </c>
      <c r="K509" s="106" t="s">
        <v>38</v>
      </c>
      <c r="L509" s="106" t="s">
        <v>133</v>
      </c>
    </row>
    <row r="510" spans="1:12" s="52" customFormat="1" ht="12" customHeight="1" x14ac:dyDescent="0.2">
      <c r="A510" s="96" t="s">
        <v>39</v>
      </c>
      <c r="B510" s="105"/>
      <c r="C510" s="115"/>
      <c r="D510" s="115"/>
      <c r="E510" s="115"/>
      <c r="F510" s="24" t="s">
        <v>279</v>
      </c>
      <c r="G510" s="24" t="s">
        <v>279</v>
      </c>
      <c r="H510" s="24" t="s">
        <v>279</v>
      </c>
      <c r="I510" s="24" t="s">
        <v>279</v>
      </c>
      <c r="J510" s="24" t="s">
        <v>279</v>
      </c>
      <c r="K510" s="24" t="s">
        <v>279</v>
      </c>
      <c r="L510" s="24" t="s">
        <v>279</v>
      </c>
    </row>
    <row r="511" spans="1:12" s="52" customFormat="1" ht="12" customHeight="1" x14ac:dyDescent="0.2">
      <c r="A511" s="22" t="s">
        <v>635</v>
      </c>
      <c r="B511" s="105">
        <v>21</v>
      </c>
      <c r="C511" s="115">
        <v>1</v>
      </c>
      <c r="D511" s="2" t="s">
        <v>548</v>
      </c>
      <c r="E511" s="115"/>
      <c r="F511" s="18">
        <f>937934+78384</f>
        <v>1016318</v>
      </c>
      <c r="G511" s="18">
        <f>231815+24328</f>
        <v>256143</v>
      </c>
      <c r="H511" s="18">
        <f>60164+2578+7549</f>
        <v>70291</v>
      </c>
      <c r="I511" s="18">
        <f>5275+1139</f>
        <v>6414</v>
      </c>
      <c r="J511" s="18">
        <f>994+23168</f>
        <v>24162</v>
      </c>
      <c r="K511" s="18">
        <v>189</v>
      </c>
      <c r="L511" s="88">
        <f>SUM(F511:K511)</f>
        <v>1373517</v>
      </c>
    </row>
    <row r="512" spans="1:12" s="52" customFormat="1" ht="12" customHeight="1" x14ac:dyDescent="0.2">
      <c r="A512" s="22" t="s">
        <v>636</v>
      </c>
      <c r="B512" s="105">
        <v>21</v>
      </c>
      <c r="C512" s="115">
        <v>2</v>
      </c>
      <c r="D512" s="2" t="s">
        <v>548</v>
      </c>
      <c r="E512" s="115"/>
      <c r="F512" s="18">
        <f>299491+24730</f>
        <v>324221</v>
      </c>
      <c r="G512" s="18">
        <f>108160+7676</f>
        <v>115836</v>
      </c>
      <c r="H512" s="18">
        <f>19682+813+2382</f>
        <v>22877</v>
      </c>
      <c r="I512" s="18">
        <f>2494+359</f>
        <v>2853</v>
      </c>
      <c r="J512" s="18">
        <f>127+7310</f>
        <v>7437</v>
      </c>
      <c r="K512" s="18">
        <v>62</v>
      </c>
      <c r="L512" s="88">
        <f>SUM(F512:K512)</f>
        <v>473286</v>
      </c>
    </row>
    <row r="513" spans="1:13" s="52" customFormat="1" ht="12" customHeight="1" thickBot="1" x14ac:dyDescent="0.25">
      <c r="A513" s="22" t="s">
        <v>637</v>
      </c>
      <c r="B513" s="105">
        <v>21</v>
      </c>
      <c r="C513" s="115">
        <v>3</v>
      </c>
      <c r="D513" s="2" t="s">
        <v>548</v>
      </c>
      <c r="E513" s="115"/>
      <c r="F513" s="18">
        <f>376917+46278</f>
        <v>423195</v>
      </c>
      <c r="G513" s="18">
        <f>101361+14364</f>
        <v>115725</v>
      </c>
      <c r="H513" s="18">
        <f>36959+1522+4457</f>
        <v>42938</v>
      </c>
      <c r="I513" s="18">
        <f>3527+672</f>
        <v>4199</v>
      </c>
      <c r="J513" s="18">
        <f>1096+13679</f>
        <v>14775</v>
      </c>
      <c r="K513" s="18">
        <v>113</v>
      </c>
      <c r="L513" s="88">
        <f>SUM(F513:K513)</f>
        <v>600945</v>
      </c>
    </row>
    <row r="514" spans="1:13" s="52" customFormat="1" ht="12" customHeight="1" thickTop="1" x14ac:dyDescent="0.2">
      <c r="A514" s="139" t="s">
        <v>42</v>
      </c>
      <c r="B514" s="107">
        <v>21</v>
      </c>
      <c r="C514" s="196">
        <v>4</v>
      </c>
      <c r="D514" s="197" t="s">
        <v>548</v>
      </c>
      <c r="E514" s="196"/>
      <c r="F514" s="108">
        <f>SUM(F511:F513)</f>
        <v>1763734</v>
      </c>
      <c r="G514" s="108">
        <f t="shared" ref="G514:L514" si="35">SUM(G511:G513)</f>
        <v>487704</v>
      </c>
      <c r="H514" s="108">
        <f t="shared" si="35"/>
        <v>136106</v>
      </c>
      <c r="I514" s="108">
        <f t="shared" si="35"/>
        <v>13466</v>
      </c>
      <c r="J514" s="108">
        <f t="shared" si="35"/>
        <v>46374</v>
      </c>
      <c r="K514" s="108">
        <f t="shared" si="35"/>
        <v>364</v>
      </c>
      <c r="L514" s="89">
        <f t="shared" si="35"/>
        <v>2447748</v>
      </c>
    </row>
    <row r="515" spans="1:13" s="52" customFormat="1" ht="12" customHeight="1" x14ac:dyDescent="0.2">
      <c r="A515" s="96" t="s">
        <v>43</v>
      </c>
      <c r="B515" s="105"/>
      <c r="C515" s="115"/>
      <c r="D515" s="115"/>
      <c r="E515" s="115"/>
      <c r="F515" s="24" t="s">
        <v>279</v>
      </c>
      <c r="G515" s="24" t="s">
        <v>279</v>
      </c>
      <c r="H515" s="24" t="s">
        <v>279</v>
      </c>
      <c r="I515" s="24" t="s">
        <v>279</v>
      </c>
      <c r="J515" s="24" t="s">
        <v>279</v>
      </c>
      <c r="K515" s="24" t="s">
        <v>279</v>
      </c>
      <c r="L515" s="24" t="s">
        <v>279</v>
      </c>
    </row>
    <row r="516" spans="1:13" s="52" customFormat="1" ht="12" customHeight="1" x14ac:dyDescent="0.2">
      <c r="A516" s="22" t="s">
        <v>635</v>
      </c>
      <c r="B516" s="105">
        <v>21</v>
      </c>
      <c r="C516" s="115">
        <v>5</v>
      </c>
      <c r="D516" s="2" t="s">
        <v>548</v>
      </c>
      <c r="E516" s="115"/>
      <c r="F516" s="18">
        <f>125797+36730+143979+5086+49828</f>
        <v>361420</v>
      </c>
      <c r="G516" s="18">
        <f>20742+6130+54496+770+4880</f>
        <v>87018</v>
      </c>
      <c r="H516" s="18">
        <f>1949+2361+5421+3311+21355+923</f>
        <v>35320</v>
      </c>
      <c r="I516" s="18">
        <f>408+499+117+1599</f>
        <v>2623</v>
      </c>
      <c r="J516" s="18">
        <f>200+173+922+814</f>
        <v>2109</v>
      </c>
      <c r="K516" s="18"/>
      <c r="L516" s="88">
        <f>SUM(F516:K516)</f>
        <v>488490</v>
      </c>
    </row>
    <row r="517" spans="1:13" s="52" customFormat="1" ht="12" customHeight="1" x14ac:dyDescent="0.2">
      <c r="A517" s="22" t="s">
        <v>636</v>
      </c>
      <c r="B517" s="105">
        <v>21</v>
      </c>
      <c r="C517" s="115">
        <v>6</v>
      </c>
      <c r="D517" s="2" t="s">
        <v>548</v>
      </c>
      <c r="E517" s="115"/>
      <c r="F517" s="18">
        <f>44783+11588+6491+15721</f>
        <v>78583</v>
      </c>
      <c r="G517" s="18">
        <f>17937+1934+2659+1540</f>
        <v>24070</v>
      </c>
      <c r="H517" s="18">
        <f>615+745+1710+6738+291</f>
        <v>10099</v>
      </c>
      <c r="I517" s="18">
        <f>438+158+37</f>
        <v>633</v>
      </c>
      <c r="J517" s="18">
        <f>50+55+291+224</f>
        <v>620</v>
      </c>
      <c r="K517" s="18"/>
      <c r="L517" s="88">
        <f>SUM(F517:K517)</f>
        <v>114005</v>
      </c>
    </row>
    <row r="518" spans="1:13" s="3" customFormat="1" ht="12" customHeight="1" thickBot="1" x14ac:dyDescent="0.2">
      <c r="A518" s="22" t="s">
        <v>637</v>
      </c>
      <c r="B518" s="118">
        <v>21</v>
      </c>
      <c r="C518" s="118">
        <v>7</v>
      </c>
      <c r="D518" s="2" t="s">
        <v>548</v>
      </c>
      <c r="E518" s="118"/>
      <c r="F518" s="18">
        <f>119703+21686+9736+29419</f>
        <v>180544</v>
      </c>
      <c r="G518" s="18">
        <f>33071+3619+3983+2881</f>
        <v>43554</v>
      </c>
      <c r="H518" s="18">
        <f>1151+1394+3201+12608+545</f>
        <v>18899</v>
      </c>
      <c r="I518" s="18">
        <f>906+295+69</f>
        <v>1270</v>
      </c>
      <c r="J518" s="18">
        <f>957+102+544+419</f>
        <v>2022</v>
      </c>
      <c r="K518" s="18"/>
      <c r="L518" s="88">
        <f>SUM(F518:K518)</f>
        <v>246289</v>
      </c>
      <c r="M518" s="8"/>
    </row>
    <row r="519" spans="1:13" s="3" customFormat="1" ht="12" customHeight="1" thickTop="1" x14ac:dyDescent="0.15">
      <c r="A519" s="139" t="s">
        <v>44</v>
      </c>
      <c r="B519" s="107">
        <v>21</v>
      </c>
      <c r="C519" s="107">
        <v>8</v>
      </c>
      <c r="D519" s="158" t="s">
        <v>548</v>
      </c>
      <c r="E519" s="107"/>
      <c r="F519" s="89">
        <f>SUM(F516:F518)</f>
        <v>620547</v>
      </c>
      <c r="G519" s="89">
        <f t="shared" ref="G519:L519" si="36">SUM(G516:G518)</f>
        <v>154642</v>
      </c>
      <c r="H519" s="89">
        <f t="shared" si="36"/>
        <v>64318</v>
      </c>
      <c r="I519" s="89">
        <f t="shared" si="36"/>
        <v>4526</v>
      </c>
      <c r="J519" s="89">
        <f t="shared" si="36"/>
        <v>4751</v>
      </c>
      <c r="K519" s="89">
        <f t="shared" si="36"/>
        <v>0</v>
      </c>
      <c r="L519" s="89">
        <f t="shared" si="36"/>
        <v>848784</v>
      </c>
      <c r="M519" s="8"/>
    </row>
    <row r="520" spans="1:13" s="3" customFormat="1" ht="12" customHeight="1" x14ac:dyDescent="0.15">
      <c r="A520" s="97" t="s">
        <v>45</v>
      </c>
      <c r="B520" s="105"/>
      <c r="C520" s="105"/>
      <c r="D520" s="105"/>
      <c r="E520" s="105"/>
      <c r="F520" s="24" t="s">
        <v>279</v>
      </c>
      <c r="G520" s="24" t="s">
        <v>279</v>
      </c>
      <c r="H520" s="24" t="s">
        <v>279</v>
      </c>
      <c r="I520" s="24" t="s">
        <v>279</v>
      </c>
      <c r="J520" s="24" t="s">
        <v>279</v>
      </c>
      <c r="K520" s="24" t="s">
        <v>279</v>
      </c>
      <c r="L520" s="24" t="s">
        <v>279</v>
      </c>
      <c r="M520" s="8"/>
    </row>
    <row r="521" spans="1:13" s="3" customFormat="1" ht="12" customHeight="1" x14ac:dyDescent="0.15">
      <c r="A521" s="22" t="s">
        <v>635</v>
      </c>
      <c r="B521" s="105">
        <v>21</v>
      </c>
      <c r="C521" s="105">
        <v>9</v>
      </c>
      <c r="D521" s="2" t="s">
        <v>548</v>
      </c>
      <c r="E521" s="105"/>
      <c r="F521" s="18">
        <v>62817</v>
      </c>
      <c r="G521" s="18">
        <v>22015</v>
      </c>
      <c r="H521" s="18"/>
      <c r="I521" s="18">
        <v>99</v>
      </c>
      <c r="J521" s="18">
        <v>83</v>
      </c>
      <c r="K521" s="18"/>
      <c r="L521" s="88">
        <f>SUM(F521:K521)</f>
        <v>85014</v>
      </c>
      <c r="M521" s="8"/>
    </row>
    <row r="522" spans="1:13" s="3" customFormat="1" ht="12" customHeight="1" x14ac:dyDescent="0.15">
      <c r="A522" s="22" t="s">
        <v>636</v>
      </c>
      <c r="B522" s="105">
        <v>21</v>
      </c>
      <c r="C522" s="105">
        <v>10</v>
      </c>
      <c r="D522" s="2" t="s">
        <v>548</v>
      </c>
      <c r="E522" s="105"/>
      <c r="F522" s="18">
        <v>19819</v>
      </c>
      <c r="G522" s="18">
        <v>6946</v>
      </c>
      <c r="H522" s="18"/>
      <c r="I522" s="18">
        <v>31</v>
      </c>
      <c r="J522" s="18">
        <v>26</v>
      </c>
      <c r="K522" s="18"/>
      <c r="L522" s="88">
        <f>SUM(F522:K522)</f>
        <v>26822</v>
      </c>
      <c r="M522" s="8"/>
    </row>
    <row r="523" spans="1:13" s="3" customFormat="1" ht="12" customHeight="1" thickBot="1" x14ac:dyDescent="0.2">
      <c r="A523" s="22" t="s">
        <v>637</v>
      </c>
      <c r="B523" s="105">
        <v>21</v>
      </c>
      <c r="C523" s="105">
        <v>11</v>
      </c>
      <c r="D523" s="2" t="s">
        <v>548</v>
      </c>
      <c r="E523" s="105"/>
      <c r="F523" s="18">
        <v>37087</v>
      </c>
      <c r="G523" s="18">
        <v>12997</v>
      </c>
      <c r="H523" s="18"/>
      <c r="I523" s="18">
        <v>59</v>
      </c>
      <c r="J523" s="18">
        <v>49</v>
      </c>
      <c r="K523" s="18"/>
      <c r="L523" s="88">
        <f>SUM(F523:K523)</f>
        <v>50192</v>
      </c>
      <c r="M523" s="8"/>
    </row>
    <row r="524" spans="1:13" s="3" customFormat="1" ht="12" customHeight="1" thickTop="1" x14ac:dyDescent="0.15">
      <c r="A524" s="139" t="s">
        <v>46</v>
      </c>
      <c r="B524" s="107">
        <v>21</v>
      </c>
      <c r="C524" s="107">
        <v>12</v>
      </c>
      <c r="D524" s="158" t="s">
        <v>548</v>
      </c>
      <c r="E524" s="107"/>
      <c r="F524" s="89">
        <f>SUM(F521:F523)</f>
        <v>119723</v>
      </c>
      <c r="G524" s="89">
        <f t="shared" ref="G524:L524" si="37">SUM(G521:G523)</f>
        <v>41958</v>
      </c>
      <c r="H524" s="89">
        <f t="shared" si="37"/>
        <v>0</v>
      </c>
      <c r="I524" s="89">
        <f t="shared" si="37"/>
        <v>189</v>
      </c>
      <c r="J524" s="89">
        <f t="shared" si="37"/>
        <v>158</v>
      </c>
      <c r="K524" s="89">
        <f t="shared" si="37"/>
        <v>0</v>
      </c>
      <c r="L524" s="89">
        <f t="shared" si="37"/>
        <v>162028</v>
      </c>
      <c r="M524" s="8"/>
    </row>
    <row r="525" spans="1:13" s="3" customFormat="1" ht="12" customHeight="1" x14ac:dyDescent="0.15">
      <c r="A525" s="97" t="s">
        <v>47</v>
      </c>
      <c r="B525" s="105"/>
      <c r="C525" s="105"/>
      <c r="D525" s="105"/>
      <c r="E525" s="105"/>
      <c r="F525" s="195" t="s">
        <v>279</v>
      </c>
      <c r="G525" s="195" t="s">
        <v>279</v>
      </c>
      <c r="H525" s="195" t="s">
        <v>279</v>
      </c>
      <c r="I525" s="195" t="s">
        <v>279</v>
      </c>
      <c r="J525" s="195" t="s">
        <v>279</v>
      </c>
      <c r="K525" s="195" t="s">
        <v>279</v>
      </c>
      <c r="L525" s="195" t="s">
        <v>279</v>
      </c>
      <c r="M525" s="8"/>
    </row>
    <row r="526" spans="1:13" s="3" customFormat="1" ht="12" customHeight="1" x14ac:dyDescent="0.15">
      <c r="A526" s="22" t="s">
        <v>635</v>
      </c>
      <c r="B526" s="105">
        <v>21</v>
      </c>
      <c r="C526" s="105">
        <v>13</v>
      </c>
      <c r="D526" s="2" t="s">
        <v>548</v>
      </c>
      <c r="E526" s="105"/>
      <c r="F526" s="18"/>
      <c r="G526" s="18"/>
      <c r="H526" s="18">
        <v>2233</v>
      </c>
      <c r="I526" s="18"/>
      <c r="J526" s="18"/>
      <c r="K526" s="18"/>
      <c r="L526" s="88">
        <f>SUM(F526:K526)</f>
        <v>2233</v>
      </c>
      <c r="M526" s="8"/>
    </row>
    <row r="527" spans="1:13" s="3" customFormat="1" ht="12" customHeight="1" x14ac:dyDescent="0.15">
      <c r="A527" s="22" t="s">
        <v>636</v>
      </c>
      <c r="B527" s="105">
        <v>21</v>
      </c>
      <c r="C527" s="105">
        <v>14</v>
      </c>
      <c r="D527" s="2" t="s">
        <v>548</v>
      </c>
      <c r="E527" s="105"/>
      <c r="F527" s="18"/>
      <c r="G527" s="18"/>
      <c r="H527" s="18">
        <v>730</v>
      </c>
      <c r="I527" s="18"/>
      <c r="J527" s="18"/>
      <c r="K527" s="18"/>
      <c r="L527" s="88">
        <f>SUM(F527:K527)</f>
        <v>730</v>
      </c>
      <c r="M527" s="8"/>
    </row>
    <row r="528" spans="1:13" s="3" customFormat="1" ht="12" customHeight="1" thickBot="1" x14ac:dyDescent="0.2">
      <c r="A528" s="22" t="s">
        <v>637</v>
      </c>
      <c r="B528" s="105">
        <v>21</v>
      </c>
      <c r="C528" s="105">
        <v>15</v>
      </c>
      <c r="D528" s="2" t="s">
        <v>548</v>
      </c>
      <c r="E528" s="105"/>
      <c r="F528" s="18"/>
      <c r="G528" s="18"/>
      <c r="H528" s="18">
        <f>4294-730-2233</f>
        <v>1331</v>
      </c>
      <c r="I528" s="18"/>
      <c r="J528" s="18"/>
      <c r="K528" s="18"/>
      <c r="L528" s="88">
        <f>SUM(F528:K528)</f>
        <v>1331</v>
      </c>
      <c r="M528" s="8"/>
    </row>
    <row r="529" spans="1:13" s="3" customFormat="1" ht="12" customHeight="1" thickTop="1" x14ac:dyDescent="0.15">
      <c r="A529" s="139" t="s">
        <v>48</v>
      </c>
      <c r="B529" s="107">
        <v>21</v>
      </c>
      <c r="C529" s="107">
        <v>16</v>
      </c>
      <c r="D529" s="158" t="s">
        <v>548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4294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4294</v>
      </c>
      <c r="M529" s="8"/>
    </row>
    <row r="530" spans="1:13" s="3" customFormat="1" ht="12" customHeight="1" x14ac:dyDescent="0.15">
      <c r="A530" s="97" t="s">
        <v>49</v>
      </c>
      <c r="B530" s="105"/>
      <c r="C530" s="105"/>
      <c r="D530" s="105"/>
      <c r="E530" s="105"/>
      <c r="F530" s="24" t="s">
        <v>279</v>
      </c>
      <c r="G530" s="24" t="s">
        <v>279</v>
      </c>
      <c r="H530" s="24" t="s">
        <v>279</v>
      </c>
      <c r="I530" s="24" t="s">
        <v>279</v>
      </c>
      <c r="J530" s="24" t="s">
        <v>279</v>
      </c>
      <c r="K530" s="24" t="s">
        <v>279</v>
      </c>
      <c r="L530" s="24" t="s">
        <v>279</v>
      </c>
      <c r="M530" s="8"/>
    </row>
    <row r="531" spans="1:13" s="3" customFormat="1" ht="12" customHeight="1" x14ac:dyDescent="0.15">
      <c r="A531" s="22" t="s">
        <v>635</v>
      </c>
      <c r="B531" s="105">
        <v>21</v>
      </c>
      <c r="C531" s="105">
        <v>17</v>
      </c>
      <c r="D531" s="2" t="s">
        <v>548</v>
      </c>
      <c r="E531" s="105"/>
      <c r="F531" s="18">
        <v>12324</v>
      </c>
      <c r="G531" s="18">
        <v>3074</v>
      </c>
      <c r="H531" s="18">
        <v>7625</v>
      </c>
      <c r="I531" s="18">
        <v>2129</v>
      </c>
      <c r="J531" s="18">
        <v>6195</v>
      </c>
      <c r="K531" s="18">
        <v>42</v>
      </c>
      <c r="L531" s="88">
        <f>SUM(F531:K531)</f>
        <v>31389</v>
      </c>
      <c r="M531" s="8"/>
    </row>
    <row r="532" spans="1:13" s="3" customFormat="1" ht="12" customHeight="1" x14ac:dyDescent="0.15">
      <c r="A532" s="22" t="s">
        <v>636</v>
      </c>
      <c r="B532" s="105">
        <v>21</v>
      </c>
      <c r="C532" s="105">
        <v>18</v>
      </c>
      <c r="D532" s="2" t="s">
        <v>548</v>
      </c>
      <c r="E532" s="105"/>
      <c r="F532" s="18">
        <v>3888</v>
      </c>
      <c r="G532" s="18">
        <v>970</v>
      </c>
      <c r="H532" s="18">
        <v>2406</v>
      </c>
      <c r="I532" s="18">
        <v>672</v>
      </c>
      <c r="J532" s="18">
        <v>1955</v>
      </c>
      <c r="K532" s="18">
        <v>13</v>
      </c>
      <c r="L532" s="88">
        <f>SUM(F532:K532)</f>
        <v>9904</v>
      </c>
      <c r="M532" s="8"/>
    </row>
    <row r="533" spans="1:13" s="3" customFormat="1" ht="12" customHeight="1" thickBot="1" x14ac:dyDescent="0.2">
      <c r="A533" s="22" t="s">
        <v>637</v>
      </c>
      <c r="B533" s="105">
        <v>21</v>
      </c>
      <c r="C533" s="105">
        <v>19</v>
      </c>
      <c r="D533" s="2" t="s">
        <v>548</v>
      </c>
      <c r="E533" s="105"/>
      <c r="F533" s="18">
        <v>7276</v>
      </c>
      <c r="G533" s="18">
        <v>1815</v>
      </c>
      <c r="H533" s="18">
        <v>4502</v>
      </c>
      <c r="I533" s="18">
        <v>1257</v>
      </c>
      <c r="J533" s="18">
        <v>3658</v>
      </c>
      <c r="K533" s="18">
        <v>25</v>
      </c>
      <c r="L533" s="88">
        <f>SUM(F533:K533)</f>
        <v>18533</v>
      </c>
      <c r="M533" s="8"/>
    </row>
    <row r="534" spans="1:13" s="3" customFormat="1" ht="12" customHeight="1" thickTop="1" thickBot="1" x14ac:dyDescent="0.2">
      <c r="A534" s="130" t="s">
        <v>50</v>
      </c>
      <c r="B534" s="192">
        <v>21</v>
      </c>
      <c r="C534" s="192">
        <v>20</v>
      </c>
      <c r="D534" s="193" t="s">
        <v>548</v>
      </c>
      <c r="E534" s="192"/>
      <c r="F534" s="194">
        <f>SUM(F531:F533)</f>
        <v>23488</v>
      </c>
      <c r="G534" s="194">
        <f t="shared" ref="G534:L534" si="39">SUM(G531:G533)</f>
        <v>5859</v>
      </c>
      <c r="H534" s="194">
        <f t="shared" si="39"/>
        <v>14533</v>
      </c>
      <c r="I534" s="194">
        <f t="shared" si="39"/>
        <v>4058</v>
      </c>
      <c r="J534" s="194">
        <f t="shared" si="39"/>
        <v>11808</v>
      </c>
      <c r="K534" s="194">
        <f t="shared" si="39"/>
        <v>80</v>
      </c>
      <c r="L534" s="194">
        <f t="shared" si="39"/>
        <v>59826</v>
      </c>
      <c r="M534" s="8"/>
    </row>
    <row r="535" spans="1:13" s="3" customFormat="1" ht="12" customHeight="1" thickTop="1" x14ac:dyDescent="0.15">
      <c r="A535" s="98" t="s">
        <v>51</v>
      </c>
      <c r="B535" s="107">
        <v>21</v>
      </c>
      <c r="C535" s="107">
        <v>21</v>
      </c>
      <c r="D535" s="158" t="s">
        <v>548</v>
      </c>
      <c r="E535" s="107"/>
      <c r="F535" s="89">
        <f>F514+F519+F524+F529+F534</f>
        <v>2527492</v>
      </c>
      <c r="G535" s="89">
        <f t="shared" ref="G535:L535" si="40">G514+G519+G524+G529+G534</f>
        <v>690163</v>
      </c>
      <c r="H535" s="89">
        <f t="shared" si="40"/>
        <v>219251</v>
      </c>
      <c r="I535" s="89">
        <f t="shared" si="40"/>
        <v>22239</v>
      </c>
      <c r="J535" s="89">
        <f t="shared" si="40"/>
        <v>63091</v>
      </c>
      <c r="K535" s="89">
        <f t="shared" si="40"/>
        <v>444</v>
      </c>
      <c r="L535" s="89">
        <f t="shared" si="40"/>
        <v>3522680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52</v>
      </c>
      <c r="B537" s="105"/>
      <c r="C537" s="105"/>
      <c r="D537" s="105"/>
      <c r="E537" s="105"/>
      <c r="F537" s="101" t="s">
        <v>53</v>
      </c>
      <c r="G537" s="87" t="s">
        <v>54</v>
      </c>
      <c r="H537" s="87" t="s">
        <v>55</v>
      </c>
      <c r="I537" s="101" t="s">
        <v>56</v>
      </c>
      <c r="J537" s="87" t="s">
        <v>57</v>
      </c>
      <c r="K537" s="101" t="s">
        <v>58</v>
      </c>
      <c r="L537" s="24" t="s">
        <v>279</v>
      </c>
      <c r="M537" s="8"/>
    </row>
    <row r="538" spans="1:13" s="3" customFormat="1" ht="12" customHeight="1" x14ac:dyDescent="0.15">
      <c r="A538" s="100" t="s">
        <v>415</v>
      </c>
      <c r="B538" s="105"/>
      <c r="C538" s="105"/>
      <c r="D538" s="105"/>
      <c r="E538" s="105"/>
      <c r="F538" s="101" t="s">
        <v>59</v>
      </c>
      <c r="G538" s="101" t="s">
        <v>60</v>
      </c>
      <c r="H538" s="101" t="s">
        <v>61</v>
      </c>
      <c r="I538" s="101" t="s">
        <v>62</v>
      </c>
      <c r="J538" s="101" t="s">
        <v>205</v>
      </c>
      <c r="K538" s="87"/>
      <c r="L538" s="24" t="s">
        <v>279</v>
      </c>
      <c r="M538" s="8"/>
    </row>
    <row r="539" spans="1:13" s="3" customFormat="1" ht="12" customHeight="1" x14ac:dyDescent="0.15">
      <c r="A539" s="22" t="s">
        <v>635</v>
      </c>
      <c r="B539" s="75">
        <v>21</v>
      </c>
      <c r="C539" s="75">
        <v>22</v>
      </c>
      <c r="D539" s="2" t="s">
        <v>548</v>
      </c>
      <c r="E539" s="75"/>
      <c r="F539" s="87">
        <f>L511</f>
        <v>1373517</v>
      </c>
      <c r="G539" s="87">
        <f>L516</f>
        <v>488490</v>
      </c>
      <c r="H539" s="87">
        <f>L521</f>
        <v>85014</v>
      </c>
      <c r="I539" s="87">
        <f>L526</f>
        <v>2233</v>
      </c>
      <c r="J539" s="87">
        <f>L531</f>
        <v>31389</v>
      </c>
      <c r="K539" s="87">
        <f>SUM(F539:J539)</f>
        <v>1980643</v>
      </c>
      <c r="L539" s="24" t="s">
        <v>279</v>
      </c>
      <c r="M539" s="8"/>
    </row>
    <row r="540" spans="1:13" s="3" customFormat="1" ht="12" customHeight="1" x14ac:dyDescent="0.15">
      <c r="A540" s="22" t="s">
        <v>636</v>
      </c>
      <c r="B540" s="75">
        <v>21</v>
      </c>
      <c r="C540" s="75">
        <v>23</v>
      </c>
      <c r="D540" s="2" t="s">
        <v>548</v>
      </c>
      <c r="E540" s="75"/>
      <c r="F540" s="87">
        <f>L512</f>
        <v>473286</v>
      </c>
      <c r="G540" s="87">
        <f>L517</f>
        <v>114005</v>
      </c>
      <c r="H540" s="87">
        <f>L522</f>
        <v>26822</v>
      </c>
      <c r="I540" s="87">
        <f>L527</f>
        <v>730</v>
      </c>
      <c r="J540" s="87">
        <f>L532</f>
        <v>9904</v>
      </c>
      <c r="K540" s="87">
        <f>SUM(F540:J540)</f>
        <v>624747</v>
      </c>
      <c r="L540" s="24" t="s">
        <v>279</v>
      </c>
      <c r="M540" s="8"/>
    </row>
    <row r="541" spans="1:13" s="3" customFormat="1" ht="12" customHeight="1" thickBot="1" x14ac:dyDescent="0.2">
      <c r="A541" s="22" t="s">
        <v>637</v>
      </c>
      <c r="B541" s="75">
        <v>21</v>
      </c>
      <c r="C541" s="75">
        <v>24</v>
      </c>
      <c r="D541" s="2" t="s">
        <v>548</v>
      </c>
      <c r="E541" s="75"/>
      <c r="F541" s="87">
        <f>L513</f>
        <v>600945</v>
      </c>
      <c r="G541" s="87">
        <f>L518</f>
        <v>246289</v>
      </c>
      <c r="H541" s="87">
        <f>L523</f>
        <v>50192</v>
      </c>
      <c r="I541" s="87">
        <f>L528</f>
        <v>1331</v>
      </c>
      <c r="J541" s="87">
        <f>L533</f>
        <v>18533</v>
      </c>
      <c r="K541" s="87">
        <f>SUM(F541:J541)</f>
        <v>917290</v>
      </c>
      <c r="L541" s="24" t="s">
        <v>279</v>
      </c>
      <c r="M541" s="8"/>
    </row>
    <row r="542" spans="1:13" s="3" customFormat="1" ht="12" customHeight="1" thickTop="1" x14ac:dyDescent="0.15">
      <c r="A542" s="172" t="s">
        <v>471</v>
      </c>
      <c r="B542" s="44">
        <v>21</v>
      </c>
      <c r="C542" s="44">
        <v>25</v>
      </c>
      <c r="D542" s="39" t="s">
        <v>548</v>
      </c>
      <c r="E542" s="44"/>
      <c r="F542" s="89">
        <f t="shared" ref="F542:K542" si="41">SUM(F539:F541)</f>
        <v>2447748</v>
      </c>
      <c r="G542" s="89">
        <f t="shared" si="41"/>
        <v>848784</v>
      </c>
      <c r="H542" s="89">
        <f t="shared" si="41"/>
        <v>162028</v>
      </c>
      <c r="I542" s="89">
        <f t="shared" si="41"/>
        <v>4294</v>
      </c>
      <c r="J542" s="89">
        <f t="shared" si="41"/>
        <v>59826</v>
      </c>
      <c r="K542" s="89">
        <f t="shared" si="41"/>
        <v>3522680</v>
      </c>
      <c r="L542" s="24"/>
      <c r="M542" s="8"/>
    </row>
    <row r="543" spans="1:13" s="3" customFormat="1" ht="12" customHeight="1" x14ac:dyDescent="0.15">
      <c r="A543" s="96" t="s">
        <v>572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696</v>
      </c>
      <c r="G544" s="177" t="s">
        <v>697</v>
      </c>
      <c r="H544" s="177" t="s">
        <v>828</v>
      </c>
      <c r="I544" s="177" t="s">
        <v>829</v>
      </c>
      <c r="J544" s="177" t="s">
        <v>830</v>
      </c>
      <c r="K544" s="177" t="s">
        <v>698</v>
      </c>
      <c r="L544" s="106"/>
      <c r="M544" s="8"/>
    </row>
    <row r="545" spans="1:13" s="3" customFormat="1" ht="12" customHeight="1" x14ac:dyDescent="0.15">
      <c r="A545" s="96" t="s">
        <v>29</v>
      </c>
      <c r="B545" s="105"/>
      <c r="C545" s="115"/>
      <c r="D545" s="115"/>
      <c r="E545" s="115"/>
      <c r="F545" s="103" t="s">
        <v>33</v>
      </c>
      <c r="G545" s="103" t="s">
        <v>34</v>
      </c>
      <c r="H545" s="106" t="s">
        <v>35</v>
      </c>
      <c r="I545" s="106" t="s">
        <v>36</v>
      </c>
      <c r="J545" s="106" t="s">
        <v>37</v>
      </c>
      <c r="K545" s="106" t="s">
        <v>38</v>
      </c>
      <c r="L545" s="106" t="s">
        <v>133</v>
      </c>
      <c r="M545" s="8"/>
    </row>
    <row r="546" spans="1:13" s="3" customFormat="1" ht="12" customHeight="1" x14ac:dyDescent="0.15">
      <c r="A546" s="96" t="s">
        <v>206</v>
      </c>
      <c r="B546" s="105"/>
      <c r="C546" s="115"/>
      <c r="D546" s="115"/>
      <c r="E546" s="115"/>
      <c r="F546" s="24" t="s">
        <v>279</v>
      </c>
      <c r="G546" s="24" t="s">
        <v>279</v>
      </c>
      <c r="H546" s="24" t="s">
        <v>279</v>
      </c>
      <c r="I546" s="24" t="s">
        <v>279</v>
      </c>
      <c r="J546" s="24" t="s">
        <v>279</v>
      </c>
      <c r="K546" s="24" t="s">
        <v>279</v>
      </c>
      <c r="L546" s="24" t="s">
        <v>279</v>
      </c>
      <c r="M546" s="8"/>
    </row>
    <row r="547" spans="1:13" s="3" customFormat="1" ht="12" customHeight="1" x14ac:dyDescent="0.15">
      <c r="A547" s="22" t="s">
        <v>635</v>
      </c>
      <c r="B547" s="105">
        <v>22</v>
      </c>
      <c r="C547" s="115">
        <v>1</v>
      </c>
      <c r="D547" s="2" t="s">
        <v>548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636</v>
      </c>
      <c r="B548" s="105">
        <v>22</v>
      </c>
      <c r="C548" s="115">
        <v>2</v>
      </c>
      <c r="D548" s="2" t="s">
        <v>548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637</v>
      </c>
      <c r="B549" s="105">
        <v>22</v>
      </c>
      <c r="C549" s="115">
        <v>3</v>
      </c>
      <c r="D549" s="2" t="s">
        <v>548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42</v>
      </c>
      <c r="B550" s="107">
        <v>22</v>
      </c>
      <c r="C550" s="196">
        <v>4</v>
      </c>
      <c r="D550" s="197" t="s">
        <v>548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207</v>
      </c>
      <c r="B551" s="105"/>
      <c r="C551" s="115"/>
      <c r="D551" s="115"/>
      <c r="E551" s="115"/>
      <c r="F551" s="24" t="s">
        <v>279</v>
      </c>
      <c r="G551" s="24" t="s">
        <v>279</v>
      </c>
      <c r="H551" s="24" t="s">
        <v>279</v>
      </c>
      <c r="I551" s="24" t="s">
        <v>279</v>
      </c>
      <c r="J551" s="24" t="s">
        <v>279</v>
      </c>
      <c r="K551" s="24" t="s">
        <v>279</v>
      </c>
      <c r="L551" s="24" t="s">
        <v>279</v>
      </c>
      <c r="M551" s="8"/>
    </row>
    <row r="552" spans="1:13" s="3" customFormat="1" ht="12" customHeight="1" x14ac:dyDescent="0.15">
      <c r="A552" s="22" t="s">
        <v>635</v>
      </c>
      <c r="B552" s="105">
        <v>22</v>
      </c>
      <c r="C552" s="115">
        <v>5</v>
      </c>
      <c r="D552" s="2" t="s">
        <v>548</v>
      </c>
      <c r="E552" s="115"/>
      <c r="F552" s="18"/>
      <c r="G552" s="18"/>
      <c r="H552" s="18">
        <v>14387</v>
      </c>
      <c r="I552" s="18"/>
      <c r="J552" s="18"/>
      <c r="K552" s="18"/>
      <c r="L552" s="88">
        <f>SUM(F552:K552)</f>
        <v>14387</v>
      </c>
      <c r="M552" s="8"/>
    </row>
    <row r="553" spans="1:13" s="3" customFormat="1" ht="12" customHeight="1" x14ac:dyDescent="0.15">
      <c r="A553" s="22" t="s">
        <v>636</v>
      </c>
      <c r="B553" s="105">
        <v>22</v>
      </c>
      <c r="C553" s="115">
        <v>6</v>
      </c>
      <c r="D553" s="2" t="s">
        <v>548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637</v>
      </c>
      <c r="B554" s="105">
        <v>22</v>
      </c>
      <c r="C554" s="118">
        <v>7</v>
      </c>
      <c r="D554" s="2" t="s">
        <v>548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44</v>
      </c>
      <c r="B555" s="107">
        <v>22</v>
      </c>
      <c r="C555" s="107">
        <v>8</v>
      </c>
      <c r="D555" s="197" t="s">
        <v>548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14387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14387</v>
      </c>
      <c r="M555" s="8"/>
    </row>
    <row r="556" spans="1:13" s="3" customFormat="1" ht="12" customHeight="1" x14ac:dyDescent="0.15">
      <c r="A556" s="97" t="s">
        <v>208</v>
      </c>
      <c r="B556" s="105"/>
      <c r="C556" s="105"/>
      <c r="D556" s="105"/>
      <c r="E556" s="105"/>
      <c r="F556" s="24" t="s">
        <v>279</v>
      </c>
      <c r="G556" s="24" t="s">
        <v>279</v>
      </c>
      <c r="H556" s="24" t="s">
        <v>279</v>
      </c>
      <c r="I556" s="24" t="s">
        <v>279</v>
      </c>
      <c r="J556" s="24" t="s">
        <v>279</v>
      </c>
      <c r="K556" s="24" t="s">
        <v>279</v>
      </c>
      <c r="L556" s="24" t="s">
        <v>279</v>
      </c>
      <c r="M556" s="8"/>
    </row>
    <row r="557" spans="1:13" s="3" customFormat="1" ht="12" customHeight="1" x14ac:dyDescent="0.15">
      <c r="A557" s="22" t="s">
        <v>635</v>
      </c>
      <c r="B557" s="105">
        <v>22</v>
      </c>
      <c r="C557" s="105">
        <v>9</v>
      </c>
      <c r="D557" s="2" t="s">
        <v>548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636</v>
      </c>
      <c r="B558" s="105">
        <v>22</v>
      </c>
      <c r="C558" s="105">
        <v>10</v>
      </c>
      <c r="D558" s="2" t="s">
        <v>548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637</v>
      </c>
      <c r="B559" s="105">
        <v>22</v>
      </c>
      <c r="C559" s="105">
        <v>11</v>
      </c>
      <c r="D559" s="2" t="s">
        <v>548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46</v>
      </c>
      <c r="B560" s="192">
        <v>22</v>
      </c>
      <c r="C560" s="192">
        <v>12</v>
      </c>
      <c r="D560" s="198" t="s">
        <v>548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209</v>
      </c>
      <c r="B561" s="107">
        <v>22</v>
      </c>
      <c r="C561" s="107">
        <v>13</v>
      </c>
      <c r="D561" s="158" t="s">
        <v>548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14387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14387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780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210</v>
      </c>
      <c r="B564" s="75"/>
      <c r="C564" s="75"/>
      <c r="D564" s="75"/>
      <c r="E564" s="75" t="s">
        <v>65</v>
      </c>
      <c r="F564" s="101" t="s">
        <v>211</v>
      </c>
      <c r="G564" s="101" t="s">
        <v>212</v>
      </c>
      <c r="H564" s="101" t="s">
        <v>213</v>
      </c>
      <c r="I564" s="101" t="s">
        <v>63</v>
      </c>
      <c r="J564" s="24" t="s">
        <v>279</v>
      </c>
      <c r="K564" s="24" t="s">
        <v>279</v>
      </c>
      <c r="L564" s="24" t="s">
        <v>279</v>
      </c>
      <c r="M564" s="8"/>
    </row>
    <row r="565" spans="1:13" s="3" customFormat="1" ht="12" customHeight="1" x14ac:dyDescent="0.15">
      <c r="A565" s="99" t="s">
        <v>802</v>
      </c>
      <c r="B565" s="75">
        <v>22</v>
      </c>
      <c r="C565" s="75">
        <v>14</v>
      </c>
      <c r="D565" s="2" t="s">
        <v>548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279</v>
      </c>
      <c r="K565" s="24" t="s">
        <v>279</v>
      </c>
      <c r="L565" s="24" t="s">
        <v>279</v>
      </c>
      <c r="M565" s="8"/>
    </row>
    <row r="566" spans="1:13" s="3" customFormat="1" ht="12" customHeight="1" x14ac:dyDescent="0.15">
      <c r="A566" s="99" t="s">
        <v>803</v>
      </c>
      <c r="B566" s="75">
        <v>22</v>
      </c>
      <c r="C566" s="75">
        <v>15</v>
      </c>
      <c r="D566" s="2" t="s">
        <v>548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279</v>
      </c>
      <c r="K566" s="24" t="s">
        <v>279</v>
      </c>
      <c r="L566" s="24" t="s">
        <v>279</v>
      </c>
      <c r="M566" s="8"/>
    </row>
    <row r="567" spans="1:13" s="3" customFormat="1" ht="12" customHeight="1" x14ac:dyDescent="0.15">
      <c r="A567" s="99" t="s">
        <v>853</v>
      </c>
      <c r="B567" s="75">
        <v>22</v>
      </c>
      <c r="C567" s="75">
        <v>16</v>
      </c>
      <c r="D567" s="2" t="s">
        <v>548</v>
      </c>
      <c r="E567" s="75">
        <v>563</v>
      </c>
      <c r="F567" s="24" t="s">
        <v>279</v>
      </c>
      <c r="G567" s="24" t="s">
        <v>279</v>
      </c>
      <c r="H567" s="18"/>
      <c r="I567" s="87">
        <f t="shared" si="46"/>
        <v>0</v>
      </c>
      <c r="J567" s="24" t="s">
        <v>279</v>
      </c>
      <c r="K567" s="24" t="s">
        <v>279</v>
      </c>
      <c r="L567" s="24" t="s">
        <v>279</v>
      </c>
      <c r="M567" s="8"/>
    </row>
    <row r="568" spans="1:13" s="3" customFormat="1" ht="12" customHeight="1" x14ac:dyDescent="0.15">
      <c r="A568" s="99" t="s">
        <v>681</v>
      </c>
      <c r="B568" s="75">
        <v>22</v>
      </c>
      <c r="C568" s="75">
        <v>17</v>
      </c>
      <c r="D568" s="2" t="s">
        <v>548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279</v>
      </c>
      <c r="K568" s="24" t="s">
        <v>279</v>
      </c>
      <c r="L568" s="24" t="s">
        <v>279</v>
      </c>
      <c r="M568" s="8"/>
    </row>
    <row r="569" spans="1:13" s="3" customFormat="1" ht="12" customHeight="1" x14ac:dyDescent="0.15">
      <c r="A569" s="99" t="s">
        <v>804</v>
      </c>
      <c r="B569" s="75">
        <v>22</v>
      </c>
      <c r="C569" s="75">
        <v>18</v>
      </c>
      <c r="D569" s="2" t="s">
        <v>548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279</v>
      </c>
      <c r="K569" s="24" t="s">
        <v>279</v>
      </c>
      <c r="L569" s="24" t="s">
        <v>279</v>
      </c>
      <c r="M569" s="8"/>
    </row>
    <row r="570" spans="1:13" s="3" customFormat="1" ht="12" customHeight="1" x14ac:dyDescent="0.15">
      <c r="A570" s="99" t="s">
        <v>679</v>
      </c>
      <c r="B570" s="75">
        <v>22</v>
      </c>
      <c r="C570" s="75">
        <v>19</v>
      </c>
      <c r="D570" s="2" t="s">
        <v>548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279</v>
      </c>
      <c r="K570" s="24" t="s">
        <v>279</v>
      </c>
      <c r="L570" s="24" t="s">
        <v>279</v>
      </c>
      <c r="M570" s="8"/>
    </row>
    <row r="571" spans="1:13" s="3" customFormat="1" ht="12" customHeight="1" x14ac:dyDescent="0.15">
      <c r="A571" s="146" t="s">
        <v>854</v>
      </c>
      <c r="B571" s="75">
        <v>22</v>
      </c>
      <c r="C571" s="75">
        <v>20</v>
      </c>
      <c r="D571" s="2" t="s">
        <v>548</v>
      </c>
      <c r="E571" s="75">
        <v>563</v>
      </c>
      <c r="F571" s="24" t="s">
        <v>279</v>
      </c>
      <c r="G571" s="24" t="s">
        <v>279</v>
      </c>
      <c r="H571" s="18"/>
      <c r="I571" s="87">
        <f t="shared" si="46"/>
        <v>0</v>
      </c>
      <c r="J571" s="24" t="s">
        <v>279</v>
      </c>
      <c r="K571" s="24" t="s">
        <v>279</v>
      </c>
      <c r="L571" s="24" t="s">
        <v>279</v>
      </c>
      <c r="M571" s="8"/>
    </row>
    <row r="572" spans="1:13" s="3" customFormat="1" ht="12" customHeight="1" x14ac:dyDescent="0.15">
      <c r="A572" s="146" t="s">
        <v>680</v>
      </c>
      <c r="B572" s="75">
        <v>22</v>
      </c>
      <c r="C572" s="75">
        <v>21</v>
      </c>
      <c r="D572" s="2" t="s">
        <v>548</v>
      </c>
      <c r="E572" s="75">
        <v>564</v>
      </c>
      <c r="F572" s="18">
        <v>12204</v>
      </c>
      <c r="G572" s="18">
        <v>54541</v>
      </c>
      <c r="H572" s="18">
        <v>12285</v>
      </c>
      <c r="I572" s="87">
        <f t="shared" si="46"/>
        <v>79030</v>
      </c>
      <c r="J572" s="24" t="s">
        <v>279</v>
      </c>
      <c r="K572" s="24" t="s">
        <v>279</v>
      </c>
      <c r="L572" s="24" t="s">
        <v>279</v>
      </c>
      <c r="M572" s="8"/>
    </row>
    <row r="573" spans="1:13" s="3" customFormat="1" ht="12" customHeight="1" x14ac:dyDescent="0.15">
      <c r="A573" s="146" t="s">
        <v>638</v>
      </c>
      <c r="B573" s="75">
        <v>22</v>
      </c>
      <c r="C573" s="75">
        <v>22</v>
      </c>
      <c r="D573" s="2" t="s">
        <v>548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279</v>
      </c>
      <c r="K573" s="24" t="s">
        <v>279</v>
      </c>
      <c r="L573" s="24" t="s">
        <v>279</v>
      </c>
      <c r="M573" s="8"/>
    </row>
    <row r="574" spans="1:13" s="3" customFormat="1" ht="12" customHeight="1" x14ac:dyDescent="0.15">
      <c r="A574" s="22" t="s">
        <v>811</v>
      </c>
      <c r="B574" s="75">
        <v>22</v>
      </c>
      <c r="C574" s="75">
        <v>23</v>
      </c>
      <c r="D574" s="2" t="s">
        <v>548</v>
      </c>
      <c r="E574" s="75">
        <v>561</v>
      </c>
      <c r="F574" s="18"/>
      <c r="G574" s="18"/>
      <c r="H574" s="18">
        <v>12689</v>
      </c>
      <c r="I574" s="87">
        <f t="shared" si="46"/>
        <v>12689</v>
      </c>
      <c r="J574" s="24" t="s">
        <v>279</v>
      </c>
      <c r="K574" s="24" t="s">
        <v>279</v>
      </c>
      <c r="L574" s="24" t="s">
        <v>279</v>
      </c>
      <c r="M574" s="8"/>
    </row>
    <row r="575" spans="1:13" s="3" customFormat="1" ht="12" customHeight="1" x14ac:dyDescent="0.15">
      <c r="A575" s="22" t="s">
        <v>812</v>
      </c>
      <c r="B575" s="75">
        <v>22</v>
      </c>
      <c r="C575" s="75">
        <v>24</v>
      </c>
      <c r="D575" s="2" t="s">
        <v>548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279</v>
      </c>
      <c r="K575" s="24" t="s">
        <v>279</v>
      </c>
      <c r="L575" s="24" t="s">
        <v>279</v>
      </c>
      <c r="M575" s="8"/>
    </row>
    <row r="576" spans="1:13" s="3" customFormat="1" ht="12" customHeight="1" x14ac:dyDescent="0.15">
      <c r="A576" s="22" t="s">
        <v>855</v>
      </c>
      <c r="B576" s="75">
        <v>22</v>
      </c>
      <c r="C576" s="75">
        <v>25</v>
      </c>
      <c r="D576" s="2" t="s">
        <v>548</v>
      </c>
      <c r="E576" s="75">
        <v>563</v>
      </c>
      <c r="F576" s="24" t="s">
        <v>279</v>
      </c>
      <c r="G576" s="24" t="s">
        <v>279</v>
      </c>
      <c r="H576" s="18"/>
      <c r="I576" s="87">
        <f t="shared" si="46"/>
        <v>0</v>
      </c>
      <c r="J576" s="24" t="s">
        <v>279</v>
      </c>
      <c r="K576" s="24" t="s">
        <v>279</v>
      </c>
      <c r="L576" s="24" t="s">
        <v>279</v>
      </c>
      <c r="M576" s="8"/>
    </row>
    <row r="577" spans="1:13" s="3" customFormat="1" ht="12" customHeight="1" x14ac:dyDescent="0.15">
      <c r="A577" s="22" t="s">
        <v>813</v>
      </c>
      <c r="B577" s="75">
        <v>22</v>
      </c>
      <c r="C577" s="75">
        <v>26</v>
      </c>
      <c r="D577" s="2" t="s">
        <v>548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279</v>
      </c>
      <c r="K577" s="24" t="s">
        <v>279</v>
      </c>
      <c r="L577" s="24" t="s">
        <v>279</v>
      </c>
      <c r="M577" s="8"/>
    </row>
    <row r="578" spans="1:13" s="3" customFormat="1" ht="12" customHeight="1" x14ac:dyDescent="0.15">
      <c r="A578" s="173" t="s">
        <v>747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791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210</v>
      </c>
      <c r="B580" s="105"/>
      <c r="C580" s="105"/>
      <c r="D580" s="105"/>
      <c r="E580" s="105"/>
      <c r="F580" s="103" t="s">
        <v>64</v>
      </c>
      <c r="G580" s="103" t="s">
        <v>65</v>
      </c>
      <c r="H580" s="103" t="s">
        <v>40</v>
      </c>
      <c r="I580" s="103" t="s">
        <v>66</v>
      </c>
      <c r="J580" s="103" t="s">
        <v>41</v>
      </c>
      <c r="K580" s="103" t="s">
        <v>133</v>
      </c>
      <c r="L580" s="103"/>
      <c r="M580" s="8"/>
    </row>
    <row r="581" spans="1:13" s="3" customFormat="1" ht="12" customHeight="1" x14ac:dyDescent="0.15">
      <c r="A581" s="3" t="s">
        <v>639</v>
      </c>
      <c r="B581" s="75">
        <v>23</v>
      </c>
      <c r="C581" s="75">
        <v>1</v>
      </c>
      <c r="D581" s="2" t="s">
        <v>548</v>
      </c>
      <c r="E581" s="75"/>
      <c r="F581" s="102">
        <v>2721</v>
      </c>
      <c r="G581" s="103" t="s">
        <v>67</v>
      </c>
      <c r="H581" s="18">
        <f>201347+3469+1</f>
        <v>204817</v>
      </c>
      <c r="I581" s="18">
        <v>63525</v>
      </c>
      <c r="J581" s="18">
        <v>118877</v>
      </c>
      <c r="K581" s="104">
        <f t="shared" ref="K581:K587" si="47">SUM(H581:J581)</f>
        <v>387219</v>
      </c>
      <c r="L581" s="24" t="s">
        <v>279</v>
      </c>
      <c r="M581" s="8"/>
    </row>
    <row r="582" spans="1:13" s="3" customFormat="1" ht="12" customHeight="1" x14ac:dyDescent="0.15">
      <c r="A582" s="3" t="s">
        <v>640</v>
      </c>
      <c r="B582" s="75">
        <v>23</v>
      </c>
      <c r="C582" s="75">
        <v>2</v>
      </c>
      <c r="D582" s="2" t="s">
        <v>548</v>
      </c>
      <c r="E582" s="75"/>
      <c r="F582" s="102">
        <v>2722</v>
      </c>
      <c r="G582" s="103" t="s">
        <v>67</v>
      </c>
      <c r="H582" s="18">
        <v>31390</v>
      </c>
      <c r="I582" s="18">
        <v>9904</v>
      </c>
      <c r="J582" s="18">
        <v>18533</v>
      </c>
      <c r="K582" s="104">
        <f t="shared" si="47"/>
        <v>59827</v>
      </c>
      <c r="L582" s="24" t="s">
        <v>279</v>
      </c>
      <c r="M582" s="8"/>
    </row>
    <row r="583" spans="1:13" s="3" customFormat="1" ht="12" customHeight="1" x14ac:dyDescent="0.15">
      <c r="A583" s="3" t="s">
        <v>641</v>
      </c>
      <c r="B583" s="75">
        <v>23</v>
      </c>
      <c r="C583" s="75">
        <v>3</v>
      </c>
      <c r="D583" s="2" t="s">
        <v>548</v>
      </c>
      <c r="E583" s="75"/>
      <c r="F583" s="102">
        <v>2723</v>
      </c>
      <c r="G583" s="103" t="s">
        <v>67</v>
      </c>
      <c r="H583" s="18"/>
      <c r="I583" s="18"/>
      <c r="J583" s="18">
        <v>20631</v>
      </c>
      <c r="K583" s="104">
        <f t="shared" si="47"/>
        <v>20631</v>
      </c>
      <c r="L583" s="24" t="s">
        <v>279</v>
      </c>
      <c r="M583" s="8"/>
    </row>
    <row r="584" spans="1:13" s="3" customFormat="1" ht="12" customHeight="1" x14ac:dyDescent="0.15">
      <c r="A584" s="22" t="s">
        <v>642</v>
      </c>
      <c r="B584" s="75">
        <v>23</v>
      </c>
      <c r="C584" s="75">
        <v>4</v>
      </c>
      <c r="D584" s="2" t="s">
        <v>548</v>
      </c>
      <c r="E584" s="75"/>
      <c r="F584" s="102">
        <v>2724</v>
      </c>
      <c r="G584" s="103" t="s">
        <v>67</v>
      </c>
      <c r="H584" s="18"/>
      <c r="I584" s="18">
        <v>1630</v>
      </c>
      <c r="J584" s="18">
        <v>39357</v>
      </c>
      <c r="K584" s="104">
        <f t="shared" si="47"/>
        <v>40987</v>
      </c>
      <c r="L584" s="24" t="s">
        <v>279</v>
      </c>
      <c r="M584" s="8"/>
    </row>
    <row r="585" spans="1:13" s="3" customFormat="1" ht="12" customHeight="1" x14ac:dyDescent="0.15">
      <c r="A585" s="171" t="s">
        <v>789</v>
      </c>
      <c r="B585" s="75">
        <v>23</v>
      </c>
      <c r="C585" s="75">
        <v>5</v>
      </c>
      <c r="D585" s="2" t="s">
        <v>548</v>
      </c>
      <c r="E585" s="75"/>
      <c r="F585" s="102">
        <v>2725</v>
      </c>
      <c r="G585" s="103" t="s">
        <v>67</v>
      </c>
      <c r="H585" s="18">
        <v>2598</v>
      </c>
      <c r="I585" s="18">
        <v>718</v>
      </c>
      <c r="J585" s="18">
        <v>1965</v>
      </c>
      <c r="K585" s="104">
        <f t="shared" si="47"/>
        <v>5281</v>
      </c>
      <c r="L585" s="24" t="s">
        <v>279</v>
      </c>
      <c r="M585" s="8"/>
    </row>
    <row r="586" spans="1:13" s="3" customFormat="1" ht="12" customHeight="1" x14ac:dyDescent="0.15">
      <c r="A586" s="22" t="s">
        <v>643</v>
      </c>
      <c r="B586" s="75">
        <v>23</v>
      </c>
      <c r="C586" s="75">
        <v>6</v>
      </c>
      <c r="D586" s="2" t="s">
        <v>548</v>
      </c>
      <c r="E586" s="75"/>
      <c r="F586" s="102">
        <v>2726</v>
      </c>
      <c r="G586" s="103" t="s">
        <v>67</v>
      </c>
      <c r="H586" s="18"/>
      <c r="I586" s="18"/>
      <c r="J586" s="18"/>
      <c r="K586" s="104">
        <f t="shared" si="47"/>
        <v>0</v>
      </c>
      <c r="L586" s="24" t="s">
        <v>279</v>
      </c>
      <c r="M586" s="8"/>
    </row>
    <row r="587" spans="1:13" s="3" customFormat="1" ht="12" customHeight="1" thickBot="1" x14ac:dyDescent="0.2">
      <c r="A587" s="3" t="s">
        <v>792</v>
      </c>
      <c r="B587" s="75">
        <v>23</v>
      </c>
      <c r="C587" s="75">
        <v>7</v>
      </c>
      <c r="D587" s="2" t="s">
        <v>548</v>
      </c>
      <c r="E587" s="75"/>
      <c r="F587" s="102">
        <v>2729</v>
      </c>
      <c r="G587" s="103" t="s">
        <v>67</v>
      </c>
      <c r="H587" s="18"/>
      <c r="I587" s="18"/>
      <c r="J587" s="18"/>
      <c r="K587" s="104">
        <f t="shared" si="47"/>
        <v>0</v>
      </c>
      <c r="L587" s="24" t="s">
        <v>279</v>
      </c>
      <c r="M587" s="8"/>
    </row>
    <row r="588" spans="1:13" s="3" customFormat="1" ht="12" customHeight="1" thickTop="1" x14ac:dyDescent="0.15">
      <c r="A588" s="98" t="s">
        <v>471</v>
      </c>
      <c r="B588" s="44">
        <v>23</v>
      </c>
      <c r="C588" s="44">
        <v>8</v>
      </c>
      <c r="D588" s="39" t="s">
        <v>548</v>
      </c>
      <c r="E588" s="44"/>
      <c r="F588" s="148">
        <v>2700</v>
      </c>
      <c r="G588" s="149" t="s">
        <v>67</v>
      </c>
      <c r="H588" s="108">
        <f>SUM(H581:H587)</f>
        <v>238805</v>
      </c>
      <c r="I588" s="108">
        <f>SUM(I581:I587)</f>
        <v>75777</v>
      </c>
      <c r="J588" s="108">
        <f>SUM(J581:J587)</f>
        <v>199363</v>
      </c>
      <c r="K588" s="108">
        <f>SUM(K581:K587)</f>
        <v>513945</v>
      </c>
      <c r="L588" s="24" t="s">
        <v>279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68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210</v>
      </c>
      <c r="B591" s="105"/>
      <c r="C591" s="105"/>
      <c r="D591" s="105"/>
      <c r="E591" s="105"/>
      <c r="F591" s="103" t="s">
        <v>64</v>
      </c>
      <c r="G591" s="103" t="s">
        <v>65</v>
      </c>
      <c r="H591" s="103" t="s">
        <v>40</v>
      </c>
      <c r="I591" s="103" t="s">
        <v>66</v>
      </c>
      <c r="J591" s="103" t="s">
        <v>41</v>
      </c>
      <c r="K591" s="103" t="s">
        <v>133</v>
      </c>
      <c r="L591" s="103"/>
      <c r="M591" s="8"/>
    </row>
    <row r="592" spans="1:13" s="3" customFormat="1" ht="12" customHeight="1" x14ac:dyDescent="0.15">
      <c r="A592" s="22" t="s">
        <v>644</v>
      </c>
      <c r="B592" s="105">
        <v>23</v>
      </c>
      <c r="C592" s="105">
        <v>9</v>
      </c>
      <c r="D592" s="2" t="s">
        <v>548</v>
      </c>
      <c r="E592" s="105"/>
      <c r="F592" s="103" t="s">
        <v>591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279</v>
      </c>
      <c r="M592" s="8"/>
    </row>
    <row r="593" spans="1:13" s="3" customFormat="1" ht="12" customHeight="1" x14ac:dyDescent="0.15">
      <c r="A593" s="22" t="s">
        <v>645</v>
      </c>
      <c r="B593" s="105">
        <v>23</v>
      </c>
      <c r="C593" s="105">
        <v>10</v>
      </c>
      <c r="D593" s="2" t="s">
        <v>548</v>
      </c>
      <c r="E593" s="105"/>
      <c r="F593" s="103" t="s">
        <v>591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279</v>
      </c>
      <c r="M593" s="8"/>
    </row>
    <row r="594" spans="1:13" s="3" customFormat="1" ht="12" customHeight="1" thickBot="1" x14ac:dyDescent="0.2">
      <c r="A594" s="22" t="s">
        <v>646</v>
      </c>
      <c r="B594" s="105">
        <v>23</v>
      </c>
      <c r="C594" s="105">
        <v>11</v>
      </c>
      <c r="D594" s="2" t="s">
        <v>548</v>
      </c>
      <c r="E594" s="105"/>
      <c r="F594" s="103" t="s">
        <v>591</v>
      </c>
      <c r="G594" s="102">
        <v>730</v>
      </c>
      <c r="H594" s="18">
        <v>109868</v>
      </c>
      <c r="I594" s="18">
        <v>34495</v>
      </c>
      <c r="J594" s="18">
        <v>82399</v>
      </c>
      <c r="K594" s="104">
        <f>SUM(H594:J594)</f>
        <v>226762</v>
      </c>
      <c r="L594" s="24" t="s">
        <v>279</v>
      </c>
      <c r="M594" s="8"/>
    </row>
    <row r="595" spans="1:13" s="3" customFormat="1" ht="12" customHeight="1" thickTop="1" x14ac:dyDescent="0.15">
      <c r="A595" s="98" t="s">
        <v>471</v>
      </c>
      <c r="B595" s="44">
        <v>23</v>
      </c>
      <c r="C595" s="44">
        <v>12</v>
      </c>
      <c r="D595" s="39" t="s">
        <v>548</v>
      </c>
      <c r="E595" s="44"/>
      <c r="F595" s="149" t="s">
        <v>591</v>
      </c>
      <c r="G595" s="148">
        <v>700</v>
      </c>
      <c r="H595" s="108">
        <f>SUM(H592:H594)</f>
        <v>109868</v>
      </c>
      <c r="I595" s="108">
        <f>SUM(I592:I594)</f>
        <v>34495</v>
      </c>
      <c r="J595" s="108">
        <f>SUM(J592:J594)</f>
        <v>82399</v>
      </c>
      <c r="K595" s="108">
        <f>SUM(K592:K594)</f>
        <v>226762</v>
      </c>
      <c r="L595" s="24" t="s">
        <v>279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573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696</v>
      </c>
      <c r="G599" s="177" t="s">
        <v>697</v>
      </c>
      <c r="H599" s="177" t="s">
        <v>828</v>
      </c>
      <c r="I599" s="177" t="s">
        <v>829</v>
      </c>
      <c r="J599" s="177" t="s">
        <v>830</v>
      </c>
      <c r="K599" s="177" t="s">
        <v>698</v>
      </c>
      <c r="L599" s="88"/>
      <c r="M599" s="8"/>
    </row>
    <row r="600" spans="1:13" s="3" customFormat="1" ht="12" customHeight="1" x14ac:dyDescent="0.15">
      <c r="A600" s="96" t="s">
        <v>210</v>
      </c>
      <c r="B600" s="105"/>
      <c r="C600" s="105"/>
      <c r="D600" s="105"/>
      <c r="E600" s="105"/>
      <c r="F600" s="103" t="s">
        <v>33</v>
      </c>
      <c r="G600" s="103" t="s">
        <v>34</v>
      </c>
      <c r="H600" s="103" t="s">
        <v>35</v>
      </c>
      <c r="I600" s="103" t="s">
        <v>36</v>
      </c>
      <c r="J600" s="103" t="s">
        <v>37</v>
      </c>
      <c r="K600" s="103" t="s">
        <v>38</v>
      </c>
      <c r="L600" s="106" t="s">
        <v>133</v>
      </c>
      <c r="M600" s="8"/>
    </row>
    <row r="601" spans="1:13" s="3" customFormat="1" ht="12" customHeight="1" x14ac:dyDescent="0.15">
      <c r="A601" s="22" t="s">
        <v>635</v>
      </c>
      <c r="B601" s="75">
        <v>23</v>
      </c>
      <c r="C601" s="75">
        <v>13</v>
      </c>
      <c r="D601" s="2" t="s">
        <v>548</v>
      </c>
      <c r="E601" s="75"/>
      <c r="F601" s="18">
        <f>13116+833+1225</f>
        <v>15174</v>
      </c>
      <c r="G601" s="18">
        <f>1610+64+194</f>
        <v>1868</v>
      </c>
      <c r="H601" s="18"/>
      <c r="I601" s="18"/>
      <c r="J601" s="18"/>
      <c r="K601" s="18"/>
      <c r="L601" s="88">
        <f>SUM(F601:K601)</f>
        <v>17042</v>
      </c>
      <c r="M601" s="8"/>
    </row>
    <row r="602" spans="1:13" s="3" customFormat="1" ht="12" customHeight="1" x14ac:dyDescent="0.15">
      <c r="A602" s="22" t="s">
        <v>636</v>
      </c>
      <c r="B602" s="75">
        <v>23</v>
      </c>
      <c r="C602" s="75">
        <v>14</v>
      </c>
      <c r="D602" s="2" t="s">
        <v>548</v>
      </c>
      <c r="E602" s="75"/>
      <c r="F602" s="18">
        <f>4138+263+386</f>
        <v>4787</v>
      </c>
      <c r="G602" s="18">
        <f>508+20+61</f>
        <v>589</v>
      </c>
      <c r="H602" s="18"/>
      <c r="I602" s="18"/>
      <c r="J602" s="18"/>
      <c r="K602" s="18"/>
      <c r="L602" s="88">
        <f>SUM(F602:K602)</f>
        <v>5376</v>
      </c>
      <c r="M602" s="8"/>
    </row>
    <row r="603" spans="1:13" s="3" customFormat="1" ht="12" customHeight="1" thickBot="1" x14ac:dyDescent="0.2">
      <c r="A603" s="22" t="s">
        <v>647</v>
      </c>
      <c r="B603" s="75">
        <v>23</v>
      </c>
      <c r="C603" s="75">
        <v>15</v>
      </c>
      <c r="D603" s="2" t="s">
        <v>548</v>
      </c>
      <c r="E603" s="75"/>
      <c r="F603" s="18">
        <f>7744+492+723</f>
        <v>8959</v>
      </c>
      <c r="G603" s="18">
        <f>951+38+114</f>
        <v>1103</v>
      </c>
      <c r="H603" s="18"/>
      <c r="I603" s="18"/>
      <c r="J603" s="18"/>
      <c r="K603" s="18"/>
      <c r="L603" s="88">
        <f>SUM(F603:K603)</f>
        <v>10062</v>
      </c>
      <c r="M603" s="8"/>
    </row>
    <row r="604" spans="1:13" s="3" customFormat="1" ht="12" customHeight="1" thickTop="1" x14ac:dyDescent="0.15">
      <c r="A604" s="98" t="s">
        <v>471</v>
      </c>
      <c r="B604" s="107">
        <v>23</v>
      </c>
      <c r="C604" s="107">
        <v>16</v>
      </c>
      <c r="D604" s="39" t="s">
        <v>548</v>
      </c>
      <c r="E604" s="107"/>
      <c r="F604" s="108">
        <f t="shared" ref="F604:L604" si="48">SUM(F601:F603)</f>
        <v>28920</v>
      </c>
      <c r="G604" s="108">
        <f t="shared" si="48"/>
        <v>3560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32480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32</v>
      </c>
      <c r="G606" s="151"/>
      <c r="H606" s="151"/>
      <c r="I606" s="150" t="s">
        <v>32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69</v>
      </c>
      <c r="B607" s="105"/>
      <c r="C607" s="105"/>
      <c r="D607" s="105"/>
      <c r="E607" s="105"/>
      <c r="F607" s="121" t="s">
        <v>693</v>
      </c>
      <c r="G607" s="109">
        <f>SUM(F19)</f>
        <v>707042</v>
      </c>
      <c r="H607" s="109">
        <f>SUM(F44)</f>
        <v>707042</v>
      </c>
      <c r="I607" s="121" t="s">
        <v>70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71</v>
      </c>
      <c r="B608" s="105"/>
      <c r="C608" s="105"/>
      <c r="D608" s="105"/>
      <c r="E608" s="105"/>
      <c r="F608" s="121" t="s">
        <v>694</v>
      </c>
      <c r="G608" s="109">
        <f>SUM(G19)</f>
        <v>6113</v>
      </c>
      <c r="H608" s="109">
        <f>SUM(G44)</f>
        <v>6113</v>
      </c>
      <c r="I608" s="121" t="s">
        <v>218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821</v>
      </c>
      <c r="G609" s="109">
        <f>SUM(H19)</f>
        <v>138878</v>
      </c>
      <c r="H609" s="109">
        <f>SUM(H44)</f>
        <v>138878</v>
      </c>
      <c r="I609" s="121" t="s">
        <v>219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822</v>
      </c>
      <c r="G610" s="109">
        <f>SUM(I19)</f>
        <v>0</v>
      </c>
      <c r="H610" s="109">
        <f>SUM(I44)</f>
        <v>0</v>
      </c>
      <c r="I610" s="121" t="s">
        <v>220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823</v>
      </c>
      <c r="G611" s="109">
        <f>SUM(J19)</f>
        <v>344201</v>
      </c>
      <c r="H611" s="109">
        <f>SUM(J44)</f>
        <v>344201</v>
      </c>
      <c r="I611" s="121" t="s">
        <v>221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824</v>
      </c>
      <c r="G612" s="109">
        <f>F43</f>
        <v>564865</v>
      </c>
      <c r="H612" s="109">
        <f>F466</f>
        <v>564865</v>
      </c>
      <c r="I612" s="121" t="s">
        <v>222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223</v>
      </c>
      <c r="G613" s="109">
        <f>G43</f>
        <v>0</v>
      </c>
      <c r="H613" s="109">
        <f>G466</f>
        <v>0</v>
      </c>
      <c r="I613" s="121" t="s">
        <v>224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225</v>
      </c>
      <c r="G614" s="109">
        <f>H43</f>
        <v>700</v>
      </c>
      <c r="H614" s="109">
        <f>H466</f>
        <v>700</v>
      </c>
      <c r="I614" s="121" t="s">
        <v>72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73</v>
      </c>
      <c r="G615" s="109">
        <f>I43</f>
        <v>0</v>
      </c>
      <c r="H615" s="109">
        <f>I466</f>
        <v>0</v>
      </c>
      <c r="I615" s="121" t="s">
        <v>74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75</v>
      </c>
      <c r="G616" s="109">
        <f>J43</f>
        <v>344201</v>
      </c>
      <c r="H616" s="109">
        <f>J466</f>
        <v>344201</v>
      </c>
      <c r="I616" s="140" t="s">
        <v>76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662</v>
      </c>
      <c r="G617" s="109">
        <f>F185</f>
        <v>14583021</v>
      </c>
      <c r="H617" s="104">
        <f>SUM(F458)</f>
        <v>14583021</v>
      </c>
      <c r="I617" s="140" t="s">
        <v>77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663</v>
      </c>
      <c r="G618" s="109">
        <f>G185</f>
        <v>372267</v>
      </c>
      <c r="H618" s="104">
        <f>SUM(G458)</f>
        <v>372267</v>
      </c>
      <c r="I618" s="140" t="s">
        <v>78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664</v>
      </c>
      <c r="G619" s="109">
        <f>H185</f>
        <v>503889</v>
      </c>
      <c r="H619" s="104">
        <f>SUM(H458)</f>
        <v>503889</v>
      </c>
      <c r="I619" s="140" t="s">
        <v>79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665</v>
      </c>
      <c r="G620" s="109">
        <f>I185</f>
        <v>0</v>
      </c>
      <c r="H620" s="104">
        <f>SUM(I458)</f>
        <v>0</v>
      </c>
      <c r="I620" s="140" t="s">
        <v>80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666</v>
      </c>
      <c r="G621" s="109">
        <f>J185</f>
        <v>76218</v>
      </c>
      <c r="H621" s="104">
        <f>SUM(J458)</f>
        <v>76218</v>
      </c>
      <c r="I621" s="140" t="s">
        <v>81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375</v>
      </c>
      <c r="G622" s="109">
        <f>SUM(L263)</f>
        <v>14497301</v>
      </c>
      <c r="H622" s="104">
        <f>SUM(F462)</f>
        <v>14497301</v>
      </c>
      <c r="I622" s="140" t="s">
        <v>228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376</v>
      </c>
      <c r="G623" s="109">
        <f>SUM(L344)</f>
        <v>503189</v>
      </c>
      <c r="H623" s="104">
        <f>SUM(H462)</f>
        <v>503189</v>
      </c>
      <c r="I623" s="140" t="s">
        <v>229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412</v>
      </c>
      <c r="G624" s="109">
        <f>I354</f>
        <v>134674</v>
      </c>
      <c r="H624" s="104">
        <f>I361</f>
        <v>134674</v>
      </c>
      <c r="I624" s="143" t="s">
        <v>413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230</v>
      </c>
      <c r="G625" s="109">
        <f>SUM(L354)</f>
        <v>372267</v>
      </c>
      <c r="H625" s="104">
        <f>SUM(G462)</f>
        <v>372267</v>
      </c>
      <c r="I625" s="140" t="s">
        <v>231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232</v>
      </c>
      <c r="G626" s="109">
        <f>SUM(L374)</f>
        <v>0</v>
      </c>
      <c r="H626" s="104">
        <f>SUM(I462)</f>
        <v>0</v>
      </c>
      <c r="I626" s="140" t="s">
        <v>233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592</v>
      </c>
      <c r="G627" s="151">
        <f>SUM(L400)</f>
        <v>76218</v>
      </c>
      <c r="H627" s="164">
        <f>SUM(J458)</f>
        <v>76218</v>
      </c>
      <c r="I627" s="165" t="s">
        <v>81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593</v>
      </c>
      <c r="G628" s="151">
        <f>SUM(L426)</f>
        <v>0</v>
      </c>
      <c r="H628" s="164">
        <f>SUM(J462)</f>
        <v>0</v>
      </c>
      <c r="I628" s="165" t="s">
        <v>234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235</v>
      </c>
      <c r="G629" s="109">
        <f>SUM(F438)</f>
        <v>175867</v>
      </c>
      <c r="H629" s="104">
        <f>SUM(F451)</f>
        <v>175867</v>
      </c>
      <c r="I629" s="140" t="s">
        <v>236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237</v>
      </c>
      <c r="G630" s="109">
        <f>SUM(G438)</f>
        <v>168334</v>
      </c>
      <c r="H630" s="104">
        <f>SUM(G451)</f>
        <v>168334</v>
      </c>
      <c r="I630" s="140" t="s">
        <v>238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239</v>
      </c>
      <c r="G631" s="109">
        <f>SUM(H438)</f>
        <v>0</v>
      </c>
      <c r="H631" s="104">
        <f>SUM(H451)</f>
        <v>0</v>
      </c>
      <c r="I631" s="140" t="s">
        <v>240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241</v>
      </c>
      <c r="G632" s="109">
        <f>SUM(I438)</f>
        <v>344201</v>
      </c>
      <c r="H632" s="104">
        <f>SUM(I451)</f>
        <v>344201</v>
      </c>
      <c r="I632" s="140" t="s">
        <v>242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414</v>
      </c>
      <c r="G633" s="109">
        <f>J49</f>
        <v>0</v>
      </c>
      <c r="H633" s="104">
        <f>F400</f>
        <v>0</v>
      </c>
      <c r="I633" s="140" t="s">
        <v>594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667</v>
      </c>
      <c r="G634" s="109">
        <f>J88</f>
        <v>1218</v>
      </c>
      <c r="H634" s="104">
        <f>H400</f>
        <v>1218</v>
      </c>
      <c r="I634" s="140" t="s">
        <v>595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668</v>
      </c>
      <c r="G635" s="109">
        <f>J175</f>
        <v>75000</v>
      </c>
      <c r="H635" s="104">
        <f>G400</f>
        <v>75000</v>
      </c>
      <c r="I635" s="140" t="s">
        <v>596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666</v>
      </c>
      <c r="G636" s="109">
        <f>J185</f>
        <v>76218</v>
      </c>
      <c r="H636" s="104">
        <f>L400</f>
        <v>76218</v>
      </c>
      <c r="I636" s="140" t="s">
        <v>592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30</v>
      </c>
      <c r="G637" s="109">
        <f>K588</f>
        <v>513945</v>
      </c>
      <c r="H637" s="104">
        <f>L200+L218+L236</f>
        <v>513945</v>
      </c>
      <c r="I637" s="140" t="s">
        <v>377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31</v>
      </c>
      <c r="G638" s="109">
        <f>K595</f>
        <v>226762</v>
      </c>
      <c r="H638" s="104">
        <f>(J249+J330)-(J247+J328)</f>
        <v>226762</v>
      </c>
      <c r="I638" s="140" t="s">
        <v>703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368</v>
      </c>
      <c r="G639" s="109">
        <f>L200</f>
        <v>238805</v>
      </c>
      <c r="H639" s="104">
        <f>H588</f>
        <v>238805</v>
      </c>
      <c r="I639" s="140" t="s">
        <v>369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373</v>
      </c>
      <c r="G640" s="109">
        <f>L218</f>
        <v>75777</v>
      </c>
      <c r="H640" s="104">
        <f>I588</f>
        <v>75777</v>
      </c>
      <c r="I640" s="140" t="s">
        <v>370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374</v>
      </c>
      <c r="G641" s="109">
        <f>L236</f>
        <v>199363</v>
      </c>
      <c r="H641" s="104">
        <f>J588</f>
        <v>199363</v>
      </c>
      <c r="I641" s="140" t="s">
        <v>371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669</v>
      </c>
      <c r="G642" s="109">
        <f>G171</f>
        <v>66526</v>
      </c>
      <c r="H642" s="104">
        <f>K255+K337</f>
        <v>66526</v>
      </c>
      <c r="I642" s="140" t="s">
        <v>378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670</v>
      </c>
      <c r="G643" s="109">
        <f>H171</f>
        <v>2703</v>
      </c>
      <c r="H643" s="104">
        <f>K256</f>
        <v>2703</v>
      </c>
      <c r="I643" s="140" t="s">
        <v>379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671</v>
      </c>
      <c r="G644" s="109">
        <f>I171</f>
        <v>0</v>
      </c>
      <c r="H644" s="104">
        <f>K257+K338</f>
        <v>0</v>
      </c>
      <c r="I644" s="140" t="s">
        <v>380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672</v>
      </c>
      <c r="G645" s="109">
        <f>J171</f>
        <v>75000</v>
      </c>
      <c r="H645" s="104">
        <f>K258+K339</f>
        <v>75000</v>
      </c>
      <c r="I645" s="140" t="s">
        <v>381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87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88</v>
      </c>
      <c r="F648" s="25" t="s">
        <v>89</v>
      </c>
      <c r="G648" s="25" t="s">
        <v>90</v>
      </c>
      <c r="H648" s="25" t="s">
        <v>490</v>
      </c>
      <c r="I648" s="25" t="s">
        <v>471</v>
      </c>
      <c r="J648" s="13"/>
      <c r="K648" s="13"/>
      <c r="L648" s="13"/>
      <c r="M648" s="9"/>
    </row>
    <row r="649" spans="1:13" s="3" customFormat="1" ht="12" customHeight="1" x14ac:dyDescent="0.15">
      <c r="F649" s="14" t="s">
        <v>277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248</v>
      </c>
      <c r="F650" s="19">
        <f>(L203+L282+L350)</f>
        <v>7119088</v>
      </c>
      <c r="G650" s="19">
        <f>(L221+L301+L351)</f>
        <v>2503035</v>
      </c>
      <c r="H650" s="19">
        <f>(L239+L320+L352)</f>
        <v>4898732</v>
      </c>
      <c r="I650" s="19">
        <f>SUM(F650:H650)</f>
        <v>14520855</v>
      </c>
      <c r="J650" s="13"/>
      <c r="K650" s="13"/>
      <c r="L650" s="13"/>
      <c r="M650" s="9"/>
    </row>
    <row r="651" spans="1:13" s="3" customFormat="1" ht="12" customHeight="1" x14ac:dyDescent="0.2">
      <c r="A651" s="1" t="s">
        <v>247</v>
      </c>
      <c r="F651" s="19">
        <f>(L350/IF(SUM(L350:L352)=0,1,SUM(L350:L352))*(SUM(G89:G102)))</f>
        <v>125535.00855568718</v>
      </c>
      <c r="G651" s="19">
        <f>(L351/IF(SUM(L350:L352)=0,1,SUM(L350:L352))*(SUM(G89:G102)))</f>
        <v>39558.828623004454</v>
      </c>
      <c r="H651" s="19">
        <f>(L352/IF(SUM(L350:L352)=0,1,SUM(L350:L352))*(SUM(G89:G102)))</f>
        <v>76161.16282130836</v>
      </c>
      <c r="I651" s="19">
        <f>SUM(F651:H651)</f>
        <v>241255</v>
      </c>
      <c r="J651"/>
      <c r="K651" s="13"/>
      <c r="L651" s="13"/>
      <c r="M651" s="9"/>
    </row>
    <row r="652" spans="1:13" s="3" customFormat="1" ht="12" customHeight="1" x14ac:dyDescent="0.2">
      <c r="A652" s="1" t="s">
        <v>423</v>
      </c>
      <c r="F652" s="19">
        <f>(L200+L279)-(J200+J279)</f>
        <v>229398</v>
      </c>
      <c r="G652" s="19">
        <f>(L218+L298)-(J218+J298)</f>
        <v>71918</v>
      </c>
      <c r="H652" s="19">
        <f>(L236+L317)-(J236+J317)</f>
        <v>192971</v>
      </c>
      <c r="I652" s="19">
        <f>SUM(F652:H652)</f>
        <v>494287</v>
      </c>
      <c r="J652"/>
      <c r="K652" s="13"/>
      <c r="L652" s="13"/>
      <c r="M652" s="9"/>
    </row>
    <row r="653" spans="1:13" s="3" customFormat="1" ht="12" customHeight="1" x14ac:dyDescent="0.15">
      <c r="A653" s="199" t="s">
        <v>91</v>
      </c>
      <c r="B653" s="169"/>
      <c r="C653" s="169"/>
      <c r="D653" s="169"/>
      <c r="E653" s="169"/>
      <c r="F653" s="200">
        <f>SUM(F565:F577)+SUM(H592:H594)+SUM(L601)</f>
        <v>139114</v>
      </c>
      <c r="G653" s="200">
        <f>SUM(G565:G577)+SUM(I592:I594)+L602</f>
        <v>94412</v>
      </c>
      <c r="H653" s="200">
        <f>SUM(H565:H577)+SUM(J592:J594)+L603</f>
        <v>117435</v>
      </c>
      <c r="I653" s="19">
        <f>SUM(F653:H653)</f>
        <v>350961</v>
      </c>
      <c r="J653" s="13"/>
      <c r="K653" s="13"/>
      <c r="L653" s="13"/>
      <c r="M653" s="9"/>
    </row>
    <row r="654" spans="1:13" s="3" customFormat="1" ht="12" customHeight="1" x14ac:dyDescent="0.15">
      <c r="A654" s="1" t="s">
        <v>92</v>
      </c>
      <c r="F654" s="19">
        <f>F650-SUM(F651:F653)</f>
        <v>6625040.991444313</v>
      </c>
      <c r="G654" s="19">
        <f>G650-SUM(G651:G653)</f>
        <v>2297146.1713769957</v>
      </c>
      <c r="H654" s="19">
        <f>H650-SUM(H651:H653)</f>
        <v>4512164.8371786913</v>
      </c>
      <c r="I654" s="19">
        <f>I650-SUM(I651:I653)</f>
        <v>13434352</v>
      </c>
      <c r="J654" s="13"/>
      <c r="K654" s="13"/>
      <c r="L654" s="13"/>
      <c r="M654" s="8"/>
    </row>
    <row r="655" spans="1:13" s="3" customFormat="1" ht="12" customHeight="1" x14ac:dyDescent="0.2">
      <c r="A655" s="1" t="s">
        <v>93</v>
      </c>
      <c r="F655" s="248">
        <v>451.85</v>
      </c>
      <c r="G655" s="249">
        <v>161.55000000000001</v>
      </c>
      <c r="H655" s="249">
        <v>331.82</v>
      </c>
      <c r="I655" s="19">
        <f>SUM(F655:H655)</f>
        <v>945.22</v>
      </c>
      <c r="J655" s="13"/>
      <c r="K655" s="13"/>
      <c r="L655" s="13"/>
      <c r="M655" s="9"/>
    </row>
    <row r="656" spans="1:13" s="3" customFormat="1" ht="12" customHeight="1" x14ac:dyDescent="0.15">
      <c r="A656" s="1" t="s">
        <v>94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95</v>
      </c>
      <c r="F657" s="19">
        <f>ROUND(F654/F655,2)</f>
        <v>14662.04</v>
      </c>
      <c r="G657" s="19">
        <f>ROUND(G654/G655,2)</f>
        <v>14219.41</v>
      </c>
      <c r="H657" s="19">
        <f>ROUND(H654/H655,2)</f>
        <v>13598.23</v>
      </c>
      <c r="I657" s="19">
        <f>ROUND(I654/I655,2)</f>
        <v>14212.94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96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97</v>
      </c>
      <c r="F660" s="18"/>
      <c r="G660" s="18"/>
      <c r="H660" s="18">
        <v>-4.8600000000000003</v>
      </c>
      <c r="I660" s="19">
        <f>SUM(F660:H660)</f>
        <v>-4.8600000000000003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98</v>
      </c>
      <c r="B662" s="2" t="s">
        <v>99</v>
      </c>
      <c r="C662" s="2" t="s">
        <v>281</v>
      </c>
      <c r="D662" s="2"/>
      <c r="E662" s="2"/>
      <c r="F662" s="19">
        <f>ROUND((F654+F659)/(F655+F660),2)</f>
        <v>14662.04</v>
      </c>
      <c r="G662" s="19">
        <f>ROUND((G654+G659)/(G655+G660),2)</f>
        <v>14219.41</v>
      </c>
      <c r="H662" s="19">
        <f>ROUND((H654+H659)/(H655+H660),2)</f>
        <v>13800.36</v>
      </c>
      <c r="I662" s="19">
        <f>ROUND((I654+I659)/(I655+I660),2)</f>
        <v>14286.39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8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C8CF-A3BA-4EC6-B5A3-C1FC98C33A6B}">
  <sheetPr>
    <tabColor indexed="20"/>
  </sheetPr>
  <dimension ref="A1:C52"/>
  <sheetViews>
    <sheetView zoomScale="150" workbookViewId="0">
      <selection activeCell="B11" sqref="B11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888</v>
      </c>
      <c r="B1" s="233" t="str">
        <f>'DOE25'!A2</f>
        <v>HOPKINTON SD</v>
      </c>
      <c r="C1" s="239" t="s">
        <v>866</v>
      </c>
    </row>
    <row r="2" spans="1:3" x14ac:dyDescent="0.2">
      <c r="A2" s="234"/>
      <c r="B2" s="233"/>
    </row>
    <row r="3" spans="1:3" x14ac:dyDescent="0.2">
      <c r="A3" s="274" t="s">
        <v>887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788</v>
      </c>
      <c r="C6" s="273"/>
    </row>
    <row r="7" spans="1:3" x14ac:dyDescent="0.2">
      <c r="A7" s="240" t="s">
        <v>889</v>
      </c>
      <c r="B7" s="271" t="s">
        <v>787</v>
      </c>
      <c r="C7" s="272"/>
    </row>
    <row r="8" spans="1:3" x14ac:dyDescent="0.2">
      <c r="B8" s="229" t="s">
        <v>33</v>
      </c>
      <c r="C8" s="229" t="s">
        <v>781</v>
      </c>
    </row>
    <row r="9" spans="1:3" x14ac:dyDescent="0.2">
      <c r="A9" s="33" t="s">
        <v>782</v>
      </c>
      <c r="B9" s="230">
        <f>'DOE25'!F189+'DOE25'!F207+'DOE25'!F225+'DOE25'!F268+'DOE25'!F287+'DOE25'!F306</f>
        <v>4550821</v>
      </c>
      <c r="C9" s="230">
        <f>'DOE25'!G189+'DOE25'!G207+'DOE25'!G225+'DOE25'!G268+'DOE25'!G287+'DOE25'!G306</f>
        <v>1587867</v>
      </c>
    </row>
    <row r="10" spans="1:3" x14ac:dyDescent="0.2">
      <c r="A10" t="s">
        <v>784</v>
      </c>
      <c r="B10" s="241">
        <v>4394917</v>
      </c>
      <c r="C10" s="241">
        <v>1570495</v>
      </c>
    </row>
    <row r="11" spans="1:3" x14ac:dyDescent="0.2">
      <c r="A11" t="s">
        <v>785</v>
      </c>
      <c r="B11" s="241">
        <f>8668+1004</f>
        <v>9672</v>
      </c>
      <c r="C11" s="241">
        <f>2794+19+25+718+20+30</f>
        <v>3606</v>
      </c>
    </row>
    <row r="12" spans="1:3" x14ac:dyDescent="0.2">
      <c r="A12" t="s">
        <v>786</v>
      </c>
      <c r="B12" s="241">
        <f>4680+26618+32722+44571+37641</f>
        <v>146232</v>
      </c>
      <c r="C12" s="241">
        <f>358+2037+30+20+98+2486+35+20+84+3402+1196+20+45+2856+956+20+103</f>
        <v>13766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4550821</v>
      </c>
      <c r="C13" s="232">
        <f>SUM(C10:C12)</f>
        <v>1587867</v>
      </c>
    </row>
    <row r="14" spans="1:3" x14ac:dyDescent="0.2">
      <c r="B14" s="231"/>
      <c r="C14" s="231"/>
    </row>
    <row r="15" spans="1:3" x14ac:dyDescent="0.2">
      <c r="B15" s="273" t="s">
        <v>788</v>
      </c>
      <c r="C15" s="273"/>
    </row>
    <row r="16" spans="1:3" x14ac:dyDescent="0.2">
      <c r="A16" s="240" t="s">
        <v>793</v>
      </c>
      <c r="B16" s="271" t="s">
        <v>707</v>
      </c>
      <c r="C16" s="272"/>
    </row>
    <row r="17" spans="1:3" x14ac:dyDescent="0.2">
      <c r="B17" s="229" t="s">
        <v>33</v>
      </c>
      <c r="C17" s="229" t="s">
        <v>781</v>
      </c>
    </row>
    <row r="18" spans="1:3" x14ac:dyDescent="0.2">
      <c r="A18" s="33" t="s">
        <v>782</v>
      </c>
      <c r="B18" s="230">
        <f>'DOE25'!F190+'DOE25'!F208+'DOE25'!F226+'DOE25'!F269+'DOE25'!F288+'DOE25'!F307</f>
        <v>1763735</v>
      </c>
      <c r="C18" s="230">
        <f>'DOE25'!G190+'DOE25'!G208+'DOE25'!G226+'DOE25'!G269+'DOE25'!G288+'DOE25'!G307</f>
        <v>487705</v>
      </c>
    </row>
    <row r="19" spans="1:3" x14ac:dyDescent="0.2">
      <c r="A19" t="s">
        <v>784</v>
      </c>
      <c r="B19" s="241">
        <v>998381</v>
      </c>
      <c r="C19" s="241">
        <v>317592</v>
      </c>
    </row>
    <row r="20" spans="1:3" x14ac:dyDescent="0.2">
      <c r="A20" t="s">
        <v>785</v>
      </c>
      <c r="B20" s="241">
        <f>269692+12724+230340+7744+112897+118171+406+1926+711+634.5+643.5+432+702+387+666+486+490.5+0.5+1802-8+2746+46+127</f>
        <v>763766</v>
      </c>
      <c r="C20" s="241">
        <f>28164+476+582+20408+1236+800+761+34170+423+479+16749+5799+520+714+15639+293+310+8192+9992+280+356+3722+224+274+8870+8770+400+454+573+361</f>
        <v>169991</v>
      </c>
    </row>
    <row r="21" spans="1:3" x14ac:dyDescent="0.2">
      <c r="A21" t="s">
        <v>786</v>
      </c>
      <c r="B21" s="241">
        <f>1131+456+1</f>
        <v>1588</v>
      </c>
      <c r="C21" s="241">
        <v>122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1763735</v>
      </c>
      <c r="C22" s="232">
        <f>SUM(C19:C21)</f>
        <v>487705</v>
      </c>
    </row>
    <row r="23" spans="1:3" x14ac:dyDescent="0.2">
      <c r="B23" s="231"/>
      <c r="C23" s="231"/>
    </row>
    <row r="24" spans="1:3" x14ac:dyDescent="0.2">
      <c r="B24" s="273" t="s">
        <v>788</v>
      </c>
      <c r="C24" s="273"/>
    </row>
    <row r="25" spans="1:3" x14ac:dyDescent="0.2">
      <c r="A25" s="240" t="s">
        <v>794</v>
      </c>
      <c r="B25" s="271" t="s">
        <v>708</v>
      </c>
      <c r="C25" s="272"/>
    </row>
    <row r="26" spans="1:3" x14ac:dyDescent="0.2">
      <c r="B26" s="229" t="s">
        <v>33</v>
      </c>
      <c r="C26" s="229" t="s">
        <v>781</v>
      </c>
    </row>
    <row r="27" spans="1:3" x14ac:dyDescent="0.2">
      <c r="A27" s="33" t="s">
        <v>782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784</v>
      </c>
      <c r="B28" s="241"/>
      <c r="C28" s="241"/>
    </row>
    <row r="29" spans="1:3" x14ac:dyDescent="0.2">
      <c r="A29" t="s">
        <v>785</v>
      </c>
      <c r="B29" s="241"/>
      <c r="C29" s="241"/>
    </row>
    <row r="30" spans="1:3" x14ac:dyDescent="0.2">
      <c r="A30" t="s">
        <v>786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788</v>
      </c>
      <c r="C33" s="273"/>
    </row>
    <row r="34" spans="1:3" x14ac:dyDescent="0.2">
      <c r="A34" s="240" t="s">
        <v>795</v>
      </c>
      <c r="B34" s="271" t="s">
        <v>709</v>
      </c>
      <c r="C34" s="272"/>
    </row>
    <row r="35" spans="1:3" x14ac:dyDescent="0.2">
      <c r="B35" s="229" t="s">
        <v>33</v>
      </c>
      <c r="C35" s="229" t="s">
        <v>781</v>
      </c>
    </row>
    <row r="36" spans="1:3" x14ac:dyDescent="0.2">
      <c r="A36" s="33" t="s">
        <v>782</v>
      </c>
      <c r="B36" s="236">
        <f>'DOE25'!F192+'DOE25'!F210+'DOE25'!F228+'DOE25'!F271+'DOE25'!F290+'DOE25'!F309</f>
        <v>176641</v>
      </c>
      <c r="C36" s="236">
        <f>'DOE25'!G192+'DOE25'!G210+'DOE25'!G228+'DOE25'!G271+'DOE25'!G290+'DOE25'!G309</f>
        <v>29304</v>
      </c>
    </row>
    <row r="37" spans="1:3" x14ac:dyDescent="0.2">
      <c r="A37" t="s">
        <v>784</v>
      </c>
      <c r="B37" s="241">
        <v>176641</v>
      </c>
      <c r="C37" s="241">
        <v>29304</v>
      </c>
    </row>
    <row r="38" spans="1:3" x14ac:dyDescent="0.2">
      <c r="A38" t="s">
        <v>785</v>
      </c>
      <c r="B38" s="241"/>
      <c r="C38" s="241"/>
    </row>
    <row r="39" spans="1:3" x14ac:dyDescent="0.2">
      <c r="A39" t="s">
        <v>786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176641</v>
      </c>
      <c r="C40" s="232">
        <f>SUM(C37:C39)</f>
        <v>29304</v>
      </c>
    </row>
    <row r="41" spans="1:3" x14ac:dyDescent="0.2">
      <c r="B41" s="231"/>
      <c r="C41" s="231"/>
    </row>
    <row r="42" spans="1:3" x14ac:dyDescent="0.2">
      <c r="A42" s="33" t="s">
        <v>863</v>
      </c>
      <c r="B42" s="231"/>
      <c r="C42" s="231"/>
    </row>
    <row r="43" spans="1:3" x14ac:dyDescent="0.2">
      <c r="A43" t="s">
        <v>868</v>
      </c>
      <c r="B43" s="231"/>
      <c r="C43" s="231"/>
    </row>
    <row r="44" spans="1:3" x14ac:dyDescent="0.2">
      <c r="A44" t="s">
        <v>869</v>
      </c>
    </row>
    <row r="45" spans="1:3" x14ac:dyDescent="0.2">
      <c r="A45" t="s">
        <v>870</v>
      </c>
    </row>
    <row r="48" spans="1:3" x14ac:dyDescent="0.2">
      <c r="A48" s="265" t="s">
        <v>783</v>
      </c>
    </row>
    <row r="49" spans="1:1" x14ac:dyDescent="0.2">
      <c r="A49" s="269" t="s">
        <v>871</v>
      </c>
    </row>
    <row r="50" spans="1:1" x14ac:dyDescent="0.2">
      <c r="A50" s="269" t="s">
        <v>865</v>
      </c>
    </row>
    <row r="51" spans="1:1" x14ac:dyDescent="0.2">
      <c r="A51" s="269" t="s">
        <v>872</v>
      </c>
    </row>
    <row r="52" spans="1:1" x14ac:dyDescent="0.2">
      <c r="A52" s="270" t="s">
        <v>867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9D0A-A5B8-457E-817D-BED77DBC8182}">
  <sheetPr>
    <tabColor indexed="11"/>
    <pageSetUpPr fitToPage="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3" t="s">
        <v>796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HOPKINTON SD</v>
      </c>
      <c r="C2" s="181"/>
      <c r="D2" s="181" t="s">
        <v>798</v>
      </c>
      <c r="E2" s="181" t="s">
        <v>800</v>
      </c>
      <c r="F2" s="275" t="s">
        <v>832</v>
      </c>
      <c r="G2" s="276"/>
      <c r="H2" s="277"/>
      <c r="I2" s="181"/>
    </row>
    <row r="3" spans="1:9" x14ac:dyDescent="0.2">
      <c r="A3" s="181" t="s">
        <v>64</v>
      </c>
      <c r="B3" s="229" t="s">
        <v>145</v>
      </c>
      <c r="C3" s="181" t="s">
        <v>133</v>
      </c>
      <c r="D3" s="181" t="s">
        <v>799</v>
      </c>
      <c r="E3" s="181" t="s">
        <v>801</v>
      </c>
      <c r="F3" s="242" t="s">
        <v>852</v>
      </c>
      <c r="G3" s="218" t="s">
        <v>38</v>
      </c>
      <c r="H3" s="243" t="s">
        <v>892</v>
      </c>
    </row>
    <row r="4" spans="1:9" x14ac:dyDescent="0.2">
      <c r="A4" s="252" t="s">
        <v>894</v>
      </c>
      <c r="B4" s="252" t="s">
        <v>817</v>
      </c>
      <c r="C4" s="252" t="s">
        <v>797</v>
      </c>
      <c r="D4" s="252" t="s">
        <v>818</v>
      </c>
      <c r="E4" s="252" t="s">
        <v>818</v>
      </c>
      <c r="F4" s="251" t="s">
        <v>891</v>
      </c>
      <c r="G4" s="252" t="s">
        <v>826</v>
      </c>
      <c r="H4" s="253" t="s">
        <v>893</v>
      </c>
    </row>
    <row r="5" spans="1:9" x14ac:dyDescent="0.2">
      <c r="A5" s="32">
        <v>1000</v>
      </c>
      <c r="B5" t="s">
        <v>167</v>
      </c>
      <c r="C5" s="246">
        <f t="shared" ref="C5:C19" si="0">SUM(D5:H5)</f>
        <v>8812099</v>
      </c>
      <c r="D5" s="20">
        <f>SUM('DOE25'!L189:L192)+SUM('DOE25'!L207:L210)+SUM('DOE25'!L225:L228)-F5-G5</f>
        <v>8739683</v>
      </c>
      <c r="E5" s="244"/>
      <c r="F5" s="256">
        <f>SUM('DOE25'!J189:J192)+SUM('DOE25'!J207:J210)+SUM('DOE25'!J225:J228)</f>
        <v>64844</v>
      </c>
      <c r="G5" s="53">
        <f>SUM('DOE25'!K189:K192)+SUM('DOE25'!K207:K210)+SUM('DOE25'!K225:K228)</f>
        <v>7572</v>
      </c>
      <c r="H5" s="260"/>
    </row>
    <row r="6" spans="1:9" x14ac:dyDescent="0.2">
      <c r="A6" s="32">
        <v>2100</v>
      </c>
      <c r="B6" t="s">
        <v>895</v>
      </c>
      <c r="C6" s="246">
        <f t="shared" si="0"/>
        <v>1071618</v>
      </c>
      <c r="D6" s="20">
        <f>'DOE25'!L194+'DOE25'!L212+'DOE25'!L230-F6-G6</f>
        <v>1068038</v>
      </c>
      <c r="E6" s="244"/>
      <c r="F6" s="256">
        <f>'DOE25'!J194+'DOE25'!J212+'DOE25'!J230</f>
        <v>3530</v>
      </c>
      <c r="G6" s="53">
        <f>'DOE25'!K194+'DOE25'!K212+'DOE25'!K230</f>
        <v>50</v>
      </c>
      <c r="H6" s="260"/>
    </row>
    <row r="7" spans="1:9" x14ac:dyDescent="0.2">
      <c r="A7" s="32">
        <v>2200</v>
      </c>
      <c r="B7" t="s">
        <v>851</v>
      </c>
      <c r="C7" s="246">
        <f t="shared" si="0"/>
        <v>772960</v>
      </c>
      <c r="D7" s="20">
        <f>'DOE25'!L195+'DOE25'!L213+'DOE25'!L231-F7-G7</f>
        <v>701400</v>
      </c>
      <c r="E7" s="244"/>
      <c r="F7" s="256">
        <f>'DOE25'!J195+'DOE25'!J213+'DOE25'!J231</f>
        <v>51160</v>
      </c>
      <c r="G7" s="53">
        <f>'DOE25'!K195+'DOE25'!K213+'DOE25'!K231</f>
        <v>20400</v>
      </c>
      <c r="H7" s="260"/>
    </row>
    <row r="8" spans="1:9" x14ac:dyDescent="0.2">
      <c r="A8" s="32">
        <v>2300</v>
      </c>
      <c r="B8" t="s">
        <v>805</v>
      </c>
      <c r="C8" s="246">
        <f t="shared" si="0"/>
        <v>198006</v>
      </c>
      <c r="D8" s="244"/>
      <c r="E8" s="20">
        <f>'DOE25'!L196+'DOE25'!L214+'DOE25'!L232-F8-G8-D9-D11</f>
        <v>177252</v>
      </c>
      <c r="F8" s="256">
        <f>'DOE25'!J196+'DOE25'!J214+'DOE25'!J232</f>
        <v>2386</v>
      </c>
      <c r="G8" s="53">
        <f>'DOE25'!K196+'DOE25'!K214+'DOE25'!K232</f>
        <v>18368</v>
      </c>
      <c r="H8" s="260"/>
    </row>
    <row r="9" spans="1:9" x14ac:dyDescent="0.2">
      <c r="A9" s="32">
        <v>2310</v>
      </c>
      <c r="B9" t="s">
        <v>819</v>
      </c>
      <c r="C9" s="246">
        <f t="shared" si="0"/>
        <v>16008</v>
      </c>
      <c r="D9" s="245">
        <v>16008</v>
      </c>
      <c r="E9" s="244"/>
      <c r="F9" s="259"/>
      <c r="G9" s="257"/>
      <c r="H9" s="260"/>
    </row>
    <row r="10" spans="1:9" x14ac:dyDescent="0.2">
      <c r="A10" s="32">
        <v>2317</v>
      </c>
      <c r="B10" t="s">
        <v>820</v>
      </c>
      <c r="C10" s="246">
        <f t="shared" si="0"/>
        <v>11450</v>
      </c>
      <c r="D10" s="244"/>
      <c r="E10" s="245">
        <v>11450</v>
      </c>
      <c r="F10" s="259"/>
      <c r="G10" s="257"/>
      <c r="H10" s="260"/>
    </row>
    <row r="11" spans="1:9" x14ac:dyDescent="0.2">
      <c r="A11" s="32">
        <v>2321</v>
      </c>
      <c r="B11" t="s">
        <v>842</v>
      </c>
      <c r="C11" s="246">
        <f t="shared" si="0"/>
        <v>285754</v>
      </c>
      <c r="D11" s="245">
        <f>285754</f>
        <v>285754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729435</v>
      </c>
      <c r="D12" s="20">
        <f>'DOE25'!L197+'DOE25'!L215+'DOE25'!L233-F12-G12</f>
        <v>721126</v>
      </c>
      <c r="E12" s="244"/>
      <c r="F12" s="256">
        <f>'DOE25'!J197+'DOE25'!J215+'DOE25'!J233</f>
        <v>1001</v>
      </c>
      <c r="G12" s="53">
        <f>'DOE25'!K197+'DOE25'!K215+'DOE25'!K233</f>
        <v>7308</v>
      </c>
      <c r="H12" s="260"/>
    </row>
    <row r="13" spans="1:9" x14ac:dyDescent="0.2">
      <c r="A13" s="32">
        <v>2500</v>
      </c>
      <c r="B13" t="s">
        <v>806</v>
      </c>
      <c r="C13" s="246">
        <f t="shared" si="0"/>
        <v>217043</v>
      </c>
      <c r="D13" s="244"/>
      <c r="E13" s="20">
        <f>'DOE25'!L198+'DOE25'!L216+'DOE25'!L234-F13-G13</f>
        <v>217043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843</v>
      </c>
      <c r="C14" s="246">
        <f t="shared" si="0"/>
        <v>1057574</v>
      </c>
      <c r="D14" s="20">
        <f>'DOE25'!L199+'DOE25'!L217+'DOE25'!L235-F14-G14</f>
        <v>1045549</v>
      </c>
      <c r="E14" s="244"/>
      <c r="F14" s="256">
        <f>'DOE25'!J199+'DOE25'!J217+'DOE25'!J235</f>
        <v>11985</v>
      </c>
      <c r="G14" s="53">
        <f>'DOE25'!K199+'DOE25'!K217+'DOE25'!K235</f>
        <v>40</v>
      </c>
      <c r="H14" s="260"/>
    </row>
    <row r="15" spans="1:9" x14ac:dyDescent="0.2">
      <c r="A15" s="32">
        <v>2700</v>
      </c>
      <c r="B15" t="s">
        <v>807</v>
      </c>
      <c r="C15" s="246">
        <f t="shared" si="0"/>
        <v>513945</v>
      </c>
      <c r="D15" s="20">
        <f>'DOE25'!L200+'DOE25'!L218+'DOE25'!L236-F15-G15</f>
        <v>490514</v>
      </c>
      <c r="E15" s="244"/>
      <c r="F15" s="256">
        <f>'DOE25'!J200+'DOE25'!J218+'DOE25'!J236</f>
        <v>23311</v>
      </c>
      <c r="G15" s="53">
        <f>'DOE25'!K200+'DOE25'!K218+'DOE25'!K236</f>
        <v>120</v>
      </c>
      <c r="H15" s="260"/>
    </row>
    <row r="16" spans="1:9" x14ac:dyDescent="0.2">
      <c r="A16" s="32">
        <v>2800</v>
      </c>
      <c r="B16" t="s">
        <v>808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809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810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896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890</v>
      </c>
      <c r="F21" s="261"/>
      <c r="G21" s="52"/>
      <c r="H21" s="262"/>
    </row>
    <row r="22" spans="1:8" x14ac:dyDescent="0.2">
      <c r="A22" s="32">
        <v>4000</v>
      </c>
      <c r="B22" t="s">
        <v>850</v>
      </c>
      <c r="C22" s="246">
        <f>SUM(D22:H22)</f>
        <v>48592</v>
      </c>
      <c r="D22" s="244"/>
      <c r="E22" s="244"/>
      <c r="F22" s="256">
        <f>'DOE25'!L247+'DOE25'!L328</f>
        <v>48592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437</v>
      </c>
      <c r="F24" s="261"/>
      <c r="G24" s="52"/>
      <c r="H24" s="262"/>
    </row>
    <row r="25" spans="1:8" x14ac:dyDescent="0.2">
      <c r="A25" s="32" t="s">
        <v>897</v>
      </c>
      <c r="B25" t="s">
        <v>898</v>
      </c>
      <c r="C25" s="246">
        <f>SUM(D25:H25)</f>
        <v>659081</v>
      </c>
      <c r="D25" s="244"/>
      <c r="E25" s="244"/>
      <c r="F25" s="259"/>
      <c r="G25" s="257"/>
      <c r="H25" s="258">
        <f>'DOE25'!L252+'DOE25'!L253+'DOE25'!L333+'DOE25'!L334</f>
        <v>659081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827</v>
      </c>
      <c r="F27" s="261"/>
      <c r="G27" s="52"/>
      <c r="H27" s="262"/>
    </row>
    <row r="28" spans="1:8" x14ac:dyDescent="0.2">
      <c r="A28" s="32">
        <v>3100</v>
      </c>
      <c r="B28" t="s">
        <v>836</v>
      </c>
      <c r="F28" s="261"/>
      <c r="G28" s="52"/>
      <c r="H28" s="262"/>
    </row>
    <row r="29" spans="1:8" x14ac:dyDescent="0.2">
      <c r="A29" s="32"/>
      <c r="B29" t="s">
        <v>861</v>
      </c>
      <c r="C29" s="246">
        <f>SUM(D29:H29)</f>
        <v>248752</v>
      </c>
      <c r="D29" s="20">
        <f>'DOE25'!L350+'DOE25'!L351+'DOE25'!L352-'DOE25'!I359-F29-G29</f>
        <v>235341</v>
      </c>
      <c r="E29" s="244"/>
      <c r="F29" s="256">
        <f>'DOE25'!J350+'DOE25'!J351+'DOE25'!J352</f>
        <v>13076</v>
      </c>
      <c r="G29" s="53">
        <f>'DOE25'!K350+'DOE25'!K351+'DOE25'!K352</f>
        <v>335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838</v>
      </c>
      <c r="B31" t="s">
        <v>837</v>
      </c>
      <c r="C31" s="246">
        <f>SUM(D31:H31)</f>
        <v>474146</v>
      </c>
      <c r="D31" s="20">
        <f>'DOE25'!L282+'DOE25'!L301+'DOE25'!L320+'DOE25'!L325+'DOE25'!L326+'DOE25'!L327-F31-G31</f>
        <v>398201</v>
      </c>
      <c r="E31" s="244"/>
      <c r="F31" s="256">
        <f>'DOE25'!J282+'DOE25'!J301+'DOE25'!J320+'DOE25'!J325+'DOE25'!J326+'DOE25'!J327</f>
        <v>68545</v>
      </c>
      <c r="G31" s="53">
        <f>'DOE25'!K282+'DOE25'!K301+'DOE25'!K320+'DOE25'!K325+'DOE25'!K326+'DOE25'!K327</f>
        <v>7400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862</v>
      </c>
      <c r="D33" s="247">
        <f>SUM(D5:D31)</f>
        <v>13701614</v>
      </c>
      <c r="E33" s="247">
        <f>SUM(E5:E31)</f>
        <v>405745</v>
      </c>
      <c r="F33" s="247">
        <f>SUM(F5:F31)</f>
        <v>288430</v>
      </c>
      <c r="G33" s="247">
        <f>SUM(G5:G31)</f>
        <v>61593</v>
      </c>
      <c r="H33" s="247">
        <f>SUM(H5:H31)</f>
        <v>659081</v>
      </c>
    </row>
    <row r="35" spans="2:8" ht="12" thickBot="1" x14ac:dyDescent="0.25">
      <c r="B35" s="254" t="s">
        <v>874</v>
      </c>
      <c r="D35" s="255">
        <f>E33</f>
        <v>405745</v>
      </c>
      <c r="E35" s="250"/>
    </row>
    <row r="36" spans="2:8" ht="12" thickTop="1" x14ac:dyDescent="0.2">
      <c r="B36" t="s">
        <v>816</v>
      </c>
      <c r="D36" s="20">
        <f>D33</f>
        <v>13701614</v>
      </c>
    </row>
    <row r="38" spans="2:8" x14ac:dyDescent="0.2">
      <c r="B38" s="187" t="s">
        <v>882</v>
      </c>
      <c r="C38" s="267"/>
      <c r="D38" s="268"/>
    </row>
    <row r="39" spans="2:8" x14ac:dyDescent="0.2">
      <c r="B39" t="s">
        <v>835</v>
      </c>
      <c r="D39" s="181" t="str">
        <f>IF(E10&gt;0,"Y","N")</f>
        <v>Y</v>
      </c>
    </row>
    <row r="41" spans="2:8" x14ac:dyDescent="0.2">
      <c r="B41" s="265" t="s">
        <v>774</v>
      </c>
    </row>
    <row r="42" spans="2:8" x14ac:dyDescent="0.2">
      <c r="B42" t="s">
        <v>839</v>
      </c>
    </row>
    <row r="43" spans="2:8" x14ac:dyDescent="0.2">
      <c r="B43" t="s">
        <v>833</v>
      </c>
    </row>
    <row r="45" spans="2:8" x14ac:dyDescent="0.2">
      <c r="B45" t="s">
        <v>831</v>
      </c>
    </row>
    <row r="47" spans="2:8" x14ac:dyDescent="0.2">
      <c r="B47" t="s">
        <v>841</v>
      </c>
    </row>
    <row r="48" spans="2:8" x14ac:dyDescent="0.2">
      <c r="B48" t="s">
        <v>873</v>
      </c>
    </row>
    <row r="49" spans="2:2" x14ac:dyDescent="0.2">
      <c r="B49" t="s">
        <v>856</v>
      </c>
    </row>
    <row r="50" spans="2:2" x14ac:dyDescent="0.2">
      <c r="B50" t="s">
        <v>840</v>
      </c>
    </row>
    <row r="51" spans="2:2" x14ac:dyDescent="0.2">
      <c r="B51" t="s">
        <v>834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F06F-8367-4F0E-96F7-A07BBDAD1125}">
  <sheetPr transitionEvaluation="1" codeName="Sheet2">
    <tabColor indexed="10"/>
  </sheetPr>
  <dimension ref="A1:I156"/>
  <sheetViews>
    <sheetView zoomScale="75" workbookViewId="0">
      <pane ySplit="2" topLeftCell="A16" activePane="bottomLeft" state="frozen"/>
      <selection pane="bottomLeft" activeCell="A60" sqref="A60"/>
    </sheetView>
  </sheetViews>
  <sheetFormatPr defaultColWidth="9" defaultRowHeight="11.25" x14ac:dyDescent="0.2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SD</v>
      </c>
      <c r="B2" s="126"/>
      <c r="C2" s="15" t="s">
        <v>255</v>
      </c>
      <c r="D2" s="15" t="s">
        <v>256</v>
      </c>
      <c r="E2" s="15" t="s">
        <v>257</v>
      </c>
      <c r="F2" s="15" t="s">
        <v>258</v>
      </c>
      <c r="G2" s="15" t="s">
        <v>259</v>
      </c>
      <c r="H2" s="125"/>
      <c r="I2" s="125"/>
    </row>
    <row r="3" spans="1:9" x14ac:dyDescent="0.2">
      <c r="A3" s="5" t="s">
        <v>261</v>
      </c>
      <c r="B3" s="6" t="s">
        <v>100</v>
      </c>
      <c r="C3" s="23" t="s">
        <v>264</v>
      </c>
      <c r="D3" s="23" t="s">
        <v>265</v>
      </c>
      <c r="E3" s="23" t="s">
        <v>266</v>
      </c>
      <c r="F3" s="23" t="s">
        <v>267</v>
      </c>
      <c r="G3" s="23" t="s">
        <v>268</v>
      </c>
      <c r="H3" s="4"/>
      <c r="I3" s="4"/>
    </row>
    <row r="4" spans="1:9" x14ac:dyDescent="0.2">
      <c r="A4" s="1" t="s">
        <v>269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270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271</v>
      </c>
      <c r="D6" s="26" t="s">
        <v>272</v>
      </c>
      <c r="E6" s="25" t="s">
        <v>273</v>
      </c>
      <c r="F6" s="25" t="s">
        <v>274</v>
      </c>
      <c r="G6" s="25" t="s">
        <v>275</v>
      </c>
      <c r="H6" s="124"/>
      <c r="I6" s="124"/>
    </row>
    <row r="7" spans="1:9" x14ac:dyDescent="0.2">
      <c r="A7" s="1" t="s">
        <v>276</v>
      </c>
      <c r="B7" s="7"/>
      <c r="C7" s="14" t="s">
        <v>277</v>
      </c>
      <c r="D7" s="13"/>
      <c r="E7" s="13"/>
      <c r="F7" s="13"/>
      <c r="G7" s="13"/>
      <c r="H7" s="124"/>
      <c r="I7" s="124"/>
    </row>
    <row r="8" spans="1:9" x14ac:dyDescent="0.2">
      <c r="A8" s="29" t="s">
        <v>278</v>
      </c>
      <c r="B8" s="7"/>
      <c r="C8" s="24" t="s">
        <v>279</v>
      </c>
      <c r="D8" s="24" t="s">
        <v>279</v>
      </c>
      <c r="E8" s="24" t="s">
        <v>279</v>
      </c>
      <c r="F8" s="24" t="s">
        <v>279</v>
      </c>
      <c r="G8" s="24" t="s">
        <v>279</v>
      </c>
      <c r="H8" s="124"/>
      <c r="I8" s="124"/>
    </row>
    <row r="9" spans="1:9" x14ac:dyDescent="0.2">
      <c r="A9" s="1" t="s">
        <v>101</v>
      </c>
      <c r="B9" s="6">
        <v>100</v>
      </c>
      <c r="C9" s="95">
        <f>'DOE25'!F9</f>
        <v>516018</v>
      </c>
      <c r="D9" s="95">
        <f>'DOE25'!G9</f>
        <v>100</v>
      </c>
      <c r="E9" s="95">
        <f>'DOE25'!H9</f>
        <v>0</v>
      </c>
      <c r="F9" s="95">
        <f>'DOE25'!I9</f>
        <v>0</v>
      </c>
      <c r="G9" s="95">
        <f>'DOE25'!J9</f>
        <v>344201</v>
      </c>
      <c r="H9" s="124"/>
      <c r="I9" s="124"/>
    </row>
    <row r="10" spans="1:9" x14ac:dyDescent="0.2">
      <c r="A10" s="1" t="s">
        <v>102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103</v>
      </c>
      <c r="B11" s="6">
        <v>120</v>
      </c>
      <c r="C11" s="95">
        <f>'DOE25'!F11</f>
        <v>0</v>
      </c>
      <c r="D11" s="24" t="s">
        <v>279</v>
      </c>
      <c r="E11" s="24" t="s">
        <v>279</v>
      </c>
      <c r="F11" s="24" t="s">
        <v>279</v>
      </c>
      <c r="G11" s="24" t="s">
        <v>279</v>
      </c>
      <c r="H11" s="124"/>
      <c r="I11" s="124"/>
    </row>
    <row r="12" spans="1:9" x14ac:dyDescent="0.2">
      <c r="A12" s="1" t="s">
        <v>104</v>
      </c>
      <c r="B12" s="6">
        <v>130</v>
      </c>
      <c r="C12" s="95">
        <f>'DOE25'!F12</f>
        <v>109902</v>
      </c>
      <c r="D12" s="95">
        <f>'DOE25'!G12</f>
        <v>988</v>
      </c>
      <c r="E12" s="95">
        <f>'DOE25'!H12</f>
        <v>11466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105</v>
      </c>
      <c r="B13" s="6">
        <v>140</v>
      </c>
      <c r="C13" s="95">
        <f>'DOE25'!F13</f>
        <v>57371</v>
      </c>
      <c r="D13" s="95">
        <f>'DOE25'!G13</f>
        <v>5025</v>
      </c>
      <c r="E13" s="95">
        <f>'DOE25'!H13</f>
        <v>127412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106</v>
      </c>
      <c r="B14" s="6">
        <v>150</v>
      </c>
      <c r="C14" s="95">
        <f>'DOE25'!F14</f>
        <v>4723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107</v>
      </c>
      <c r="B15" s="6">
        <v>160</v>
      </c>
      <c r="C15" s="24" t="s">
        <v>279</v>
      </c>
      <c r="D15" s="24" t="s">
        <v>279</v>
      </c>
      <c r="E15" s="24" t="s">
        <v>279</v>
      </c>
      <c r="F15" s="95">
        <f>'DOE25'!I15</f>
        <v>0</v>
      </c>
      <c r="G15" s="24" t="s">
        <v>279</v>
      </c>
      <c r="H15" s="124"/>
      <c r="I15" s="124"/>
    </row>
    <row r="16" spans="1:9" x14ac:dyDescent="0.2">
      <c r="A16" s="1" t="s">
        <v>108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279</v>
      </c>
      <c r="H16" s="124"/>
      <c r="I16" s="124"/>
    </row>
    <row r="17" spans="1:9" x14ac:dyDescent="0.2">
      <c r="A17" s="1" t="s">
        <v>109</v>
      </c>
      <c r="B17" s="6">
        <v>180</v>
      </c>
      <c r="C17" s="95">
        <f>'DOE25'!F17</f>
        <v>19028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110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111</v>
      </c>
      <c r="B19" s="39"/>
      <c r="C19" s="41">
        <f>SUM(C9:C18)</f>
        <v>707042</v>
      </c>
      <c r="D19" s="41">
        <f>SUM(D9:D18)</f>
        <v>6113</v>
      </c>
      <c r="E19" s="41">
        <f>SUM(E9:E18)</f>
        <v>138878</v>
      </c>
      <c r="F19" s="41">
        <f>SUM(F9:F18)</f>
        <v>0</v>
      </c>
      <c r="G19" s="41">
        <f>SUM(G9:G18)</f>
        <v>344201</v>
      </c>
      <c r="H19" s="124"/>
      <c r="I19" s="124"/>
    </row>
    <row r="20" spans="1:9" x14ac:dyDescent="0.2">
      <c r="A20" s="1" t="s">
        <v>293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294</v>
      </c>
      <c r="B21" s="7"/>
      <c r="C21" s="24" t="s">
        <v>279</v>
      </c>
      <c r="D21" s="24" t="s">
        <v>279</v>
      </c>
      <c r="E21" s="24" t="s">
        <v>279</v>
      </c>
      <c r="F21" s="24" t="s">
        <v>279</v>
      </c>
      <c r="G21" s="24" t="s">
        <v>279</v>
      </c>
      <c r="H21" s="124"/>
      <c r="I21" s="124"/>
    </row>
    <row r="22" spans="1:9" x14ac:dyDescent="0.2">
      <c r="A22" s="1" t="s">
        <v>112</v>
      </c>
      <c r="B22" s="6">
        <v>400</v>
      </c>
      <c r="C22" s="95">
        <f>'DOE25'!F23</f>
        <v>1732</v>
      </c>
      <c r="D22" s="95">
        <f>'DOE25'!G23</f>
        <v>2582</v>
      </c>
      <c r="E22" s="95">
        <f>'DOE25'!H23</f>
        <v>101477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113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114</v>
      </c>
      <c r="B24" s="6">
        <v>420</v>
      </c>
      <c r="C24" s="95">
        <f>'DOE25'!F25</f>
        <v>92495</v>
      </c>
      <c r="D24" s="95">
        <f>'DOE25'!G25</f>
        <v>600</v>
      </c>
      <c r="E24" s="95">
        <f>'DOE25'!H25</f>
        <v>3499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115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279</v>
      </c>
      <c r="H25" s="124"/>
      <c r="I25" s="124"/>
    </row>
    <row r="26" spans="1:9" x14ac:dyDescent="0.2">
      <c r="A26" s="1" t="s">
        <v>116</v>
      </c>
      <c r="B26" s="6">
        <v>440</v>
      </c>
      <c r="C26" s="95">
        <f>'DOE25'!F27</f>
        <v>0</v>
      </c>
      <c r="D26" s="24" t="s">
        <v>279</v>
      </c>
      <c r="E26" s="24" t="s">
        <v>279</v>
      </c>
      <c r="F26" s="95">
        <f>'DOE25'!I27</f>
        <v>0</v>
      </c>
      <c r="G26" s="24" t="s">
        <v>279</v>
      </c>
      <c r="H26" s="124"/>
      <c r="I26" s="124"/>
    </row>
    <row r="27" spans="1:9" x14ac:dyDescent="0.2">
      <c r="A27" s="1" t="s">
        <v>117</v>
      </c>
      <c r="B27" s="6">
        <v>450</v>
      </c>
      <c r="C27" s="95">
        <f>'DOE25'!F28</f>
        <v>0</v>
      </c>
      <c r="D27" s="24" t="s">
        <v>279</v>
      </c>
      <c r="E27" s="24" t="s">
        <v>279</v>
      </c>
      <c r="F27" s="95">
        <f>'DOE25'!I28</f>
        <v>0</v>
      </c>
      <c r="G27" s="24" t="s">
        <v>279</v>
      </c>
      <c r="H27" s="124"/>
      <c r="I27" s="124"/>
    </row>
    <row r="28" spans="1:9" x14ac:dyDescent="0.2">
      <c r="A28" s="1" t="s">
        <v>118</v>
      </c>
      <c r="B28" s="6">
        <v>460</v>
      </c>
      <c r="C28" s="95">
        <f>'DOE25'!F29</f>
        <v>29045</v>
      </c>
      <c r="D28" s="95">
        <f>'DOE25'!G29</f>
        <v>0</v>
      </c>
      <c r="E28" s="95">
        <f>'DOE25'!H29</f>
        <v>1732</v>
      </c>
      <c r="F28" s="95">
        <f>'DOE25'!I29</f>
        <v>0</v>
      </c>
      <c r="G28" s="24" t="s">
        <v>279</v>
      </c>
      <c r="H28" s="124"/>
      <c r="I28" s="124"/>
    </row>
    <row r="29" spans="1:9" x14ac:dyDescent="0.2">
      <c r="A29" s="1" t="s">
        <v>119</v>
      </c>
      <c r="B29" s="6">
        <v>470</v>
      </c>
      <c r="C29" s="95">
        <f>'DOE25'!F30</f>
        <v>11397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279</v>
      </c>
      <c r="H29" s="124"/>
      <c r="I29" s="124"/>
    </row>
    <row r="30" spans="1:9" x14ac:dyDescent="0.2">
      <c r="A30" s="1" t="s">
        <v>120</v>
      </c>
      <c r="B30" s="6">
        <v>480</v>
      </c>
      <c r="C30" s="95">
        <f>'DOE25'!F31</f>
        <v>7508</v>
      </c>
      <c r="D30" s="95">
        <f>'DOE25'!G31</f>
        <v>2931</v>
      </c>
      <c r="E30" s="95">
        <f>'DOE25'!H31</f>
        <v>31470</v>
      </c>
      <c r="F30" s="95">
        <f>'DOE25'!I31</f>
        <v>0</v>
      </c>
      <c r="G30" s="24" t="s">
        <v>279</v>
      </c>
      <c r="H30" s="124"/>
      <c r="I30" s="124"/>
    </row>
    <row r="31" spans="1:9" ht="12" thickBot="1" x14ac:dyDescent="0.25">
      <c r="A31" s="1" t="s">
        <v>121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122</v>
      </c>
      <c r="B32" s="2"/>
      <c r="C32" s="41">
        <f>SUM(C22:C31)</f>
        <v>142177</v>
      </c>
      <c r="D32" s="41">
        <f>SUM(D22:D31)</f>
        <v>6113</v>
      </c>
      <c r="E32" s="41">
        <f>SUM(E22:E31)</f>
        <v>138178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295</v>
      </c>
      <c r="B33" s="2" t="s">
        <v>277</v>
      </c>
      <c r="C33" s="24" t="s">
        <v>279</v>
      </c>
      <c r="D33" s="24" t="s">
        <v>279</v>
      </c>
      <c r="E33" s="24" t="s">
        <v>279</v>
      </c>
      <c r="F33" s="24" t="s">
        <v>279</v>
      </c>
      <c r="G33" s="24" t="s">
        <v>279</v>
      </c>
      <c r="H33" s="124"/>
      <c r="I33" s="124"/>
    </row>
    <row r="34" spans="1:9" x14ac:dyDescent="0.2">
      <c r="A34" s="1" t="s">
        <v>123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279</v>
      </c>
      <c r="H34" s="124"/>
      <c r="I34" s="124"/>
    </row>
    <row r="35" spans="1:9" x14ac:dyDescent="0.2">
      <c r="A35" s="1" t="s">
        <v>124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279</v>
      </c>
      <c r="H35" s="124"/>
      <c r="I35" s="124"/>
    </row>
    <row r="36" spans="1:9" x14ac:dyDescent="0.2">
      <c r="A36" s="1" t="s">
        <v>125</v>
      </c>
      <c r="B36" s="6">
        <v>753</v>
      </c>
      <c r="C36" s="95">
        <f>'DOE25'!F37</f>
        <v>59721</v>
      </c>
      <c r="D36" s="95">
        <f>'DOE25'!G37</f>
        <v>0</v>
      </c>
      <c r="E36" s="95">
        <f>'DOE25'!H37</f>
        <v>700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126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127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279</v>
      </c>
      <c r="H38" s="124"/>
      <c r="I38" s="124"/>
    </row>
    <row r="39" spans="1:9" x14ac:dyDescent="0.2">
      <c r="A39" s="1" t="s">
        <v>309</v>
      </c>
      <c r="B39" s="6">
        <v>756</v>
      </c>
      <c r="C39" s="24" t="s">
        <v>279</v>
      </c>
      <c r="D39" s="24" t="s">
        <v>279</v>
      </c>
      <c r="E39" s="24" t="s">
        <v>279</v>
      </c>
      <c r="F39" s="24" t="s">
        <v>279</v>
      </c>
      <c r="G39" s="95">
        <f>'DOE25'!J40</f>
        <v>0</v>
      </c>
      <c r="H39" s="124"/>
      <c r="I39" s="124"/>
    </row>
    <row r="40" spans="1:9" x14ac:dyDescent="0.2">
      <c r="A40" s="1" t="s">
        <v>310</v>
      </c>
      <c r="B40" s="6">
        <v>760</v>
      </c>
      <c r="C40" s="95">
        <f>'DOE25'!F41</f>
        <v>100000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344201</v>
      </c>
      <c r="H40" s="124"/>
      <c r="I40" s="124"/>
    </row>
    <row r="41" spans="1:9" ht="12" thickBot="1" x14ac:dyDescent="0.25">
      <c r="A41" s="1" t="s">
        <v>311</v>
      </c>
      <c r="B41" s="71">
        <v>770</v>
      </c>
      <c r="C41" s="95">
        <f>'DOE25'!F42</f>
        <v>405144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279</v>
      </c>
      <c r="H41" s="124"/>
      <c r="I41" s="124"/>
    </row>
    <row r="42" spans="1:9" ht="12.75" thickTop="1" thickBot="1" x14ac:dyDescent="0.25">
      <c r="A42" s="38" t="s">
        <v>312</v>
      </c>
      <c r="B42" s="48"/>
      <c r="C42" s="41">
        <f>SUM(C34:C41)</f>
        <v>564865</v>
      </c>
      <c r="D42" s="41">
        <f>SUM(D34:D41)</f>
        <v>0</v>
      </c>
      <c r="E42" s="41">
        <f>SUM(E34:E41)</f>
        <v>700</v>
      </c>
      <c r="F42" s="41">
        <f>SUM(F34:F41)</f>
        <v>0</v>
      </c>
      <c r="G42" s="41">
        <f>SUM(G34:G41)</f>
        <v>344201</v>
      </c>
      <c r="H42" s="124"/>
      <c r="I42" s="124"/>
    </row>
    <row r="43" spans="1:9" ht="12" thickTop="1" x14ac:dyDescent="0.2">
      <c r="A43" s="38" t="s">
        <v>313</v>
      </c>
      <c r="B43" s="2"/>
      <c r="C43" s="41">
        <f>C42+C32</f>
        <v>707042</v>
      </c>
      <c r="D43" s="41">
        <f>D42+D32</f>
        <v>6113</v>
      </c>
      <c r="E43" s="41">
        <f>E42+E32</f>
        <v>138878</v>
      </c>
      <c r="F43" s="41">
        <f>F42+F32</f>
        <v>0</v>
      </c>
      <c r="G43" s="41">
        <f>G42+G32</f>
        <v>344201</v>
      </c>
      <c r="H43" s="124"/>
      <c r="I43" s="124"/>
    </row>
    <row r="45" spans="1:9" x14ac:dyDescent="0.2">
      <c r="B45" s="3"/>
      <c r="C45" s="16" t="s">
        <v>271</v>
      </c>
      <c r="D45" s="16" t="s">
        <v>272</v>
      </c>
      <c r="E45" s="16" t="s">
        <v>273</v>
      </c>
      <c r="F45" s="16" t="s">
        <v>274</v>
      </c>
      <c r="G45" s="16" t="s">
        <v>297</v>
      </c>
      <c r="H45" s="20"/>
      <c r="I45" s="20"/>
    </row>
    <row r="46" spans="1:9" x14ac:dyDescent="0.2">
      <c r="A46" s="1" t="s">
        <v>450</v>
      </c>
      <c r="B46" s="127"/>
      <c r="C46" s="24" t="s">
        <v>279</v>
      </c>
      <c r="D46" s="24" t="s">
        <v>279</v>
      </c>
      <c r="E46" s="24" t="s">
        <v>279</v>
      </c>
      <c r="F46" s="24" t="s">
        <v>279</v>
      </c>
      <c r="G46" s="24" t="s">
        <v>279</v>
      </c>
      <c r="H46"/>
      <c r="I46"/>
    </row>
    <row r="47" spans="1:9" x14ac:dyDescent="0.2">
      <c r="A47" s="128" t="s">
        <v>137</v>
      </c>
      <c r="B47" s="127"/>
      <c r="C47" s="24" t="s">
        <v>279</v>
      </c>
      <c r="D47" s="24" t="s">
        <v>279</v>
      </c>
      <c r="E47" s="24" t="s">
        <v>279</v>
      </c>
      <c r="F47" s="24" t="s">
        <v>279</v>
      </c>
      <c r="G47" s="24" t="s">
        <v>279</v>
      </c>
      <c r="H47"/>
      <c r="I47"/>
    </row>
    <row r="48" spans="1:9" x14ac:dyDescent="0.2">
      <c r="A48" s="1" t="s">
        <v>138</v>
      </c>
      <c r="B48" s="6" t="s">
        <v>139</v>
      </c>
      <c r="C48" s="95">
        <f>'DOE25'!F52</f>
        <v>10305292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140</v>
      </c>
      <c r="B49" s="6" t="s">
        <v>141</v>
      </c>
      <c r="C49" s="95">
        <f>'DOE25'!F71</f>
        <v>66464</v>
      </c>
      <c r="D49" s="24" t="s">
        <v>279</v>
      </c>
      <c r="E49" s="95">
        <f>'DOE25'!H71</f>
        <v>0</v>
      </c>
      <c r="F49" s="24" t="s">
        <v>279</v>
      </c>
      <c r="G49" s="24" t="s">
        <v>279</v>
      </c>
      <c r="H49"/>
      <c r="I49"/>
    </row>
    <row r="50" spans="1:9" x14ac:dyDescent="0.2">
      <c r="A50" s="1" t="s">
        <v>142</v>
      </c>
      <c r="B50" s="6" t="s">
        <v>143</v>
      </c>
      <c r="C50" s="95">
        <f>'DOE25'!F86</f>
        <v>0</v>
      </c>
      <c r="D50" s="24" t="s">
        <v>279</v>
      </c>
      <c r="E50" s="95">
        <f>'DOE25'!H86</f>
        <v>0</v>
      </c>
      <c r="F50" s="24" t="s">
        <v>279</v>
      </c>
      <c r="G50" s="24" t="s">
        <v>279</v>
      </c>
      <c r="H50"/>
      <c r="I50"/>
    </row>
    <row r="51" spans="1:9" x14ac:dyDescent="0.2">
      <c r="A51" s="69" t="s">
        <v>321</v>
      </c>
      <c r="B51" s="37" t="s">
        <v>322</v>
      </c>
      <c r="C51" s="95">
        <f>'DOE25'!F88</f>
        <v>4613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1218</v>
      </c>
      <c r="H51"/>
      <c r="I51"/>
    </row>
    <row r="52" spans="1:9" x14ac:dyDescent="0.2">
      <c r="A52" s="1" t="s">
        <v>323</v>
      </c>
      <c r="B52" s="118" t="s">
        <v>324</v>
      </c>
      <c r="C52" s="24" t="s">
        <v>279</v>
      </c>
      <c r="D52" s="95">
        <f>'DOE25'!G89</f>
        <v>241245</v>
      </c>
      <c r="E52" s="24" t="s">
        <v>279</v>
      </c>
      <c r="F52" s="24" t="s">
        <v>279</v>
      </c>
      <c r="G52" s="24" t="s">
        <v>279</v>
      </c>
      <c r="H52"/>
      <c r="I52"/>
    </row>
    <row r="53" spans="1:9" ht="12" thickBot="1" x14ac:dyDescent="0.25">
      <c r="A53" s="1" t="s">
        <v>149</v>
      </c>
      <c r="B53" s="118" t="s">
        <v>150</v>
      </c>
      <c r="C53" s="95">
        <f>SUM('DOE25'!F90:F102)</f>
        <v>79247</v>
      </c>
      <c r="D53" s="95">
        <f>SUM('DOE25'!G90:G102)</f>
        <v>10</v>
      </c>
      <c r="E53" s="95">
        <f>SUM('DOE25'!H90:H102)</f>
        <v>46262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151</v>
      </c>
      <c r="B54" s="6"/>
      <c r="C54" s="130">
        <f>SUM(C49:C53)</f>
        <v>150324</v>
      </c>
      <c r="D54" s="130">
        <f>SUM(D49:D53)</f>
        <v>241255</v>
      </c>
      <c r="E54" s="130">
        <f>SUM(E49:E53)</f>
        <v>46262</v>
      </c>
      <c r="F54" s="130">
        <f>SUM(F49:F53)</f>
        <v>0</v>
      </c>
      <c r="G54" s="130">
        <f>SUM(G49:G53)</f>
        <v>1218</v>
      </c>
      <c r="H54"/>
      <c r="I54"/>
    </row>
    <row r="55" spans="1:9" ht="12" thickTop="1" x14ac:dyDescent="0.2">
      <c r="A55" s="29" t="s">
        <v>335</v>
      </c>
      <c r="B55" s="6"/>
      <c r="C55" s="22">
        <f>C48+C54</f>
        <v>10455616</v>
      </c>
      <c r="D55" s="22">
        <f>D48+D54</f>
        <v>241255</v>
      </c>
      <c r="E55" s="22">
        <f>E48+E54</f>
        <v>46262</v>
      </c>
      <c r="F55" s="22">
        <f>F48+F54</f>
        <v>0</v>
      </c>
      <c r="G55" s="22">
        <f>G48+G54</f>
        <v>1218</v>
      </c>
      <c r="H55"/>
      <c r="I55"/>
    </row>
    <row r="56" spans="1:9" x14ac:dyDescent="0.2">
      <c r="A56" s="29" t="s">
        <v>451</v>
      </c>
      <c r="B56" s="6"/>
      <c r="C56" s="24" t="s">
        <v>279</v>
      </c>
      <c r="D56" s="24" t="s">
        <v>279</v>
      </c>
      <c r="E56" s="24" t="s">
        <v>279</v>
      </c>
      <c r="F56" s="24" t="s">
        <v>279</v>
      </c>
      <c r="G56" s="24" t="s">
        <v>279</v>
      </c>
      <c r="H56"/>
      <c r="I56"/>
    </row>
    <row r="57" spans="1:9" x14ac:dyDescent="0.2">
      <c r="A57" s="29" t="s">
        <v>336</v>
      </c>
      <c r="B57" s="6"/>
      <c r="C57" s="24" t="s">
        <v>279</v>
      </c>
      <c r="D57" s="24" t="s">
        <v>279</v>
      </c>
      <c r="E57" s="24" t="s">
        <v>279</v>
      </c>
      <c r="F57" s="24" t="s">
        <v>279</v>
      </c>
      <c r="G57" s="24" t="s">
        <v>279</v>
      </c>
      <c r="H57"/>
      <c r="I57"/>
    </row>
    <row r="58" spans="1:9" x14ac:dyDescent="0.2">
      <c r="A58" s="1" t="s">
        <v>778</v>
      </c>
      <c r="B58" s="6">
        <v>3111</v>
      </c>
      <c r="C58" s="95">
        <f>'DOE25'!F109</f>
        <v>1540210</v>
      </c>
      <c r="D58" s="24" t="s">
        <v>279</v>
      </c>
      <c r="E58" s="24" t="s">
        <v>279</v>
      </c>
      <c r="F58" s="24" t="s">
        <v>279</v>
      </c>
      <c r="G58" s="24" t="s">
        <v>279</v>
      </c>
      <c r="H58"/>
      <c r="I58"/>
    </row>
    <row r="59" spans="1:9" x14ac:dyDescent="0.2">
      <c r="A59" s="1" t="s">
        <v>779</v>
      </c>
      <c r="B59" s="6">
        <v>3112</v>
      </c>
      <c r="C59" s="95">
        <f>'DOE25'!F110</f>
        <v>1620933</v>
      </c>
      <c r="D59" s="24"/>
      <c r="E59" s="24"/>
      <c r="F59" s="24"/>
      <c r="G59" s="24"/>
      <c r="H59"/>
      <c r="I59"/>
    </row>
    <row r="60" spans="1:9" x14ac:dyDescent="0.2">
      <c r="A60" s="1" t="s">
        <v>876</v>
      </c>
      <c r="B60" s="6">
        <v>3119</v>
      </c>
      <c r="C60" s="95">
        <f>'DOE25'!F111</f>
        <v>590931</v>
      </c>
      <c r="D60" s="24" t="s">
        <v>279</v>
      </c>
      <c r="E60" s="24" t="s">
        <v>279</v>
      </c>
      <c r="F60" s="24" t="s">
        <v>279</v>
      </c>
      <c r="G60" s="24" t="s">
        <v>279</v>
      </c>
      <c r="H60"/>
      <c r="I60"/>
    </row>
    <row r="61" spans="1:9" ht="12" thickBot="1" x14ac:dyDescent="0.25">
      <c r="A61" s="1" t="s">
        <v>416</v>
      </c>
      <c r="B61" s="6" t="s">
        <v>337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417</v>
      </c>
      <c r="B62" s="2"/>
      <c r="C62" s="139">
        <f>SUM(C58:C61)</f>
        <v>3752074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338</v>
      </c>
      <c r="B63" s="2"/>
      <c r="C63" s="24" t="s">
        <v>279</v>
      </c>
      <c r="D63" s="24" t="s">
        <v>279</v>
      </c>
      <c r="E63" s="24" t="s">
        <v>279</v>
      </c>
      <c r="F63" s="24" t="s">
        <v>279</v>
      </c>
      <c r="G63" s="24" t="s">
        <v>279</v>
      </c>
      <c r="H63"/>
      <c r="I63"/>
    </row>
    <row r="64" spans="1:9" x14ac:dyDescent="0.2">
      <c r="A64" s="1" t="s">
        <v>418</v>
      </c>
      <c r="B64" s="6">
        <v>3210</v>
      </c>
      <c r="C64" s="95">
        <f>'DOE25'!F115</f>
        <v>178441</v>
      </c>
      <c r="D64" s="24" t="s">
        <v>279</v>
      </c>
      <c r="E64" s="24" t="s">
        <v>279</v>
      </c>
      <c r="F64" s="95">
        <f>'DOE25'!I115</f>
        <v>0</v>
      </c>
      <c r="G64" s="24" t="s">
        <v>279</v>
      </c>
      <c r="H64"/>
      <c r="I64"/>
    </row>
    <row r="65" spans="1:9" x14ac:dyDescent="0.2">
      <c r="A65" s="1" t="s">
        <v>243</v>
      </c>
      <c r="B65" s="6">
        <v>3215</v>
      </c>
      <c r="C65" s="95">
        <f>'DOE25'!F116</f>
        <v>0</v>
      </c>
      <c r="D65" s="24" t="s">
        <v>279</v>
      </c>
      <c r="E65" s="24" t="s">
        <v>279</v>
      </c>
      <c r="F65" s="95">
        <f>'DOE25'!I116</f>
        <v>0</v>
      </c>
      <c r="G65" s="24" t="s">
        <v>279</v>
      </c>
      <c r="H65"/>
      <c r="I65"/>
    </row>
    <row r="66" spans="1:9" x14ac:dyDescent="0.2">
      <c r="A66" s="1" t="s">
        <v>244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245</v>
      </c>
      <c r="B67" s="6">
        <v>3230</v>
      </c>
      <c r="C67" s="95">
        <f>'DOE25'!F118</f>
        <v>10541</v>
      </c>
      <c r="D67" s="24" t="s">
        <v>279</v>
      </c>
      <c r="E67" s="24" t="s">
        <v>279</v>
      </c>
      <c r="F67" s="24" t="s">
        <v>279</v>
      </c>
      <c r="G67" s="24" t="s">
        <v>279</v>
      </c>
      <c r="H67"/>
      <c r="I67"/>
    </row>
    <row r="68" spans="1:9" x14ac:dyDescent="0.2">
      <c r="A68" s="1" t="s">
        <v>246</v>
      </c>
      <c r="B68" s="6" t="s">
        <v>339</v>
      </c>
      <c r="C68" s="95">
        <f>SUM('DOE25'!F119:F122)</f>
        <v>2274</v>
      </c>
      <c r="D68" s="24" t="s">
        <v>279</v>
      </c>
      <c r="E68" s="95">
        <f>SUM('DOE25'!H119:H122)</f>
        <v>0</v>
      </c>
      <c r="F68" s="95">
        <f>SUM('DOE25'!I119:I122)</f>
        <v>0</v>
      </c>
      <c r="G68" s="24" t="s">
        <v>279</v>
      </c>
      <c r="H68"/>
      <c r="I68"/>
    </row>
    <row r="69" spans="1:9" ht="12" thickBot="1" x14ac:dyDescent="0.25">
      <c r="A69" s="1" t="s">
        <v>566</v>
      </c>
      <c r="B69" s="6" t="s">
        <v>340</v>
      </c>
      <c r="C69" s="95">
        <f>SUM('DOE25'!F123:F127)</f>
        <v>13800</v>
      </c>
      <c r="D69" s="95">
        <f>SUM('DOE25'!G123:G127)</f>
        <v>3793</v>
      </c>
      <c r="E69" s="95">
        <f>SUM('DOE25'!H123:H127)</f>
        <v>34590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249</v>
      </c>
      <c r="B70" s="6"/>
      <c r="C70" s="130">
        <f>SUM(C64:C69)</f>
        <v>205056</v>
      </c>
      <c r="D70" s="130">
        <f>SUM(D64:D69)</f>
        <v>3793</v>
      </c>
      <c r="E70" s="130">
        <f>SUM(E64:E69)</f>
        <v>34590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250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279</v>
      </c>
      <c r="G71" s="24" t="s">
        <v>279</v>
      </c>
      <c r="H71"/>
      <c r="I71"/>
    </row>
    <row r="72" spans="1:9" ht="12" thickBot="1" x14ac:dyDescent="0.25">
      <c r="A72" s="1" t="s">
        <v>251</v>
      </c>
      <c r="B72" s="6">
        <v>3800</v>
      </c>
      <c r="C72" s="95">
        <f>'DOE25'!F130</f>
        <v>0</v>
      </c>
      <c r="D72" s="24" t="s">
        <v>279</v>
      </c>
      <c r="E72" s="95">
        <f>'DOE25'!H130</f>
        <v>0</v>
      </c>
      <c r="F72" s="24" t="s">
        <v>279</v>
      </c>
      <c r="G72" s="24" t="s">
        <v>279</v>
      </c>
      <c r="H72"/>
      <c r="I72"/>
    </row>
    <row r="73" spans="1:9" ht="12.75" thickTop="1" thickBot="1" x14ac:dyDescent="0.25">
      <c r="A73" s="29" t="s">
        <v>748</v>
      </c>
      <c r="B73" s="2"/>
      <c r="C73" s="130">
        <f>SUM(C71:C72)+C70+C62</f>
        <v>3957130</v>
      </c>
      <c r="D73" s="130">
        <f>SUM(D71:D72)+D70+D62</f>
        <v>3793</v>
      </c>
      <c r="E73" s="130">
        <f>SUM(E71:E72)+E70+E62</f>
        <v>34590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271</v>
      </c>
      <c r="D74" s="16" t="s">
        <v>272</v>
      </c>
      <c r="E74" s="16" t="s">
        <v>273</v>
      </c>
      <c r="F74" s="16" t="s">
        <v>274</v>
      </c>
      <c r="G74" s="16" t="s">
        <v>297</v>
      </c>
      <c r="H74"/>
      <c r="I74"/>
    </row>
    <row r="75" spans="1:9" x14ac:dyDescent="0.2">
      <c r="A75" s="1" t="s">
        <v>450</v>
      </c>
      <c r="B75" s="127"/>
      <c r="C75" s="24" t="s">
        <v>279</v>
      </c>
      <c r="D75" s="24" t="s">
        <v>279</v>
      </c>
      <c r="E75" s="24" t="s">
        <v>279</v>
      </c>
      <c r="F75" s="24" t="s">
        <v>279</v>
      </c>
      <c r="G75" s="24" t="s">
        <v>279</v>
      </c>
      <c r="H75"/>
      <c r="I75"/>
    </row>
    <row r="76" spans="1:9" x14ac:dyDescent="0.2">
      <c r="A76" s="128" t="s">
        <v>341</v>
      </c>
      <c r="B76" s="127"/>
      <c r="C76" s="24" t="s">
        <v>279</v>
      </c>
      <c r="D76" s="24" t="s">
        <v>279</v>
      </c>
      <c r="E76" s="24" t="s">
        <v>279</v>
      </c>
      <c r="F76" s="24" t="s">
        <v>279</v>
      </c>
      <c r="G76" s="24" t="s">
        <v>279</v>
      </c>
      <c r="H76"/>
      <c r="I76"/>
    </row>
    <row r="77" spans="1:9" x14ac:dyDescent="0.2">
      <c r="A77" t="s">
        <v>749</v>
      </c>
      <c r="B77" s="32" t="s">
        <v>342</v>
      </c>
      <c r="C77" s="95">
        <f>'DOE25'!F139</f>
        <v>31813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279</v>
      </c>
    </row>
    <row r="78" spans="1:9" x14ac:dyDescent="0.2">
      <c r="A78" s="33" t="s">
        <v>338</v>
      </c>
      <c r="B78" s="32"/>
      <c r="C78" s="24" t="s">
        <v>279</v>
      </c>
      <c r="D78" s="24" t="s">
        <v>279</v>
      </c>
      <c r="E78" s="24" t="s">
        <v>279</v>
      </c>
      <c r="F78" s="24" t="s">
        <v>279</v>
      </c>
      <c r="G78" s="24" t="s">
        <v>279</v>
      </c>
    </row>
    <row r="79" spans="1:9" x14ac:dyDescent="0.2">
      <c r="A79" t="s">
        <v>857</v>
      </c>
      <c r="B79" s="32" t="s">
        <v>158</v>
      </c>
      <c r="C79" s="95">
        <f>SUM('DOE25'!F141:F144)</f>
        <v>0</v>
      </c>
      <c r="D79" s="24" t="s">
        <v>279</v>
      </c>
      <c r="E79" s="95">
        <f>SUM('DOE25'!H141:H144)</f>
        <v>0</v>
      </c>
      <c r="F79" s="95">
        <f>SUM('DOE25'!I141:I144)</f>
        <v>0</v>
      </c>
      <c r="G79" s="24" t="s">
        <v>279</v>
      </c>
    </row>
    <row r="80" spans="1:9" x14ac:dyDescent="0.2">
      <c r="A80" t="s">
        <v>858</v>
      </c>
      <c r="B80" s="32" t="s">
        <v>159</v>
      </c>
      <c r="C80" s="95">
        <f>SUM('DOE25'!F145:F153)</f>
        <v>138462</v>
      </c>
      <c r="D80" s="95">
        <f>SUM('DOE25'!G145:G153)</f>
        <v>60693</v>
      </c>
      <c r="E80" s="95">
        <f>SUM('DOE25'!H145:H153)</f>
        <v>420334</v>
      </c>
      <c r="F80" s="95">
        <f>SUM('DOE25'!I145:I153)</f>
        <v>0</v>
      </c>
      <c r="G80" s="24" t="s">
        <v>279</v>
      </c>
    </row>
    <row r="81" spans="1:7" x14ac:dyDescent="0.2">
      <c r="A81" t="s">
        <v>859</v>
      </c>
      <c r="B81" s="32" t="s">
        <v>160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279</v>
      </c>
    </row>
    <row r="82" spans="1:7" ht="12" thickBot="1" x14ac:dyDescent="0.25">
      <c r="A82" t="s">
        <v>860</v>
      </c>
      <c r="B82" s="32">
        <v>4810</v>
      </c>
      <c r="C82" s="95">
        <f>'DOE25'!F157</f>
        <v>0</v>
      </c>
      <c r="D82" s="24" t="s">
        <v>279</v>
      </c>
      <c r="E82" s="24" t="s">
        <v>279</v>
      </c>
      <c r="F82" s="24" t="s">
        <v>279</v>
      </c>
      <c r="G82" s="24" t="s">
        <v>279</v>
      </c>
    </row>
    <row r="83" spans="1:7" ht="12.75" thickTop="1" thickBot="1" x14ac:dyDescent="0.25">
      <c r="A83" s="33" t="s">
        <v>757</v>
      </c>
      <c r="C83" s="131">
        <f>SUM(C77:C82)</f>
        <v>170275</v>
      </c>
      <c r="D83" s="131">
        <f>SUM(D77:D82)</f>
        <v>60693</v>
      </c>
      <c r="E83" s="131">
        <f>SUM(E77:E82)</f>
        <v>420334</v>
      </c>
      <c r="F83" s="131">
        <f>SUM(F77:F82)</f>
        <v>0</v>
      </c>
      <c r="G83" s="24" t="s">
        <v>279</v>
      </c>
    </row>
    <row r="84" spans="1:7" ht="12" thickTop="1" x14ac:dyDescent="0.2">
      <c r="A84" s="33" t="s">
        <v>161</v>
      </c>
      <c r="C84" s="24" t="s">
        <v>279</v>
      </c>
      <c r="D84" s="24" t="s">
        <v>279</v>
      </c>
      <c r="E84" s="24" t="s">
        <v>279</v>
      </c>
      <c r="F84" s="24" t="s">
        <v>279</v>
      </c>
      <c r="G84" s="24" t="s">
        <v>279</v>
      </c>
    </row>
    <row r="85" spans="1:7" x14ac:dyDescent="0.2">
      <c r="A85" t="s">
        <v>758</v>
      </c>
      <c r="B85" s="32" t="s">
        <v>162</v>
      </c>
      <c r="C85" s="95">
        <f>SUM('DOE25'!F165:F167)</f>
        <v>0</v>
      </c>
      <c r="D85" s="24" t="s">
        <v>279</v>
      </c>
      <c r="E85" s="24" t="s">
        <v>279</v>
      </c>
      <c r="F85" s="95">
        <f>SUM('DOE25'!I165:I167)</f>
        <v>0</v>
      </c>
      <c r="G85" s="24" t="s">
        <v>279</v>
      </c>
    </row>
    <row r="86" spans="1:7" x14ac:dyDescent="0.2">
      <c r="A86" t="s">
        <v>759</v>
      </c>
      <c r="B86" s="32">
        <v>5140</v>
      </c>
      <c r="C86" s="95">
        <f>'DOE25'!F168</f>
        <v>0</v>
      </c>
      <c r="D86" s="24" t="s">
        <v>279</v>
      </c>
      <c r="E86" s="24" t="s">
        <v>279</v>
      </c>
      <c r="F86" s="95">
        <f>'DOE25'!I168</f>
        <v>0</v>
      </c>
      <c r="G86" s="24" t="s">
        <v>279</v>
      </c>
    </row>
    <row r="87" spans="1:7" x14ac:dyDescent="0.2">
      <c r="A87" s="33" t="s">
        <v>318</v>
      </c>
      <c r="B87" s="32"/>
      <c r="C87" s="24" t="s">
        <v>279</v>
      </c>
      <c r="D87" s="24" t="s">
        <v>279</v>
      </c>
      <c r="E87" s="24" t="s">
        <v>279</v>
      </c>
      <c r="F87" s="24" t="s">
        <v>279</v>
      </c>
      <c r="G87" s="24" t="s">
        <v>279</v>
      </c>
    </row>
    <row r="88" spans="1:7" x14ac:dyDescent="0.2">
      <c r="A88" t="s">
        <v>864</v>
      </c>
      <c r="B88" s="32">
        <v>5210</v>
      </c>
      <c r="C88" s="24" t="s">
        <v>279</v>
      </c>
      <c r="D88" s="95">
        <f>'DOE25'!G171</f>
        <v>66526</v>
      </c>
      <c r="E88" s="95">
        <f>'DOE25'!H171</f>
        <v>2703</v>
      </c>
      <c r="F88" s="95">
        <f>'DOE25'!I171</f>
        <v>0</v>
      </c>
      <c r="G88" s="95">
        <f>'DOE25'!J171</f>
        <v>75000</v>
      </c>
    </row>
    <row r="89" spans="1:7" x14ac:dyDescent="0.2">
      <c r="A89" t="s">
        <v>761</v>
      </c>
      <c r="B89" s="32" t="s">
        <v>163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762</v>
      </c>
      <c r="B90" s="32" t="s">
        <v>164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279</v>
      </c>
      <c r="G90" s="95">
        <f>'DOE25'!J174</f>
        <v>0</v>
      </c>
    </row>
    <row r="91" spans="1:7" x14ac:dyDescent="0.2">
      <c r="A91" t="s">
        <v>763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279</v>
      </c>
    </row>
    <row r="92" spans="1:7" x14ac:dyDescent="0.2">
      <c r="A92" t="s">
        <v>764</v>
      </c>
      <c r="B92" s="32" t="s">
        <v>491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279</v>
      </c>
    </row>
    <row r="93" spans="1:7" x14ac:dyDescent="0.2">
      <c r="A93" t="s">
        <v>765</v>
      </c>
      <c r="B93" s="32" t="s">
        <v>492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279</v>
      </c>
    </row>
    <row r="94" spans="1:7" ht="12" thickBot="1" x14ac:dyDescent="0.25">
      <c r="A94" t="s">
        <v>766</v>
      </c>
      <c r="B94" s="32" t="s">
        <v>493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279</v>
      </c>
    </row>
    <row r="95" spans="1:7" ht="12.75" thickTop="1" thickBot="1" x14ac:dyDescent="0.25">
      <c r="A95" s="33" t="s">
        <v>767</v>
      </c>
      <c r="C95" s="86">
        <f>SUM(C85:C94)</f>
        <v>0</v>
      </c>
      <c r="D95" s="86">
        <f>SUM(D85:D94)</f>
        <v>66526</v>
      </c>
      <c r="E95" s="86">
        <f>SUM(E85:E94)</f>
        <v>2703</v>
      </c>
      <c r="F95" s="86">
        <f>SUM(F85:F94)</f>
        <v>0</v>
      </c>
      <c r="G95" s="86">
        <f>SUM(G85:G94)</f>
        <v>75000</v>
      </c>
    </row>
    <row r="96" spans="1:7" ht="12.75" thickTop="1" thickBot="1" x14ac:dyDescent="0.25">
      <c r="A96" s="33" t="s">
        <v>768</v>
      </c>
      <c r="C96" s="86">
        <f>C55+C73+C83+C95</f>
        <v>14583021</v>
      </c>
      <c r="D96" s="86">
        <f>D55+D73+D83+D95</f>
        <v>372267</v>
      </c>
      <c r="E96" s="86">
        <f>E55+E73+E83+E95</f>
        <v>503889</v>
      </c>
      <c r="F96" s="86">
        <f>F55+F73+F83+F95</f>
        <v>0</v>
      </c>
      <c r="G96" s="86">
        <f>G55+G73+G95</f>
        <v>76218</v>
      </c>
    </row>
    <row r="97" spans="1:7" ht="12" thickTop="1" x14ac:dyDescent="0.2"/>
    <row r="98" spans="1:7" x14ac:dyDescent="0.2">
      <c r="B98" s="3"/>
      <c r="C98" s="16" t="s">
        <v>271</v>
      </c>
      <c r="D98" s="16" t="s">
        <v>272</v>
      </c>
      <c r="E98" s="16" t="s">
        <v>165</v>
      </c>
      <c r="F98" s="16" t="s">
        <v>274</v>
      </c>
      <c r="G98" s="16" t="s">
        <v>275</v>
      </c>
    </row>
    <row r="99" spans="1:7" x14ac:dyDescent="0.2">
      <c r="A99" s="29" t="s">
        <v>166</v>
      </c>
      <c r="B99" s="127"/>
      <c r="C99" s="24" t="s">
        <v>279</v>
      </c>
      <c r="D99" s="24" t="s">
        <v>279</v>
      </c>
      <c r="E99" s="24" t="s">
        <v>279</v>
      </c>
      <c r="F99" s="24" t="s">
        <v>279</v>
      </c>
      <c r="G99" s="24" t="s">
        <v>279</v>
      </c>
    </row>
    <row r="100" spans="1:7" x14ac:dyDescent="0.2">
      <c r="A100" s="128" t="s">
        <v>167</v>
      </c>
      <c r="B100" s="127"/>
      <c r="C100" s="24" t="s">
        <v>279</v>
      </c>
      <c r="D100" s="24" t="s">
        <v>279</v>
      </c>
      <c r="E100" s="24" t="s">
        <v>279</v>
      </c>
      <c r="F100" s="24" t="s">
        <v>279</v>
      </c>
      <c r="G100" s="24" t="s">
        <v>279</v>
      </c>
    </row>
    <row r="101" spans="1:7" x14ac:dyDescent="0.2">
      <c r="A101" t="s">
        <v>168</v>
      </c>
      <c r="B101" s="32" t="s">
        <v>169</v>
      </c>
      <c r="C101" s="95">
        <f>('DOE25'!L189)+('DOE25'!L207)+('DOE25'!L225)</f>
        <v>6320398</v>
      </c>
      <c r="D101" s="24" t="s">
        <v>279</v>
      </c>
      <c r="E101" s="95">
        <f>('DOE25'!L268)+('DOE25'!L287)+('DOE25'!L306)</f>
        <v>131720</v>
      </c>
      <c r="F101" s="24" t="s">
        <v>279</v>
      </c>
      <c r="G101" s="24" t="s">
        <v>279</v>
      </c>
    </row>
    <row r="102" spans="1:7" x14ac:dyDescent="0.2">
      <c r="A102" t="s">
        <v>170</v>
      </c>
      <c r="B102" s="32" t="s">
        <v>171</v>
      </c>
      <c r="C102" s="95">
        <f>('DOE25'!L190)+('DOE25'!L208)+('DOE25'!L226)</f>
        <v>2200745</v>
      </c>
      <c r="D102" s="24" t="s">
        <v>279</v>
      </c>
      <c r="E102" s="95">
        <f>('DOE25'!L269)+('DOE25'!L288)+('DOE25'!L307)</f>
        <v>249647</v>
      </c>
      <c r="F102" s="24" t="s">
        <v>279</v>
      </c>
      <c r="G102" s="24" t="s">
        <v>279</v>
      </c>
    </row>
    <row r="103" spans="1:7" x14ac:dyDescent="0.2">
      <c r="A103" t="s">
        <v>172</v>
      </c>
      <c r="B103" s="32" t="s">
        <v>141</v>
      </c>
      <c r="C103" s="95">
        <f>('DOE25'!L191)+('DOE25'!L209)+('DOE25'!L227)</f>
        <v>12689</v>
      </c>
      <c r="D103" s="24" t="s">
        <v>279</v>
      </c>
      <c r="E103" s="95">
        <f>('DOE25'!L270)+('DOE25'!L289)+('DOE25'!L308)</f>
        <v>0</v>
      </c>
      <c r="F103" s="24" t="s">
        <v>279</v>
      </c>
      <c r="G103" s="24" t="s">
        <v>279</v>
      </c>
    </row>
    <row r="104" spans="1:7" x14ac:dyDescent="0.2">
      <c r="A104" t="s">
        <v>173</v>
      </c>
      <c r="B104" s="32" t="s">
        <v>143</v>
      </c>
      <c r="C104" s="95">
        <f>('DOE25'!L192)+('DOE25'!L210)+('DOE25'!L228)</f>
        <v>278267</v>
      </c>
      <c r="D104" s="24" t="s">
        <v>279</v>
      </c>
      <c r="E104" s="95">
        <f>+('DOE25'!L271)+('DOE25'!L290)+('DOE25'!L309)</f>
        <v>8597</v>
      </c>
      <c r="F104" s="24" t="s">
        <v>279</v>
      </c>
      <c r="G104" s="24" t="s">
        <v>279</v>
      </c>
    </row>
    <row r="105" spans="1:7" x14ac:dyDescent="0.2">
      <c r="A105" t="s">
        <v>174</v>
      </c>
      <c r="B105" s="32" t="s">
        <v>322</v>
      </c>
      <c r="C105" s="95">
        <f>'DOE25'!L242</f>
        <v>0</v>
      </c>
      <c r="D105" s="24" t="s">
        <v>279</v>
      </c>
      <c r="E105" s="95">
        <f>+'DOE25'!L324</f>
        <v>0</v>
      </c>
      <c r="F105" s="24" t="s">
        <v>279</v>
      </c>
      <c r="G105" s="24" t="s">
        <v>279</v>
      </c>
    </row>
    <row r="106" spans="1:7" ht="12" thickBot="1" x14ac:dyDescent="0.25">
      <c r="A106" t="s">
        <v>175</v>
      </c>
      <c r="B106" s="32" t="s">
        <v>176</v>
      </c>
      <c r="C106" s="95">
        <f>SUM('DOE25'!L243:L245)</f>
        <v>0</v>
      </c>
      <c r="D106" s="24" t="s">
        <v>279</v>
      </c>
      <c r="E106" s="95">
        <f>+ SUM('DOE25'!L325:L327)</f>
        <v>0</v>
      </c>
      <c r="F106" s="24" t="s">
        <v>279</v>
      </c>
      <c r="G106" s="24" t="s">
        <v>279</v>
      </c>
    </row>
    <row r="107" spans="1:7" ht="12.75" thickTop="1" thickBot="1" x14ac:dyDescent="0.25">
      <c r="A107" s="33" t="s">
        <v>177</v>
      </c>
      <c r="C107" s="86">
        <f>SUM(C101:C106)</f>
        <v>8812099</v>
      </c>
      <c r="D107" s="86">
        <f>SUM(D101:D106)</f>
        <v>0</v>
      </c>
      <c r="E107" s="86">
        <f>SUM(E101:E106)</f>
        <v>389964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279</v>
      </c>
      <c r="D108" s="24" t="s">
        <v>279</v>
      </c>
      <c r="E108" s="24" t="s">
        <v>279</v>
      </c>
      <c r="F108" s="24" t="s">
        <v>279</v>
      </c>
      <c r="G108" s="24" t="s">
        <v>279</v>
      </c>
    </row>
    <row r="109" spans="1:7" x14ac:dyDescent="0.2">
      <c r="A109" s="33" t="s">
        <v>326</v>
      </c>
      <c r="C109" s="24" t="s">
        <v>279</v>
      </c>
      <c r="D109" s="24" t="s">
        <v>279</v>
      </c>
      <c r="E109" s="24" t="s">
        <v>279</v>
      </c>
      <c r="F109" s="24" t="s">
        <v>279</v>
      </c>
      <c r="G109" s="24" t="s">
        <v>279</v>
      </c>
    </row>
    <row r="110" spans="1:7" x14ac:dyDescent="0.2">
      <c r="A110" t="s">
        <v>178</v>
      </c>
      <c r="B110" s="32" t="s">
        <v>179</v>
      </c>
      <c r="C110" s="95">
        <f>('DOE25'!L194)+('DOE25'!L212)+('DOE25'!L230)</f>
        <v>1071618</v>
      </c>
      <c r="D110" s="24" t="s">
        <v>279</v>
      </c>
      <c r="E110" s="95">
        <f>+('DOE25'!L273)+('DOE25'!L292)+('DOE25'!L311)</f>
        <v>15646</v>
      </c>
      <c r="F110" s="24" t="s">
        <v>279</v>
      </c>
      <c r="G110" s="24" t="s">
        <v>279</v>
      </c>
    </row>
    <row r="111" spans="1:7" x14ac:dyDescent="0.2">
      <c r="A111" t="s">
        <v>180</v>
      </c>
      <c r="B111" s="32" t="s">
        <v>181</v>
      </c>
      <c r="C111" s="95">
        <f>('DOE25'!L195)+('DOE25'!L213)+('DOE25'!L231)</f>
        <v>772960</v>
      </c>
      <c r="D111" s="24" t="s">
        <v>279</v>
      </c>
      <c r="E111" s="95">
        <f>+('DOE25'!L274)+('DOE25'!L293)+('DOE25'!L312)</f>
        <v>63493</v>
      </c>
      <c r="F111" s="24" t="s">
        <v>279</v>
      </c>
      <c r="G111" s="24" t="s">
        <v>279</v>
      </c>
    </row>
    <row r="112" spans="1:7" x14ac:dyDescent="0.2">
      <c r="A112" t="s">
        <v>182</v>
      </c>
      <c r="B112" s="32" t="s">
        <v>183</v>
      </c>
      <c r="C112" s="95">
        <f>('DOE25'!L196)+('DOE25'!L214)+('DOE25'!L232)</f>
        <v>499768</v>
      </c>
      <c r="D112" s="24" t="s">
        <v>279</v>
      </c>
      <c r="E112" s="95">
        <f>+('DOE25'!L275)+('DOE25'!L294)+('DOE25'!L313)</f>
        <v>0</v>
      </c>
      <c r="F112" s="24" t="s">
        <v>279</v>
      </c>
      <c r="G112" s="24" t="s">
        <v>279</v>
      </c>
    </row>
    <row r="113" spans="1:7" x14ac:dyDescent="0.2">
      <c r="A113" t="s">
        <v>184</v>
      </c>
      <c r="B113" s="32" t="s">
        <v>185</v>
      </c>
      <c r="C113" s="95">
        <f>('DOE25'!L197)+('DOE25'!L215)+('DOE25'!L233)</f>
        <v>729435</v>
      </c>
      <c r="D113" s="24" t="s">
        <v>279</v>
      </c>
      <c r="E113" s="95">
        <f>+('DOE25'!L276)+('DOE25'!L295)+('DOE25'!L314)</f>
        <v>0</v>
      </c>
      <c r="F113" s="24" t="s">
        <v>279</v>
      </c>
      <c r="G113" s="24" t="s">
        <v>279</v>
      </c>
    </row>
    <row r="114" spans="1:7" x14ac:dyDescent="0.2">
      <c r="A114" t="s">
        <v>186</v>
      </c>
      <c r="B114" s="32" t="s">
        <v>187</v>
      </c>
      <c r="C114" s="95">
        <f>('DOE25'!L198)+('DOE25'!L216)+('DOE25'!L234)</f>
        <v>217043</v>
      </c>
      <c r="D114" s="24" t="s">
        <v>279</v>
      </c>
      <c r="E114" s="95">
        <f>+('DOE25'!L277)+('DOE25'!L296)+('DOE25'!L315)</f>
        <v>0</v>
      </c>
      <c r="F114" s="24" t="s">
        <v>279</v>
      </c>
      <c r="G114" s="24" t="s">
        <v>279</v>
      </c>
    </row>
    <row r="115" spans="1:7" x14ac:dyDescent="0.2">
      <c r="A115" t="s">
        <v>188</v>
      </c>
      <c r="B115" s="32" t="s">
        <v>189</v>
      </c>
      <c r="C115" s="95">
        <f>('DOE25'!L199)+('DOE25'!L217)+('DOE25'!L235)</f>
        <v>1057574</v>
      </c>
      <c r="D115" s="24" t="s">
        <v>279</v>
      </c>
      <c r="E115" s="95">
        <f>+('DOE25'!L278)+('DOE25'!L297)+('DOE25'!L316)</f>
        <v>0</v>
      </c>
      <c r="F115" s="24" t="s">
        <v>279</v>
      </c>
      <c r="G115" s="24" t="s">
        <v>279</v>
      </c>
    </row>
    <row r="116" spans="1:7" x14ac:dyDescent="0.2">
      <c r="A116" t="s">
        <v>190</v>
      </c>
      <c r="B116" s="32" t="s">
        <v>191</v>
      </c>
      <c r="C116" s="95">
        <f>('DOE25'!L200)+('DOE25'!L218)+('DOE25'!L236+'DOE25'!L246)</f>
        <v>513945</v>
      </c>
      <c r="D116" s="24" t="s">
        <v>279</v>
      </c>
      <c r="E116" s="95">
        <f>+('DOE25'!L279)+('DOE25'!L298)+('DOE25'!L317)</f>
        <v>5043</v>
      </c>
      <c r="F116" s="24" t="s">
        <v>279</v>
      </c>
      <c r="G116" s="24" t="s">
        <v>279</v>
      </c>
    </row>
    <row r="117" spans="1:7" x14ac:dyDescent="0.2">
      <c r="A117" t="s">
        <v>192</v>
      </c>
      <c r="B117" s="32" t="s">
        <v>193</v>
      </c>
      <c r="C117" s="95">
        <f>('DOE25'!L201)+('DOE25'!L219)+('DOE25'!L237)</f>
        <v>0</v>
      </c>
      <c r="D117" s="24" t="s">
        <v>279</v>
      </c>
      <c r="E117" s="95">
        <f>+('DOE25'!L280)+('DOE25'!L299)+('DOE25'!L318)</f>
        <v>0</v>
      </c>
      <c r="F117" s="24" t="s">
        <v>279</v>
      </c>
      <c r="G117" s="24" t="s">
        <v>279</v>
      </c>
    </row>
    <row r="118" spans="1:7" x14ac:dyDescent="0.2">
      <c r="A118" t="s">
        <v>194</v>
      </c>
      <c r="B118" s="32" t="s">
        <v>195</v>
      </c>
      <c r="C118" s="24" t="s">
        <v>279</v>
      </c>
      <c r="D118" s="24" t="s">
        <v>279</v>
      </c>
      <c r="E118" s="24" t="s">
        <v>279</v>
      </c>
      <c r="F118" s="24" t="s">
        <v>279</v>
      </c>
      <c r="G118" s="24" t="s">
        <v>279</v>
      </c>
    </row>
    <row r="119" spans="1:7" ht="12" thickBot="1" x14ac:dyDescent="0.25">
      <c r="A119" t="s">
        <v>196</v>
      </c>
      <c r="B119" s="32" t="s">
        <v>197</v>
      </c>
      <c r="C119" s="24" t="s">
        <v>279</v>
      </c>
      <c r="D119" s="95">
        <f>('DOE25'!L350)+('DOE25'!L351)+('DOE25'!L352)</f>
        <v>372267</v>
      </c>
      <c r="E119" s="24" t="s">
        <v>279</v>
      </c>
      <c r="F119" s="24" t="s">
        <v>279</v>
      </c>
      <c r="G119" s="24" t="s">
        <v>279</v>
      </c>
    </row>
    <row r="120" spans="1:7" ht="12.75" thickTop="1" thickBot="1" x14ac:dyDescent="0.25">
      <c r="A120" s="33" t="s">
        <v>198</v>
      </c>
      <c r="C120" s="86">
        <f>SUM(C110:C119)</f>
        <v>4862343</v>
      </c>
      <c r="D120" s="86">
        <f>SUM(D110:D119)</f>
        <v>372267</v>
      </c>
      <c r="E120" s="86">
        <f>SUM(E110:E119)</f>
        <v>84182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344</v>
      </c>
      <c r="C121" s="24" t="s">
        <v>279</v>
      </c>
      <c r="D121" s="24" t="s">
        <v>279</v>
      </c>
      <c r="E121" s="24" t="s">
        <v>279</v>
      </c>
      <c r="F121" s="24" t="s">
        <v>279</v>
      </c>
      <c r="G121" s="24" t="s">
        <v>279</v>
      </c>
    </row>
    <row r="122" spans="1:7" x14ac:dyDescent="0.2">
      <c r="A122" t="s">
        <v>199</v>
      </c>
      <c r="B122" s="32" t="s">
        <v>200</v>
      </c>
      <c r="C122" s="95">
        <f>'DOE25'!L247</f>
        <v>19549</v>
      </c>
      <c r="D122" s="24" t="s">
        <v>279</v>
      </c>
      <c r="E122" s="129">
        <f>'DOE25'!L328</f>
        <v>29043</v>
      </c>
      <c r="F122" s="129">
        <f>SUM('DOE25'!L366:'DOE25'!L372)</f>
        <v>0</v>
      </c>
      <c r="G122" s="24" t="s">
        <v>279</v>
      </c>
    </row>
    <row r="123" spans="1:7" x14ac:dyDescent="0.2">
      <c r="A123" t="s">
        <v>201</v>
      </c>
      <c r="B123" s="32">
        <v>5110</v>
      </c>
      <c r="C123" s="95">
        <f>'DOE25'!L252</f>
        <v>494700</v>
      </c>
      <c r="D123" s="24" t="s">
        <v>279</v>
      </c>
      <c r="E123" s="129">
        <f>'DOE25'!L333</f>
        <v>0</v>
      </c>
      <c r="F123" s="24" t="s">
        <v>279</v>
      </c>
      <c r="G123" s="24" t="s">
        <v>279</v>
      </c>
    </row>
    <row r="124" spans="1:7" x14ac:dyDescent="0.2">
      <c r="A124" t="s">
        <v>202</v>
      </c>
      <c r="B124" s="32">
        <v>5120</v>
      </c>
      <c r="C124" s="95">
        <f>'DOE25'!L253</f>
        <v>164381</v>
      </c>
      <c r="D124" s="24" t="s">
        <v>279</v>
      </c>
      <c r="E124" s="129">
        <f>'DOE25'!L334</f>
        <v>0</v>
      </c>
      <c r="F124" s="24" t="s">
        <v>279</v>
      </c>
      <c r="G124" s="24" t="s">
        <v>279</v>
      </c>
    </row>
    <row r="125" spans="1:7" x14ac:dyDescent="0.2">
      <c r="A125" s="33" t="s">
        <v>203</v>
      </c>
      <c r="C125" s="24" t="s">
        <v>279</v>
      </c>
      <c r="D125" s="24" t="s">
        <v>279</v>
      </c>
      <c r="E125" s="24" t="s">
        <v>279</v>
      </c>
      <c r="F125" s="24" t="s">
        <v>279</v>
      </c>
      <c r="G125" s="24" t="s">
        <v>279</v>
      </c>
    </row>
    <row r="126" spans="1:7" x14ac:dyDescent="0.2">
      <c r="A126" t="s">
        <v>204</v>
      </c>
      <c r="B126" s="32">
        <v>5210</v>
      </c>
      <c r="C126" s="24" t="s">
        <v>279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394</v>
      </c>
      <c r="B127" s="32" t="s">
        <v>395</v>
      </c>
      <c r="C127" s="95">
        <f>'DOE25'!L255</f>
        <v>66526</v>
      </c>
      <c r="D127" s="24" t="s">
        <v>279</v>
      </c>
      <c r="E127" s="129">
        <f>'DOE25'!L337</f>
        <v>0</v>
      </c>
      <c r="F127" s="24" t="s">
        <v>279</v>
      </c>
      <c r="G127" s="24" t="s">
        <v>279</v>
      </c>
    </row>
    <row r="128" spans="1:7" x14ac:dyDescent="0.2">
      <c r="A128" t="s">
        <v>396</v>
      </c>
      <c r="B128" s="32" t="s">
        <v>397</v>
      </c>
      <c r="C128" s="95">
        <f>'DOE25'!L256</f>
        <v>2703</v>
      </c>
      <c r="D128" s="24" t="s">
        <v>279</v>
      </c>
      <c r="E128" s="24" t="s">
        <v>279</v>
      </c>
      <c r="F128" s="24" t="s">
        <v>279</v>
      </c>
      <c r="G128" s="24" t="s">
        <v>279</v>
      </c>
    </row>
    <row r="129" spans="1:9" x14ac:dyDescent="0.2">
      <c r="A129" t="s">
        <v>398</v>
      </c>
      <c r="B129" s="32" t="s">
        <v>164</v>
      </c>
      <c r="C129" s="95">
        <f>'DOE25'!L257</f>
        <v>0</v>
      </c>
      <c r="D129" s="24" t="s">
        <v>279</v>
      </c>
      <c r="E129" s="129">
        <f>'DOE25'!L338</f>
        <v>0</v>
      </c>
      <c r="F129" s="24" t="s">
        <v>279</v>
      </c>
      <c r="G129" s="24" t="s">
        <v>279</v>
      </c>
    </row>
    <row r="130" spans="1:9" x14ac:dyDescent="0.2">
      <c r="A130" t="s">
        <v>214</v>
      </c>
      <c r="B130" s="32">
        <v>5251</v>
      </c>
      <c r="C130" s="95">
        <f>'DOE25'!L385</f>
        <v>75377</v>
      </c>
      <c r="D130" s="24" t="s">
        <v>279</v>
      </c>
      <c r="E130" s="24" t="s">
        <v>279</v>
      </c>
      <c r="F130" s="24" t="s">
        <v>279</v>
      </c>
      <c r="G130" s="24" t="s">
        <v>279</v>
      </c>
    </row>
    <row r="131" spans="1:9" x14ac:dyDescent="0.2">
      <c r="A131" t="s">
        <v>215</v>
      </c>
      <c r="B131" s="32">
        <v>5252</v>
      </c>
      <c r="C131" s="95">
        <f>'DOE25'!L393</f>
        <v>841</v>
      </c>
      <c r="D131" s="24" t="s">
        <v>279</v>
      </c>
      <c r="E131" s="24" t="s">
        <v>279</v>
      </c>
      <c r="F131" s="24" t="s">
        <v>279</v>
      </c>
      <c r="G131" s="24" t="s">
        <v>279</v>
      </c>
    </row>
    <row r="132" spans="1:9" x14ac:dyDescent="0.2">
      <c r="A132" t="s">
        <v>216</v>
      </c>
      <c r="B132" s="32">
        <v>5253</v>
      </c>
      <c r="C132" s="95">
        <f>'DOE25'!L399</f>
        <v>0</v>
      </c>
      <c r="D132" s="24" t="s">
        <v>279</v>
      </c>
      <c r="E132" s="24" t="s">
        <v>279</v>
      </c>
      <c r="F132" s="24" t="s">
        <v>279</v>
      </c>
      <c r="G132" s="24" t="s">
        <v>279</v>
      </c>
    </row>
    <row r="133" spans="1:9" x14ac:dyDescent="0.2">
      <c r="A133" t="s">
        <v>769</v>
      </c>
      <c r="B133" s="32">
        <v>5254</v>
      </c>
      <c r="C133" s="95">
        <f>('DOE25'!L258+'DOE25'!K339) - (C130+C131+C132)</f>
        <v>-1218</v>
      </c>
      <c r="D133" s="24" t="s">
        <v>279</v>
      </c>
      <c r="E133" s="24" t="s">
        <v>279</v>
      </c>
      <c r="F133" s="24" t="s">
        <v>279</v>
      </c>
      <c r="G133" s="24" t="s">
        <v>279</v>
      </c>
    </row>
    <row r="134" spans="1:9" x14ac:dyDescent="0.2">
      <c r="A134" t="s">
        <v>217</v>
      </c>
      <c r="B134" s="32">
        <v>5310</v>
      </c>
      <c r="C134" s="129">
        <f>'DOE25'!L260</f>
        <v>0</v>
      </c>
      <c r="D134" s="24" t="s">
        <v>279</v>
      </c>
      <c r="E134" s="129">
        <f>'DOE25'!L341</f>
        <v>0</v>
      </c>
      <c r="F134" s="24" t="s">
        <v>279</v>
      </c>
      <c r="G134" s="24" t="s">
        <v>279</v>
      </c>
    </row>
    <row r="135" spans="1:9" ht="12" thickBot="1" x14ac:dyDescent="0.25">
      <c r="A135" t="s">
        <v>406</v>
      </c>
      <c r="B135" s="32">
        <v>5390</v>
      </c>
      <c r="C135" s="129">
        <f>'DOE25'!L261</f>
        <v>0</v>
      </c>
      <c r="D135" s="24" t="s">
        <v>279</v>
      </c>
      <c r="E135" s="129">
        <f>'DOE25'!L342</f>
        <v>0</v>
      </c>
      <c r="F135" s="24" t="s">
        <v>279</v>
      </c>
      <c r="G135" s="24" t="s">
        <v>279</v>
      </c>
    </row>
    <row r="136" spans="1:9" ht="12" thickBot="1" x14ac:dyDescent="0.25">
      <c r="A136" s="33" t="s">
        <v>407</v>
      </c>
      <c r="C136" s="141">
        <f>SUM(C122:C135)</f>
        <v>822859</v>
      </c>
      <c r="D136" s="141">
        <f>SUM(D122:D135)</f>
        <v>0</v>
      </c>
      <c r="E136" s="141">
        <f>SUM(E122:E135)</f>
        <v>29043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226</v>
      </c>
      <c r="C137" s="86">
        <f>(C107+C120+C136)</f>
        <v>14497301</v>
      </c>
      <c r="D137" s="86">
        <f>(D107+D120+D136)</f>
        <v>372267</v>
      </c>
      <c r="E137" s="86">
        <f>(E107+E120+E136)</f>
        <v>503189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227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349</v>
      </c>
      <c r="B141" s="32" t="s">
        <v>255</v>
      </c>
      <c r="C141" s="32" t="s">
        <v>256</v>
      </c>
      <c r="D141" s="32" t="s">
        <v>257</v>
      </c>
      <c r="E141" s="32" t="s">
        <v>258</v>
      </c>
      <c r="F141" s="32" t="s">
        <v>259</v>
      </c>
      <c r="G141" s="32" t="s">
        <v>260</v>
      </c>
    </row>
    <row r="142" spans="1:9" x14ac:dyDescent="0.2">
      <c r="A142" s="135" t="s">
        <v>0</v>
      </c>
      <c r="B142" s="32" t="s">
        <v>1</v>
      </c>
      <c r="C142" s="32" t="s">
        <v>2</v>
      </c>
      <c r="D142" s="32" t="s">
        <v>3</v>
      </c>
      <c r="E142" s="32" t="s">
        <v>4</v>
      </c>
      <c r="F142" s="32" t="s">
        <v>5</v>
      </c>
      <c r="G142" s="32" t="s">
        <v>471</v>
      </c>
    </row>
    <row r="143" spans="1:9" x14ac:dyDescent="0.2">
      <c r="A143" s="136" t="s">
        <v>6</v>
      </c>
      <c r="B143" s="153">
        <f>'DOE25'!F480</f>
        <v>5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279</v>
      </c>
    </row>
    <row r="144" spans="1:9" x14ac:dyDescent="0.2">
      <c r="A144" s="136" t="s">
        <v>7</v>
      </c>
      <c r="B144" s="152" t="str">
        <f>'DOE25'!F481</f>
        <v>7/04</v>
      </c>
      <c r="C144" s="152" t="str">
        <f>'DOE25'!G481</f>
        <v>5/07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279</v>
      </c>
    </row>
    <row r="145" spans="1:7" x14ac:dyDescent="0.2">
      <c r="A145" s="136" t="s">
        <v>8</v>
      </c>
      <c r="B145" s="152" t="str">
        <f>'DOE25'!F482</f>
        <v>8/09</v>
      </c>
      <c r="C145" s="152" t="str">
        <f>'DOE25'!G482</f>
        <v>8/17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279</v>
      </c>
    </row>
    <row r="146" spans="1:7" x14ac:dyDescent="0.2">
      <c r="A146" s="136" t="s">
        <v>9</v>
      </c>
      <c r="B146" s="137">
        <f>'DOE25'!F483</f>
        <v>548500</v>
      </c>
      <c r="C146" s="137">
        <f>'DOE25'!G483</f>
        <v>4745000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279</v>
      </c>
    </row>
    <row r="147" spans="1:7" x14ac:dyDescent="0.2">
      <c r="A147" s="136" t="s">
        <v>10</v>
      </c>
      <c r="B147" s="137">
        <f>'DOE25'!F484</f>
        <v>3</v>
      </c>
      <c r="C147" s="137" t="str">
        <f>'DOE25'!G484</f>
        <v>3.5 - 5.0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279</v>
      </c>
    </row>
    <row r="148" spans="1:7" x14ac:dyDescent="0.2">
      <c r="A148" s="22" t="s">
        <v>11</v>
      </c>
      <c r="B148" s="137">
        <f>'DOE25'!F485</f>
        <v>109700</v>
      </c>
      <c r="C148" s="137">
        <f>'DOE25'!G485</f>
        <v>4085000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4194700</v>
      </c>
    </row>
    <row r="149" spans="1:7" x14ac:dyDescent="0.2">
      <c r="A149" s="22" t="s">
        <v>12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13</v>
      </c>
      <c r="B150" s="137">
        <f>'DOE25'!F487</f>
        <v>109700</v>
      </c>
      <c r="C150" s="137">
        <f>'DOE25'!G487</f>
        <v>385000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494700</v>
      </c>
    </row>
    <row r="151" spans="1:7" x14ac:dyDescent="0.2">
      <c r="A151" s="22" t="s">
        <v>14</v>
      </c>
      <c r="B151" s="137">
        <f>'DOE25'!F488</f>
        <v>0</v>
      </c>
      <c r="C151" s="137">
        <f>'DOE25'!G488</f>
        <v>3700000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3700000</v>
      </c>
    </row>
    <row r="152" spans="1:7" x14ac:dyDescent="0.2">
      <c r="A152" s="22" t="s">
        <v>15</v>
      </c>
      <c r="B152" s="137">
        <f>'DOE25'!F489</f>
        <v>0</v>
      </c>
      <c r="C152" s="137">
        <f>'DOE25'!G489</f>
        <v>678313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678313</v>
      </c>
    </row>
    <row r="153" spans="1:7" x14ac:dyDescent="0.2">
      <c r="A153" s="22" t="s">
        <v>16</v>
      </c>
      <c r="B153" s="137">
        <f>'DOE25'!F490</f>
        <v>0</v>
      </c>
      <c r="C153" s="137">
        <f>'DOE25'!G490</f>
        <v>4378313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4378313</v>
      </c>
    </row>
    <row r="154" spans="1:7" x14ac:dyDescent="0.2">
      <c r="A154" s="22" t="s">
        <v>17</v>
      </c>
      <c r="B154" s="137">
        <f>'DOE25'!F491</f>
        <v>0</v>
      </c>
      <c r="C154" s="137">
        <f>'DOE25'!G491</f>
        <v>400000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400000</v>
      </c>
    </row>
    <row r="155" spans="1:7" x14ac:dyDescent="0.2">
      <c r="A155" s="22" t="s">
        <v>18</v>
      </c>
      <c r="B155" s="137">
        <f>'DOE25'!F492</f>
        <v>0</v>
      </c>
      <c r="C155" s="137">
        <f>'DOE25'!G492</f>
        <v>147325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147325</v>
      </c>
    </row>
    <row r="156" spans="1:7" x14ac:dyDescent="0.2">
      <c r="A156" s="22" t="s">
        <v>411</v>
      </c>
      <c r="B156" s="137">
        <f>'DOE25'!F493</f>
        <v>0</v>
      </c>
      <c r="C156" s="137">
        <f>'DOE25'!G493</f>
        <v>547325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547325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84" orientation="landscape" horizontalDpi="300" verticalDpi="300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A761-B0C3-4D7D-BCBE-7B305C7BBA3A}">
  <sheetPr codeName="Sheet3">
    <tabColor indexed="43"/>
  </sheetPr>
  <dimension ref="A1:D42"/>
  <sheetViews>
    <sheetView workbookViewId="0">
      <selection activeCell="A4" sqref="A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739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HOPKINTON SD</v>
      </c>
    </row>
    <row r="3" spans="1:4" x14ac:dyDescent="0.2">
      <c r="B3" s="188" t="s">
        <v>883</v>
      </c>
    </row>
    <row r="4" spans="1:4" x14ac:dyDescent="0.2">
      <c r="B4" t="s">
        <v>40</v>
      </c>
      <c r="C4" s="179">
        <f>IF('DOE25'!F655+'DOE25'!F660=0,0,ROUND('DOE25'!F662,0))</f>
        <v>14662</v>
      </c>
    </row>
    <row r="5" spans="1:4" x14ac:dyDescent="0.2">
      <c r="B5" t="s">
        <v>704</v>
      </c>
      <c r="C5" s="179">
        <f>IF('DOE25'!G655+'DOE25'!G660=0,0,ROUND('DOE25'!G662,0))</f>
        <v>14219</v>
      </c>
    </row>
    <row r="6" spans="1:4" x14ac:dyDescent="0.2">
      <c r="B6" t="s">
        <v>41</v>
      </c>
      <c r="C6" s="179">
        <f>IF('DOE25'!H655+'DOE25'!H660=0,0,ROUND('DOE25'!H662,0))</f>
        <v>13800</v>
      </c>
    </row>
    <row r="7" spans="1:4" x14ac:dyDescent="0.2">
      <c r="B7" t="s">
        <v>705</v>
      </c>
      <c r="C7" s="179">
        <f>IF('DOE25'!I655+'DOE25'!I660=0,0,ROUND('DOE25'!I662,0))</f>
        <v>14286</v>
      </c>
    </row>
    <row r="9" spans="1:4" x14ac:dyDescent="0.2">
      <c r="A9" s="187" t="s">
        <v>64</v>
      </c>
      <c r="B9" s="188" t="s">
        <v>884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ROUND('DOE25'!L189+'DOE25'!L207+'DOE25'!L225+'DOE25'!L268+'DOE25'!L287+'DOE25'!L306,0)</f>
        <v>6452118</v>
      </c>
      <c r="D10" s="182">
        <f>ROUND((C10/$C$28)*100,1)</f>
        <v>44.7</v>
      </c>
    </row>
    <row r="11" spans="1:4" x14ac:dyDescent="0.2">
      <c r="A11">
        <v>1200</v>
      </c>
      <c r="B11" t="s">
        <v>707</v>
      </c>
      <c r="C11" s="179">
        <f>ROUND('DOE25'!L190+'DOE25'!L208+'DOE25'!L226+'DOE25'!L269+'DOE25'!L288+'DOE25'!L307,0)</f>
        <v>2450392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ROUND('DOE25'!L191+'DOE25'!L209+'DOE25'!L227+'DOE25'!L270+'DOE25'!L289+'DOE25'!L308,0)</f>
        <v>12689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ROUND('DOE25'!L192+'DOE25'!L210+'DOE25'!L228+'DOE25'!L271+'DOE25'!L290+'DOE25'!L309,0)</f>
        <v>286864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ROUND('DOE25'!L194+'DOE25'!L212+'DOE25'!L230+'DOE25'!L273+'DOE25'!L292+'DOE25'!L311,0)</f>
        <v>1087264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ROUND('DOE25'!L195+'DOE25'!L213+'DOE25'!L231+'DOE25'!L274+'DOE25'!L293+'DOE25'!L312,0)</f>
        <v>836453</v>
      </c>
      <c r="D16" s="182">
        <f t="shared" si="0"/>
        <v>5.8</v>
      </c>
    </row>
    <row r="17" spans="1:4" x14ac:dyDescent="0.2">
      <c r="A17" s="183" t="s">
        <v>727</v>
      </c>
      <c r="B17" t="s">
        <v>741</v>
      </c>
      <c r="C17" s="179">
        <f>ROUND('DOE25'!L196+'DOE25'!L201+'DOE25'!L214+'DOE25'!L219+'DOE25'!L232+'DOE25'!L237+'DOE25'!L275+'DOE25'!L280+'DOE25'!L294+'DOE25'!L299+'DOE25'!L313+'DOE25'!L318,0)</f>
        <v>499768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ROUND('DOE25'!L197+'DOE25'!L215+'DOE25'!L233+'DOE25'!L276+'DOE25'!L295+'DOE25'!L314,0)</f>
        <v>729435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ROUND('DOE25'!L198+'DOE25'!L216+'DOE25'!L234+'DOE25'!L277+'DOE25'!L296+'DOE25'!L315,0)</f>
        <v>217043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ROUND('DOE25'!L199+'DOE25'!L217+'DOE25'!L235+'DOE25'!L278+'DOE25'!L297+'DOE25'!L316,0)</f>
        <v>1057574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ROUND('DOE25'!L200+'DOE25'!L218+'DOE25'!L236+'DOE25'!L279+'DOE25'!L298+'DOE25'!L317,0)</f>
        <v>518988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ROUND('DOE25'!L253+'DOE25'!L334,0)</f>
        <v>164381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146</v>
      </c>
      <c r="C27" s="179">
        <f>ROUND('DOE25'!L354-'DOE25'!L353,0)-SUM('DOE25'!G89:G102)</f>
        <v>131012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14443981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ROUND('DOE25'!L247+'DOE25'!L328+'DOE25'!L366+'DOE25'!L367+'DOE25'!L368+'DOE25'!L369+'DOE25'!L370+'DOE25'!L371+'DOE25'!L372,0)</f>
        <v>48592</v>
      </c>
    </row>
    <row r="30" spans="1:4" x14ac:dyDescent="0.2">
      <c r="B30" s="187" t="s">
        <v>729</v>
      </c>
      <c r="C30" s="180">
        <f>SUM(C28:C29)</f>
        <v>14492573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844</v>
      </c>
      <c r="C32" s="180">
        <f>ROUND('DOE25'!L252+'DOE25'!L333,0)</f>
        <v>494700</v>
      </c>
    </row>
    <row r="34" spans="1:4" x14ac:dyDescent="0.2">
      <c r="A34" s="187" t="s">
        <v>64</v>
      </c>
      <c r="B34" s="188" t="s">
        <v>885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845</v>
      </c>
      <c r="C35" s="179">
        <f>ROUND('DOE25'!F52+'DOE25'!G52+'DOE25'!H52+'DOE25'!I52+'DOE25'!J52,0)</f>
        <v>10305292</v>
      </c>
      <c r="D35" s="182">
        <f t="shared" ref="D35:D40" si="1">ROUND((C35/$C$41)*100,1)</f>
        <v>68</v>
      </c>
    </row>
    <row r="36" spans="1:4" x14ac:dyDescent="0.2">
      <c r="B36" s="185" t="s">
        <v>742</v>
      </c>
      <c r="C36" s="179">
        <f>SUM('DOE25'!F104:J104)-SUM('DOE25'!G89:G102)+('DOE25'!F166+'DOE25'!F167+'DOE25'!I166+'DOE25'!I167)-C35</f>
        <v>197804</v>
      </c>
      <c r="D36" s="182">
        <f t="shared" si="1"/>
        <v>1.3</v>
      </c>
    </row>
    <row r="37" spans="1:4" x14ac:dyDescent="0.2">
      <c r="A37" s="183" t="s">
        <v>846</v>
      </c>
      <c r="B37" s="185" t="s">
        <v>847</v>
      </c>
      <c r="C37" s="179">
        <f>ROUND('DOE25'!F109+'DOE25'!F110,0)</f>
        <v>3161143</v>
      </c>
      <c r="D37" s="182">
        <f t="shared" si="1"/>
        <v>20.9</v>
      </c>
    </row>
    <row r="38" spans="1:4" x14ac:dyDescent="0.2">
      <c r="A38" s="183" t="s">
        <v>737</v>
      </c>
      <c r="B38" s="185" t="s">
        <v>848</v>
      </c>
      <c r="C38" s="179">
        <f>ROUND(SUM('DOE25'!F132:J132)-SUM('DOE25'!F109:F110),0)</f>
        <v>834370</v>
      </c>
      <c r="D38" s="182">
        <f t="shared" si="1"/>
        <v>5.5</v>
      </c>
    </row>
    <row r="39" spans="1:4" x14ac:dyDescent="0.2">
      <c r="A39">
        <v>4000</v>
      </c>
      <c r="B39" s="185" t="s">
        <v>849</v>
      </c>
      <c r="C39" s="179">
        <f>ROUND('DOE25'!F161+'DOE25'!G161+'DOE25'!H161+'DOE25'!I161,0)</f>
        <v>651302</v>
      </c>
      <c r="D39" s="182">
        <f t="shared" si="1"/>
        <v>4.3</v>
      </c>
    </row>
    <row r="40" spans="1:4" x14ac:dyDescent="0.2">
      <c r="A40" s="183" t="s">
        <v>738</v>
      </c>
      <c r="B40" s="185" t="s">
        <v>734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15149911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1FD7-4811-45C6-910A-0C3B1F7B0C6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773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770</v>
      </c>
      <c r="B2" s="287"/>
      <c r="C2" s="287"/>
      <c r="D2" s="287"/>
      <c r="E2" s="287"/>
      <c r="F2" s="292" t="str">
        <f>'DOE25'!A2</f>
        <v>HOPKINTON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771</v>
      </c>
      <c r="B3" s="218" t="s">
        <v>772</v>
      </c>
      <c r="C3" s="290" t="s">
        <v>774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886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771</v>
      </c>
      <c r="B73" s="211" t="s">
        <v>772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2010-08-27T15:18:00Z</cp:lastPrinted>
  <dcterms:created xsi:type="dcterms:W3CDTF">1997-12-04T19:04:30Z</dcterms:created>
  <dcterms:modified xsi:type="dcterms:W3CDTF">2025-01-02T14:55:26Z</dcterms:modified>
</cp:coreProperties>
</file>